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3" activeTab="3"/>
  </bookViews>
  <sheets>
    <sheet name="WP-structure" sheetId="1" r:id="rId1"/>
    <sheet name="budget summary" sheetId="2" r:id="rId2"/>
    <sheet name="task and budget overview" sheetId="3" r:id="rId3"/>
    <sheet name="assembly personnel jens" sheetId="4" r:id="rId4"/>
    <sheet name="component cost estimation jens" sheetId="5" r:id="rId5"/>
    <sheet name="steel-iron" sheetId="6" r:id="rId6"/>
    <sheet name="tooling needs" sheetId="7" r:id="rId7"/>
    <sheet name="labour and material indexes" sheetId="8" r:id="rId8"/>
    <sheet name="information components" sheetId="9" r:id="rId9"/>
  </sheets>
  <definedNames>
    <definedName name="_xlnm.Print_Area" localSheetId="3">'assembly personnel jens'!$A$1:$E$81</definedName>
    <definedName name="_xlnm.Print_Area" localSheetId="4">'component cost estimation jens'!$A$1:$L$46</definedName>
    <definedName name="_xlnm.Print_Area" localSheetId="2">'task and budget overview'!$A$3:$BM$220</definedName>
  </definedNames>
  <calcPr fullCalcOnLoad="1"/>
</workbook>
</file>

<file path=xl/sharedStrings.xml><?xml version="1.0" encoding="utf-8"?>
<sst xmlns="http://schemas.openxmlformats.org/spreadsheetml/2006/main" count="1741" uniqueCount="881">
  <si>
    <t>WP</t>
  </si>
  <si>
    <t>Title</t>
  </si>
  <si>
    <t>Project Engineer</t>
  </si>
  <si>
    <t>Project management</t>
  </si>
  <si>
    <t>Optics and beam performance</t>
  </si>
  <si>
    <t>Layout and integration</t>
  </si>
  <si>
    <t>Low-beta quadrupoles and correctors</t>
  </si>
  <si>
    <t>Design and construction of model quadrupole magnet</t>
  </si>
  <si>
    <t>4.1.1</t>
  </si>
  <si>
    <t>Design and qualification of the coil</t>
  </si>
  <si>
    <t>4.1.2</t>
  </si>
  <si>
    <t>Design of the support structure</t>
  </si>
  <si>
    <t>4.1.3</t>
  </si>
  <si>
    <t>Preparation of the tooling</t>
  </si>
  <si>
    <t>4.1.4</t>
  </si>
  <si>
    <t>Assembly</t>
  </si>
  <si>
    <t>Design and construction of prototype quadrupole</t>
  </si>
  <si>
    <t>4.2.1</t>
  </si>
  <si>
    <t>Design of the cold mass</t>
  </si>
  <si>
    <t>4.2.2</t>
  </si>
  <si>
    <t>4.2.3</t>
  </si>
  <si>
    <t>Design and production of correctors</t>
  </si>
  <si>
    <t>Production of quadrupole cold masses</t>
  </si>
  <si>
    <t>Cryostating</t>
  </si>
  <si>
    <t>Interconnections</t>
  </si>
  <si>
    <t>D1 separation dipoles</t>
  </si>
  <si>
    <t>Design and construction of D1 dipoles</t>
  </si>
  <si>
    <t>Magnet testing</t>
  </si>
  <si>
    <t>Quench protection</t>
  </si>
  <si>
    <t>Cold powering</t>
  </si>
  <si>
    <t>Power convertors</t>
  </si>
  <si>
    <t>TAS, absorbers, shielding</t>
  </si>
  <si>
    <t>Vacuum equipment</t>
  </si>
  <si>
    <t>Beam instrumentation</t>
  </si>
  <si>
    <t>Support and alignment equipment</t>
  </si>
  <si>
    <t>QRL modifications</t>
  </si>
  <si>
    <t>LSS magnet modifications</t>
  </si>
  <si>
    <t>String test</t>
  </si>
  <si>
    <t>radius</t>
  </si>
  <si>
    <t>surface lamination</t>
  </si>
  <si>
    <t>min surface sheet</t>
  </si>
  <si>
    <t>thickness</t>
  </si>
  <si>
    <t>volume</t>
  </si>
  <si>
    <t>weight</t>
  </si>
  <si>
    <t>density</t>
  </si>
  <si>
    <t>length</t>
  </si>
  <si>
    <t>necessary weight</t>
  </si>
  <si>
    <t>yoke</t>
  </si>
  <si>
    <t>collars</t>
  </si>
  <si>
    <t>Mechanical 3D design</t>
  </si>
  <si>
    <t>Mechanical 2D design</t>
  </si>
  <si>
    <t>model magnet</t>
  </si>
  <si>
    <t>copper wedges</t>
  </si>
  <si>
    <t>curing press</t>
  </si>
  <si>
    <t>ground insulation</t>
  </si>
  <si>
    <t>winding mandrel</t>
  </si>
  <si>
    <t>end spacers</t>
  </si>
  <si>
    <t>material</t>
  </si>
  <si>
    <t>cable insulation</t>
  </si>
  <si>
    <t>instrumentation assembly</t>
  </si>
  <si>
    <t>collaring tool</t>
  </si>
  <si>
    <t>collaring mandrel</t>
  </si>
  <si>
    <t>collaring keys</t>
  </si>
  <si>
    <t>electrical tests</t>
  </si>
  <si>
    <t>yoking and shell welding</t>
  </si>
  <si>
    <t>E modulus measuring machine</t>
  </si>
  <si>
    <t>poles</t>
  </si>
  <si>
    <t>end covers</t>
  </si>
  <si>
    <t>cryostating</t>
  </si>
  <si>
    <t>cryostat</t>
  </si>
  <si>
    <t>MLI</t>
  </si>
  <si>
    <t>cryostating bench</t>
  </si>
  <si>
    <t>magnetic measurement system</t>
  </si>
  <si>
    <t>aperture preparation</t>
  </si>
  <si>
    <t>yoke pack press</t>
  </si>
  <si>
    <t>cradles</t>
  </si>
  <si>
    <t>winding post</t>
  </si>
  <si>
    <t>winding machine</t>
  </si>
  <si>
    <t>cable insulation machine</t>
  </si>
  <si>
    <t>splice soldering equipment</t>
  </si>
  <si>
    <t>end surfacing mould</t>
  </si>
  <si>
    <t>coil</t>
  </si>
  <si>
    <t>pole</t>
  </si>
  <si>
    <t>bench for length adjustement</t>
  </si>
  <si>
    <t>aperture</t>
  </si>
  <si>
    <t>tooling for ground insulation folding</t>
  </si>
  <si>
    <t>mandrel for aperture assembly</t>
  </si>
  <si>
    <t>collared coil</t>
  </si>
  <si>
    <t>collaring press</t>
  </si>
  <si>
    <t>welding press</t>
  </si>
  <si>
    <t>long magnet</t>
  </si>
  <si>
    <t xml:space="preserve"> in common with model magnet</t>
  </si>
  <si>
    <t xml:space="preserve"> in common with long  magnet</t>
  </si>
  <si>
    <t>option 1</t>
  </si>
  <si>
    <t>availability date</t>
  </si>
  <si>
    <t>option 2</t>
  </si>
  <si>
    <t>no</t>
  </si>
  <si>
    <t>yes</t>
  </si>
  <si>
    <t>yes if possible</t>
  </si>
  <si>
    <t>low importance</t>
  </si>
  <si>
    <t>curing mould</t>
  </si>
  <si>
    <t>to be studied</t>
  </si>
  <si>
    <t>partially</t>
  </si>
  <si>
    <t>possibly yes</t>
  </si>
  <si>
    <t>winding mandrels</t>
  </si>
  <si>
    <t>X</t>
  </si>
  <si>
    <t>X or March 2010</t>
  </si>
  <si>
    <t>X or April 2010</t>
  </si>
  <si>
    <t>to be built</t>
  </si>
  <si>
    <t>installation of ACCEL machine</t>
  </si>
  <si>
    <t>option 3</t>
  </si>
  <si>
    <t>new machine</t>
  </si>
  <si>
    <t>ACCEL curing press</t>
  </si>
  <si>
    <t>piece of Noell red press</t>
  </si>
  <si>
    <t>BNN equipment</t>
  </si>
  <si>
    <t>new one</t>
  </si>
  <si>
    <t>to be defined</t>
  </si>
  <si>
    <t>new horizontal press with travelling active module to be installed at long workshop</t>
  </si>
  <si>
    <t>re-use of vertical lift from TESLA on which we need to isntall new active module</t>
  </si>
  <si>
    <t>possibly use old equipment with new mould</t>
  </si>
  <si>
    <t>something available?</t>
  </si>
  <si>
    <t>press at 181</t>
  </si>
  <si>
    <t>dipole welding press</t>
  </si>
  <si>
    <t>press at 927</t>
  </si>
  <si>
    <t>see above</t>
  </si>
  <si>
    <t>modification of dipole winding machine</t>
  </si>
  <si>
    <t>modification of Jeumont insulating machine</t>
  </si>
  <si>
    <t>use of dipole press with modifications</t>
  </si>
  <si>
    <t>dipole press</t>
  </si>
  <si>
    <t>heating center</t>
  </si>
  <si>
    <t>recovered?</t>
  </si>
  <si>
    <t>proposed action</t>
  </si>
  <si>
    <t xml:space="preserve">start </t>
  </si>
  <si>
    <t>ok</t>
  </si>
  <si>
    <t>need definition of aperture: target end of march</t>
  </si>
  <si>
    <t>pre-study and policy to be fixed asap</t>
  </si>
  <si>
    <t>to checked asap</t>
  </si>
  <si>
    <t>later</t>
  </si>
  <si>
    <t>studied to be started</t>
  </si>
  <si>
    <t>tooling</t>
  </si>
  <si>
    <t>modification of present system at 927</t>
  </si>
  <si>
    <t>new moulds: possible re- use of external structure from BNN</t>
  </si>
  <si>
    <t>Jeumont machine: needs adaptation in legnth diamter and system</t>
  </si>
  <si>
    <t>machine recovered from ACCEL or TESLA</t>
  </si>
  <si>
    <t>curing mould for coil from O.D. 116 to O.D. of 210</t>
  </si>
  <si>
    <t>Q.H.</t>
  </si>
  <si>
    <t>layer jump components</t>
  </si>
  <si>
    <t>bus bars</t>
  </si>
  <si>
    <t>project phase</t>
  </si>
  <si>
    <t>task</t>
  </si>
  <si>
    <t>task leader</t>
  </si>
  <si>
    <t>start time</t>
  </si>
  <si>
    <t>end time</t>
  </si>
  <si>
    <t>budget 2008</t>
  </si>
  <si>
    <t>budget 2009</t>
  </si>
  <si>
    <t>budget 2010</t>
  </si>
  <si>
    <t>budget 2011</t>
  </si>
  <si>
    <t>budget 2012</t>
  </si>
  <si>
    <t>sub-tasks</t>
  </si>
  <si>
    <t>model</t>
  </si>
  <si>
    <t>D. Tommasini</t>
  </si>
  <si>
    <t>cable insulation tests</t>
  </si>
  <si>
    <t>small mandrel winding test</t>
  </si>
  <si>
    <t>curing small mandrel winding</t>
  </si>
  <si>
    <t>electrical tests cured winding</t>
  </si>
  <si>
    <t>heat transfer tests</t>
  </si>
  <si>
    <t>EM 2D design</t>
  </si>
  <si>
    <t>E. Todesco</t>
  </si>
  <si>
    <t>Central Team</t>
  </si>
  <si>
    <t>installation modification ACCEL curing press</t>
  </si>
  <si>
    <t>installation ACCEL winding machine</t>
  </si>
  <si>
    <t>modification cable insulating machine</t>
  </si>
  <si>
    <t xml:space="preserve">new curing mould </t>
  </si>
  <si>
    <t>new shells for curing</t>
  </si>
  <si>
    <t>new winding mandrel</t>
  </si>
  <si>
    <t>new winding post</t>
  </si>
  <si>
    <t>new E-modulus machine</t>
  </si>
  <si>
    <t>EM 3D design</t>
  </si>
  <si>
    <t>end spacers 2 poles</t>
  </si>
  <si>
    <t>Short model tooling</t>
  </si>
  <si>
    <t>dummy coil winding and curing</t>
  </si>
  <si>
    <t>head impregantion tooling</t>
  </si>
  <si>
    <t>head impregnation</t>
  </si>
  <si>
    <t>4 poles winding</t>
  </si>
  <si>
    <t>winding curing and surfacing 4 poles</t>
  </si>
  <si>
    <t>E- mod measurements</t>
  </si>
  <si>
    <t>collaring tooling</t>
  </si>
  <si>
    <t>press for yoke packs</t>
  </si>
  <si>
    <t>welding press cradles</t>
  </si>
  <si>
    <t>re-commissioning W press 181</t>
  </si>
  <si>
    <t>protection study</t>
  </si>
  <si>
    <t>design activities</t>
  </si>
  <si>
    <t>procurement activities</t>
  </si>
  <si>
    <t>Tooling: design, assembly, commissioning</t>
  </si>
  <si>
    <t>Magnet: assembly phases</t>
  </si>
  <si>
    <t>2D coil components design</t>
  </si>
  <si>
    <t>3D coil components design</t>
  </si>
  <si>
    <t>Cable insulation: test and definition</t>
  </si>
  <si>
    <t>drawings copper wedges</t>
  </si>
  <si>
    <t>design and drawings layer jump comp</t>
  </si>
  <si>
    <t>design and drawings collars</t>
  </si>
  <si>
    <t>design and drawings  ground insulation</t>
  </si>
  <si>
    <t>design drawing collared coil end plate</t>
  </si>
  <si>
    <t>design drawing cold mass end plate</t>
  </si>
  <si>
    <t>End 3D components design</t>
  </si>
  <si>
    <t>design drawing tie rods</t>
  </si>
  <si>
    <t>design drawing ends supports</t>
  </si>
  <si>
    <t>Cable Insulation</t>
  </si>
  <si>
    <t>Fishbones 6 poles</t>
  </si>
  <si>
    <t>copper wedges 6 poles</t>
  </si>
  <si>
    <t>layer jump components 2 poles</t>
  </si>
  <si>
    <t>cables</t>
  </si>
  <si>
    <t>Straight part mechanical components</t>
  </si>
  <si>
    <t>design and drawings  shim retainer</t>
  </si>
  <si>
    <t>shim retainer for 2 model</t>
  </si>
  <si>
    <t>G.I for 2 model</t>
  </si>
  <si>
    <t>3D Coil components dummy</t>
  </si>
  <si>
    <t>2D Coil components dummy+ model</t>
  </si>
  <si>
    <t>3D Coil components model</t>
  </si>
  <si>
    <t>End 3D components</t>
  </si>
  <si>
    <t>G.I. forming tool</t>
  </si>
  <si>
    <t>destructuve tests</t>
  </si>
  <si>
    <t>E mod measurements</t>
  </si>
  <si>
    <t>splices</t>
  </si>
  <si>
    <t>splices tests</t>
  </si>
  <si>
    <t>assembly 4 poles with G. I</t>
  </si>
  <si>
    <t>cold mass assembly</t>
  </si>
  <si>
    <t>shells</t>
  </si>
  <si>
    <t>dummy coil winding</t>
  </si>
  <si>
    <t>procedures establishement</t>
  </si>
  <si>
    <t>type of activity</t>
  </si>
  <si>
    <t>Prototype</t>
  </si>
  <si>
    <t>integration studies</t>
  </si>
  <si>
    <t>cryostat and support studies</t>
  </si>
  <si>
    <t>Warm magnetic measurements</t>
  </si>
  <si>
    <t>design phases</t>
  </si>
  <si>
    <t>cryostat design</t>
  </si>
  <si>
    <t>feed through design</t>
  </si>
  <si>
    <t>cold feet design</t>
  </si>
  <si>
    <t>screens design</t>
  </si>
  <si>
    <t>extremity cryostat design</t>
  </si>
  <si>
    <t>Magnet design</t>
  </si>
  <si>
    <t>end covers design</t>
  </si>
  <si>
    <t>electrical joint design</t>
  </si>
  <si>
    <t>bellows design</t>
  </si>
  <si>
    <t>assembly procedure and tooling definition</t>
  </si>
  <si>
    <t>bus bar design</t>
  </si>
  <si>
    <t>Magnet design electrical connection</t>
  </si>
  <si>
    <t>electrical connection design</t>
  </si>
  <si>
    <t>insulation for 20 magnets</t>
  </si>
  <si>
    <t xml:space="preserve">Coil components </t>
  </si>
  <si>
    <t>copper wedges 20 magnets</t>
  </si>
  <si>
    <t>Fishbones 20 magnets</t>
  </si>
  <si>
    <t>end spacers 20 magnets</t>
  </si>
  <si>
    <t>layer jump components 20 magnets poles</t>
  </si>
  <si>
    <t>collars for 20 magnets</t>
  </si>
  <si>
    <t>yokes for 20 magents</t>
  </si>
  <si>
    <t>shim retainer for 20 magnets</t>
  </si>
  <si>
    <t>G.I for 20 magnets</t>
  </si>
  <si>
    <t>cold mass end plate 20 magnets</t>
  </si>
  <si>
    <t>tie rods 20 magnets</t>
  </si>
  <si>
    <t>ends supports 20 magnets</t>
  </si>
  <si>
    <t>Interconnection</t>
  </si>
  <si>
    <t>interconnections for 3 magnets</t>
  </si>
  <si>
    <t>Interconnection design</t>
  </si>
  <si>
    <t>cryostat for 1 magnet</t>
  </si>
  <si>
    <t>cold feet 2 magnets</t>
  </si>
  <si>
    <t>Correctors</t>
  </si>
  <si>
    <t>correctors prototype package</t>
  </si>
  <si>
    <t>long tooling</t>
  </si>
  <si>
    <t>installation and modfication dipole wind. Machine</t>
  </si>
  <si>
    <t>winding posts</t>
  </si>
  <si>
    <t>curing shells</t>
  </si>
  <si>
    <t>installation head surfacing tool from 927</t>
  </si>
  <si>
    <t>installation E modulus machine from 927</t>
  </si>
  <si>
    <t>G.I. forming tooling</t>
  </si>
  <si>
    <t>winding mandrel 1 I.+1 O.</t>
  </si>
  <si>
    <t>modification cable insulation machine</t>
  </si>
  <si>
    <t>installation collaring press from 927</t>
  </si>
  <si>
    <t>installation yoking press from 927</t>
  </si>
  <si>
    <t xml:space="preserve">cradles </t>
  </si>
  <si>
    <t>rotating cutting device</t>
  </si>
  <si>
    <t>orbital welding machine for end covers</t>
  </si>
  <si>
    <t>orbital welding machine for extremities ?</t>
  </si>
  <si>
    <t>Geometrical ITP definition</t>
  </si>
  <si>
    <t>laser tracker and moulds</t>
  </si>
  <si>
    <t>pressure leak test tank</t>
  </si>
  <si>
    <t>correctors tooling</t>
  </si>
  <si>
    <t xml:space="preserve">winding </t>
  </si>
  <si>
    <t>curing</t>
  </si>
  <si>
    <t>head surfacing</t>
  </si>
  <si>
    <t>dummy cold mass welding</t>
  </si>
  <si>
    <t>dummy coils winding</t>
  </si>
  <si>
    <t>winding 4 poles</t>
  </si>
  <si>
    <t>aperture assembly</t>
  </si>
  <si>
    <t>collared coils</t>
  </si>
  <si>
    <t>yoking</t>
  </si>
  <si>
    <t>welding</t>
  </si>
  <si>
    <t>cold mass finishing</t>
  </si>
  <si>
    <t>extremity assembly</t>
  </si>
  <si>
    <t>geometrical measurements</t>
  </si>
  <si>
    <t>long</t>
  </si>
  <si>
    <t>correctors dummy coil</t>
  </si>
  <si>
    <t>correctors assembly tests</t>
  </si>
  <si>
    <t>correctors prototype assembly</t>
  </si>
  <si>
    <t>preceeding task</t>
  </si>
  <si>
    <t>end of preceeding task</t>
  </si>
  <si>
    <t>none</t>
  </si>
  <si>
    <t>aperture definition</t>
  </si>
  <si>
    <t>Design straight part mech components</t>
  </si>
  <si>
    <t>insulation studies</t>
  </si>
  <si>
    <t>approx aperture</t>
  </si>
  <si>
    <t>none/ EM 2D design</t>
  </si>
  <si>
    <t>2D mech design</t>
  </si>
  <si>
    <t>layout definition</t>
  </si>
  <si>
    <t>instrumentation definition</t>
  </si>
  <si>
    <t>powering input</t>
  </si>
  <si>
    <t>layout and  corrector design</t>
  </si>
  <si>
    <t>layout and end covers design</t>
  </si>
  <si>
    <t>poweing scheme and bus bar</t>
  </si>
  <si>
    <t>feed through for 1 magnet</t>
  </si>
  <si>
    <t>estremity ryostat for 1 magnet</t>
  </si>
  <si>
    <t>model testing</t>
  </si>
  <si>
    <t>screens for 1 magnet</t>
  </si>
  <si>
    <t>def of lenghts</t>
  </si>
  <si>
    <t>model completion</t>
  </si>
  <si>
    <t>layout</t>
  </si>
  <si>
    <t>mechanical 2D design</t>
  </si>
  <si>
    <t>interconnection desing</t>
  </si>
  <si>
    <t>3D extremity design,</t>
  </si>
  <si>
    <t>other cryostating tooling</t>
  </si>
  <si>
    <t>Protection</t>
  </si>
  <si>
    <t>drawing Q.H.</t>
  </si>
  <si>
    <t>FSU</t>
  </si>
  <si>
    <t>cost</t>
  </si>
  <si>
    <t>Cost</t>
  </si>
  <si>
    <t>CERN personnel name</t>
  </si>
  <si>
    <t>Temporary CERN personnel</t>
  </si>
  <si>
    <t>Temporary CERN percentage</t>
  </si>
  <si>
    <t>design and drawing straigh part and fishbones</t>
  </si>
  <si>
    <t>design and drawings end spacers  and 3d Coil</t>
  </si>
  <si>
    <t>design and drawings  yokes shell and cross section</t>
  </si>
  <si>
    <t>jobs [d]</t>
  </si>
  <si>
    <t>component</t>
  </si>
  <si>
    <t>phase</t>
  </si>
  <si>
    <t>unit</t>
  </si>
  <si>
    <t>available</t>
  </si>
  <si>
    <t>inter-layer spacers</t>
  </si>
  <si>
    <t>dummy and model</t>
  </si>
  <si>
    <t xml:space="preserve">dummy </t>
  </si>
  <si>
    <t>dummy</t>
  </si>
  <si>
    <t>Quench heater</t>
  </si>
  <si>
    <t>shim retainer</t>
  </si>
  <si>
    <t>collared coil end plate</t>
  </si>
  <si>
    <t>units</t>
  </si>
  <si>
    <t>cold masse end plates</t>
  </si>
  <si>
    <t>tie rods</t>
  </si>
  <si>
    <t>end supports</t>
  </si>
  <si>
    <t>consumables</t>
  </si>
  <si>
    <t>package</t>
  </si>
  <si>
    <t>spare reason</t>
  </si>
  <si>
    <t>method of estimation</t>
  </si>
  <si>
    <t>model length 1.5m</t>
  </si>
  <si>
    <t>dipole 5000 CHF/magnet. Quad double of pieces scale on length. Small series coef 2</t>
  </si>
  <si>
    <t>dipole 5000, scale length, small series factor 1.5</t>
  </si>
  <si>
    <t>guess</t>
  </si>
  <si>
    <t>dipole: 10000. quad scale length, multiply by 2 for quantity and for 2 for small series</t>
  </si>
  <si>
    <t>insulating pieces for extremity</t>
  </si>
  <si>
    <t>prototype</t>
  </si>
  <si>
    <t>series</t>
  </si>
  <si>
    <t>insulation</t>
  </si>
  <si>
    <t>cable width</t>
  </si>
  <si>
    <t>cable thickness</t>
  </si>
  <si>
    <t>1st insulation 1st layer</t>
  </si>
  <si>
    <t>perimeter</t>
  </si>
  <si>
    <t>tape length 1 meter</t>
  </si>
  <si>
    <t>tape thickness</t>
  </si>
  <si>
    <t>volume l/m</t>
  </si>
  <si>
    <t>n of turns</t>
  </si>
  <si>
    <t>2nd insulation 1st layer</t>
  </si>
  <si>
    <t>3rd layer</t>
  </si>
  <si>
    <t>weight/meter [kg/m]</t>
  </si>
  <si>
    <t>n of units</t>
  </si>
  <si>
    <t>n poles</t>
  </si>
  <si>
    <t>total amount stadard</t>
  </si>
  <si>
    <t>total amount adhesive</t>
  </si>
  <si>
    <t>price adhesive (double special price)</t>
  </si>
  <si>
    <t>total standard 1 magnet P1</t>
  </si>
  <si>
    <t>total adhesive 1 magnet A1</t>
  </si>
  <si>
    <t>price standard (double special price) 100kg</t>
  </si>
  <si>
    <t>N cold mass</t>
  </si>
  <si>
    <t>quantity/cold mass</t>
  </si>
  <si>
    <t>spare in cold mass</t>
  </si>
  <si>
    <t>estimated cost/unit</t>
  </si>
  <si>
    <t>total cost</t>
  </si>
  <si>
    <t>price of the offer multiplied by two repsect yen price. Lenth 2 m</t>
  </si>
  <si>
    <t>firm</t>
  </si>
  <si>
    <t>pieces</t>
  </si>
  <si>
    <t>price per piece</t>
  </si>
  <si>
    <t>price for tooling</t>
  </si>
  <si>
    <t>FSG</t>
  </si>
  <si>
    <t>FSG inserts</t>
  </si>
  <si>
    <t xml:space="preserve">FSG </t>
  </si>
  <si>
    <t>Garconnet</t>
  </si>
  <si>
    <t>Garconnet inserts</t>
  </si>
  <si>
    <t>ATIKA</t>
  </si>
  <si>
    <t>ATIKA inserts</t>
  </si>
  <si>
    <t>ELAY</t>
  </si>
  <si>
    <t>Garconnets</t>
  </si>
  <si>
    <t>Collars</t>
  </si>
  <si>
    <t>AKITA</t>
  </si>
  <si>
    <t>iron laminations</t>
  </si>
  <si>
    <t>Malvestiti</t>
  </si>
  <si>
    <t>Algat</t>
  </si>
  <si>
    <t>shell</t>
  </si>
  <si>
    <t>year</t>
  </si>
  <si>
    <t>SCAI 2 *16 m 10 mm thick 316LN</t>
  </si>
  <si>
    <t xml:space="preserve">comments </t>
  </si>
  <si>
    <t>steel in coils</t>
  </si>
  <si>
    <t>outokumpu profile 3</t>
  </si>
  <si>
    <t>ALC</t>
  </si>
  <si>
    <t>ASCO</t>
  </si>
  <si>
    <t>HTM</t>
  </si>
  <si>
    <t>Goodwin</t>
  </si>
  <si>
    <t>Metso</t>
  </si>
  <si>
    <t>revision formula P=P0*(0.2+0.8L/L0)</t>
  </si>
  <si>
    <t>Epistemes</t>
  </si>
  <si>
    <t>increase salary from 1999 to 2005</t>
  </si>
  <si>
    <t>UK</t>
  </si>
  <si>
    <t>Norway</t>
  </si>
  <si>
    <t>Netherland</t>
  </si>
  <si>
    <t>Finland</t>
  </si>
  <si>
    <t>France</t>
  </si>
  <si>
    <t>Spain</t>
  </si>
  <si>
    <t>Portugal</t>
  </si>
  <si>
    <t>Belgium</t>
  </si>
  <si>
    <t>italy</t>
  </si>
  <si>
    <t>Germany</t>
  </si>
  <si>
    <t>Sweden</t>
  </si>
  <si>
    <t>diff %</t>
  </si>
  <si>
    <t>Denmark</t>
  </si>
  <si>
    <t>average</t>
  </si>
  <si>
    <t>Switzerland I</t>
  </si>
  <si>
    <t xml:space="preserve"> T1.93_I</t>
  </si>
  <si>
    <t xml:space="preserve"> Indice 1993=100</t>
  </si>
  <si>
    <t xml:space="preserve"> Branches économiques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</si>
  <si>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</si>
  <si>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</si>
  <si>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</si>
  <si>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</si>
  <si>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</si>
  <si>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</si>
  <si>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</si>
  <si>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</si>
  <si>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</si>
  <si>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</si>
  <si>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</si>
  <si>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</si>
  <si>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</si>
  <si>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D</t>
  </si>
  <si>
    <t>15-37</t>
  </si>
  <si>
    <t>Industries manufacturières</t>
  </si>
  <si>
    <t>15-16</t>
  </si>
  <si>
    <t>Industries alimentaires, industries des boissons et du tabac</t>
  </si>
  <si>
    <t>17-18</t>
  </si>
  <si>
    <t>Industrie textile, habillement et fourrures</t>
  </si>
  <si>
    <t>Travail du bois et fabrication d'articles en bois (sans les meubles)</t>
  </si>
  <si>
    <t>21-22</t>
  </si>
  <si>
    <t>Industrie du papier et du carton; édition et impression</t>
  </si>
  <si>
    <t>19, 23-25</t>
  </si>
  <si>
    <t>Industrie du cuir, de la chaussure, cokéfaction, chimie, fabrication d'articles en caoutchouc et en matières plastiques</t>
  </si>
  <si>
    <t>Fabrication d'autres produits minéraux non métalliques</t>
  </si>
  <si>
    <t>27-28</t>
  </si>
  <si>
    <t>Métallurgie et travail des métaux</t>
  </si>
  <si>
    <t>29, 34-35</t>
  </si>
  <si>
    <t>Fabrication de machines, d'équipements et de moyens de transport</t>
  </si>
  <si>
    <t>30-33</t>
  </si>
  <si>
    <t>Fabrication d'équip. électriques et électroniques, mécanique de précision, optique</t>
  </si>
  <si>
    <t>36-37</t>
  </si>
  <si>
    <t>Fabrication de meubles, de bijoux, industries diverses</t>
  </si>
  <si>
    <t xml:space="preserve"> F</t>
  </si>
  <si>
    <t>Construction</t>
  </si>
  <si>
    <t>juin</t>
  </si>
  <si>
    <t>sept.</t>
  </si>
  <si>
    <t>déc.</t>
  </si>
  <si>
    <t>mars</t>
  </si>
  <si>
    <t>Variations en juin 2005 sur:</t>
  </si>
  <si>
    <t>3 mois</t>
  </si>
  <si>
    <t>6 mois</t>
  </si>
  <si>
    <t>12 mois</t>
  </si>
  <si>
    <t>ENS</t>
  </si>
  <si>
    <t>Ensemble des secteurs non agricoles</t>
  </si>
  <si>
    <t>Ventilation par secteur d'activité</t>
  </si>
  <si>
    <t>EB</t>
  </si>
  <si>
    <t>Industries agricoles et alimentaires (B0)</t>
  </si>
  <si>
    <t>EC</t>
  </si>
  <si>
    <t>Industries des biens de commation (C1 à C4)</t>
  </si>
  <si>
    <t>C1</t>
  </si>
  <si>
    <t xml:space="preserve">        Habillement, cuir</t>
  </si>
  <si>
    <t>C2</t>
  </si>
  <si>
    <t xml:space="preserve">        Édition, imprimerie reproduction</t>
  </si>
  <si>
    <t>C3</t>
  </si>
  <si>
    <t xml:space="preserve">        Pharmacie, parfumerie et entretien</t>
  </si>
  <si>
    <t>C4</t>
  </si>
  <si>
    <t xml:space="preserve">        Industrie des équipements du foyer</t>
  </si>
  <si>
    <t>D0</t>
  </si>
  <si>
    <t>Industries automobile (B0)</t>
  </si>
  <si>
    <t>EE</t>
  </si>
  <si>
    <t>Industries des biens d'équipement (E1 à E3)</t>
  </si>
  <si>
    <t>E1</t>
  </si>
  <si>
    <t xml:space="preserve">        Construction navale, aéronautique et ferroviaiare</t>
  </si>
  <si>
    <t>E2</t>
  </si>
  <si>
    <t xml:space="preserve">        Industries des équipements mécaniques </t>
  </si>
  <si>
    <t>E3</t>
  </si>
  <si>
    <t xml:space="preserve">        Industries des équipements électriques et électroniques </t>
  </si>
  <si>
    <t>EF</t>
  </si>
  <si>
    <t>Industries des biens intermédiaies (F1 à F6)</t>
  </si>
  <si>
    <t>F1</t>
  </si>
  <si>
    <t xml:space="preserve">        Industries des produits minéraux</t>
  </si>
  <si>
    <t>F2</t>
  </si>
  <si>
    <t xml:space="preserve">        Industrie textile</t>
  </si>
  <si>
    <t>F3</t>
  </si>
  <si>
    <t xml:space="preserve">        Industrie du bois et du papier</t>
  </si>
  <si>
    <t>F4</t>
  </si>
  <si>
    <t xml:space="preserve">        Chimie, caoutchouc, plastiques</t>
  </si>
  <si>
    <t>F5</t>
  </si>
  <si>
    <t xml:space="preserve">        Métallurgie et transformation des métaux</t>
  </si>
  <si>
    <t>F6</t>
  </si>
  <si>
    <t xml:space="preserve">        Industries des composants électriques et électroniques </t>
  </si>
  <si>
    <t>ISTAT Italie</t>
  </si>
  <si>
    <t>2000=100</t>
  </si>
  <si>
    <t>2007= 114</t>
  </si>
  <si>
    <t>100 fin 1998</t>
  </si>
  <si>
    <t>estimation pour budget</t>
  </si>
  <si>
    <t>france</t>
  </si>
  <si>
    <t>suisse</t>
  </si>
  <si>
    <t>episternes</t>
  </si>
  <si>
    <t>ndic_lc</t>
  </si>
  <si>
    <r>
      <t>lci_tot</t>
    </r>
    <r>
      <rPr>
        <sz val="10"/>
        <rFont val="Arial"/>
        <family val="0"/>
      </rPr>
      <t> Labour Cost Index - Total labour costs</t>
    </r>
  </si>
  <si>
    <t>nace</t>
  </si>
  <si>
    <r>
      <t>d</t>
    </r>
    <r>
      <rPr>
        <sz val="10"/>
        <rFont val="Arial"/>
        <family val="0"/>
      </rPr>
      <t> Manufacturing</t>
    </r>
  </si>
  <si>
    <t>p_adj</t>
  </si>
  <si>
    <r>
      <t>nominal</t>
    </r>
    <r>
      <rPr>
        <sz val="10"/>
        <rFont val="Arial"/>
        <family val="0"/>
      </rPr>
      <t> Nominal value</t>
    </r>
  </si>
  <si>
    <t>time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</si>
  <si>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</si>
  <si>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</si>
  <si>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</si>
  <si>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</si>
  <si>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</si>
  <si>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</si>
  <si>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</si>
  <si>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</si>
  <si>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geo</t>
  </si>
  <si>
    <r>
      <t>eu27</t>
    </r>
    <r>
      <rPr>
        <sz val="10"/>
        <rFont val="Arial"/>
        <family val="0"/>
      </rPr>
      <t> European Union (27 countries)</t>
    </r>
  </si>
  <si>
    <r>
      <t>i1999</t>
    </r>
    <r>
      <rPr>
        <sz val="10"/>
        <rFont val="Arial"/>
        <family val="0"/>
      </rPr>
      <t> Index, 1999=100</t>
    </r>
  </si>
  <si>
    <t>eurostat</t>
  </si>
  <si>
    <t>Austenitic steel laminations</t>
  </si>
  <si>
    <t>Assumptions</t>
  </si>
  <si>
    <t>increase labor cost</t>
  </si>
  <si>
    <t>1999 to 2007</t>
  </si>
  <si>
    <t>1998 to 2007</t>
  </si>
  <si>
    <t>revision formula P=P0*(0.2+0.5L/L0+0.3*cu/cu0)</t>
  </si>
  <si>
    <t>copper</t>
  </si>
  <si>
    <t>USD/lb</t>
  </si>
  <si>
    <t>steel</t>
  </si>
  <si>
    <t>revision formula P=P0*(0.2+0.3L/L0+0.5*M/M0)</t>
  </si>
  <si>
    <t>dipole:3000 chf/magnet. Coeff for reduced series: 2. increase price of steel 30%</t>
  </si>
  <si>
    <t>final length10m</t>
  </si>
  <si>
    <t>price foreseen quantity in CHF P1 1 pole</t>
  </si>
  <si>
    <t>price foreseen quantity in CHF A1 1 pole</t>
  </si>
  <si>
    <t>total amount P1 20 magnets</t>
  </si>
  <si>
    <t>total amount A1 20 magnets</t>
  </si>
  <si>
    <t>available CERN</t>
  </si>
  <si>
    <t>price of the offer multiplied by two respect yen price. Length 10 m. 144 Kg P1 and 139 Kg A1 available: we lack of 173 kg and 40 kg</t>
  </si>
  <si>
    <t>for 20 magnets</t>
  </si>
  <si>
    <t>N magneti</t>
  </si>
  <si>
    <t>L magneti</t>
  </si>
  <si>
    <t>total pieces needed</t>
  </si>
  <si>
    <t>weight of plate around</t>
  </si>
  <si>
    <t>total weight material needed in ton</t>
  </si>
  <si>
    <t>available material in ton</t>
  </si>
  <si>
    <t>for LHC in 4105mm  had 15 laminations</t>
  </si>
  <si>
    <t>needs in plates</t>
  </si>
  <si>
    <t>weight 1 plate</t>
  </si>
  <si>
    <t>total needs ton</t>
  </si>
  <si>
    <t>avaialble</t>
  </si>
  <si>
    <t>EUROSTAT</t>
  </si>
  <si>
    <t>Ground insulation</t>
  </si>
  <si>
    <t>dipole: weight of needed GI Kg</t>
  </si>
  <si>
    <t>weight for aperture and 1 m</t>
  </si>
  <si>
    <t>external diameter dipole</t>
  </si>
  <si>
    <t>external diameter quadrupole triplet</t>
  </si>
  <si>
    <t>ratio</t>
  </si>
  <si>
    <t>GI per meter estimation quad</t>
  </si>
  <si>
    <t>weight 1 quad 10m</t>
  </si>
  <si>
    <t>need for 20 CM</t>
  </si>
  <si>
    <t>price per kg</t>
  </si>
  <si>
    <t>total 20 CM</t>
  </si>
  <si>
    <t>cold mass</t>
  </si>
  <si>
    <t>bus bar</t>
  </si>
  <si>
    <t>cold bore tubes</t>
  </si>
  <si>
    <t>personnel</t>
  </si>
  <si>
    <t>production of long magnets</t>
  </si>
  <si>
    <t>N FSU</t>
  </si>
  <si>
    <t>CERN technician</t>
  </si>
  <si>
    <t>CERN engineer</t>
  </si>
  <si>
    <t>winding</t>
  </si>
  <si>
    <t>sub-phase, task</t>
  </si>
  <si>
    <t>insulation of copper wedge</t>
  </si>
  <si>
    <t>insulation of cable</t>
  </si>
  <si>
    <t>preparation end spacers and cutting copper wedges</t>
  </si>
  <si>
    <t>preparation mandrel</t>
  </si>
  <si>
    <t>preparation for curing</t>
  </si>
  <si>
    <t>curing follow up</t>
  </si>
  <si>
    <t>extraction of coil</t>
  </si>
  <si>
    <t>electrical measurements</t>
  </si>
  <si>
    <t>winding and curing 2.5 coils /week</t>
  </si>
  <si>
    <t>working days</t>
  </si>
  <si>
    <t>visual inspection</t>
  </si>
  <si>
    <t>total</t>
  </si>
  <si>
    <t>total wordays/week</t>
  </si>
  <si>
    <t>total FTE</t>
  </si>
  <si>
    <t>pole preparation</t>
  </si>
  <si>
    <t>coil E modulus measurements</t>
  </si>
  <si>
    <t>electrical measurements after E-modulus</t>
  </si>
  <si>
    <t>electrical measurements pole</t>
  </si>
  <si>
    <t>length adjustement</t>
  </si>
  <si>
    <t>inter layer spacer assembly</t>
  </si>
  <si>
    <t>collared coil assembly</t>
  </si>
  <si>
    <t>pack preparation</t>
  </si>
  <si>
    <t>collared coil pre-collaring operations</t>
  </si>
  <si>
    <t>collaring operations</t>
  </si>
  <si>
    <t>preparation of packs</t>
  </si>
  <si>
    <t>preparation of half yoke</t>
  </si>
  <si>
    <t>insertion of collared coil in the yoke</t>
  </si>
  <si>
    <t>preparation under the press</t>
  </si>
  <si>
    <t>electrical connection</t>
  </si>
  <si>
    <t>yoking and CM welding</t>
  </si>
  <si>
    <t>extremity finishing</t>
  </si>
  <si>
    <t>cylinder cut</t>
  </si>
  <si>
    <t>end cover welding</t>
  </si>
  <si>
    <t>gometrical measurements</t>
  </si>
  <si>
    <t>pressure leak test</t>
  </si>
  <si>
    <t>other tasks</t>
  </si>
  <si>
    <t>incoming inspections</t>
  </si>
  <si>
    <t>store management</t>
  </si>
  <si>
    <t>manipulation</t>
  </si>
  <si>
    <t>machining</t>
  </si>
  <si>
    <t>other quality tests and report filling</t>
  </si>
  <si>
    <t>quality control, procedures, NCRs</t>
  </si>
  <si>
    <t>orders consumables</t>
  </si>
  <si>
    <t>repairs and NCR solution</t>
  </si>
  <si>
    <t>maintenance tooling</t>
  </si>
  <si>
    <t>D. Richter</t>
  </si>
  <si>
    <t>PHD student</t>
  </si>
  <si>
    <t>F. Borgnolutti</t>
  </si>
  <si>
    <t>design drawing yoke packs</t>
  </si>
  <si>
    <t>heat exhanger tube</t>
  </si>
  <si>
    <t>support cold mass</t>
  </si>
  <si>
    <t>flanges</t>
  </si>
  <si>
    <t>filling pieces</t>
  </si>
  <si>
    <t>shuttle piece</t>
  </si>
  <si>
    <t>aluminium</t>
  </si>
  <si>
    <t>CHF/Kg</t>
  </si>
  <si>
    <t>design drawing collar packs</t>
  </si>
  <si>
    <t>insulation for 6 short poles material</t>
  </si>
  <si>
    <t>insulation work</t>
  </si>
  <si>
    <t>end spacers 6 poles</t>
  </si>
  <si>
    <t>layer jump components 6 poles</t>
  </si>
  <si>
    <t>Q.H. and ancillaries for 8 poles</t>
  </si>
  <si>
    <t>material + 1000 of cutting and forming</t>
  </si>
  <si>
    <t>collars for 1.25 models</t>
  </si>
  <si>
    <t>yokes for 1.25 models</t>
  </si>
  <si>
    <t>collared coil end plate 1 model</t>
  </si>
  <si>
    <t>cold mass end plate 1 model</t>
  </si>
  <si>
    <t>tie rods 1 model</t>
  </si>
  <si>
    <t>ends supports 1 model</t>
  </si>
  <si>
    <t>insulating pieces extremity</t>
  </si>
  <si>
    <t>job cost</t>
  </si>
  <si>
    <t>procurement follow up</t>
  </si>
  <si>
    <t>CERN personnel FTE year</t>
  </si>
  <si>
    <t>no recover dipoles ?</t>
  </si>
  <si>
    <t>dummy+ model+ 1 pole spare</t>
  </si>
  <si>
    <t>dummy + 1 pole</t>
  </si>
  <si>
    <t>iteration, cold mass + 1 spare+ extra</t>
  </si>
  <si>
    <t>1 model+ 1 re-collaring</t>
  </si>
  <si>
    <t>1 model + collaring model</t>
  </si>
  <si>
    <t>1 model + welding model</t>
  </si>
  <si>
    <t>1 model +1 re-collaring</t>
  </si>
  <si>
    <t>1 model+ 1 welding model</t>
  </si>
  <si>
    <t>1 model</t>
  </si>
  <si>
    <t>instrumentation model</t>
  </si>
  <si>
    <t>M. Karppinen</t>
  </si>
  <si>
    <t>fellow</t>
  </si>
  <si>
    <t>Q.H. and ancillaris for 2 magnets</t>
  </si>
  <si>
    <t>mgnetic meaurements</t>
  </si>
  <si>
    <t>splice soldering</t>
  </si>
  <si>
    <t>aperture preparation with G.I. and coil prtection sheet</t>
  </si>
  <si>
    <t>coordination pressure leak test</t>
  </si>
  <si>
    <t>mechanician</t>
  </si>
  <si>
    <t>welder</t>
  </si>
  <si>
    <t>electromechanician</t>
  </si>
  <si>
    <t xml:space="preserve">Interconnections </t>
  </si>
  <si>
    <t>kit</t>
  </si>
  <si>
    <t>phase of order</t>
  </si>
  <si>
    <t>phase covered</t>
  </si>
  <si>
    <t>cryostat ancillaries</t>
  </si>
  <si>
    <t>cold mass set</t>
  </si>
  <si>
    <t>dipole contract</t>
  </si>
  <si>
    <t>from Interconnect experience</t>
  </si>
  <si>
    <t>phase separator</t>
  </si>
  <si>
    <t>price unit</t>
  </si>
  <si>
    <t>20 CM</t>
  </si>
  <si>
    <t>cold mass end plates</t>
  </si>
  <si>
    <t>partally</t>
  </si>
  <si>
    <t>no yes steel</t>
  </si>
  <si>
    <t>no partially iron</t>
  </si>
  <si>
    <t>section inc harge</t>
  </si>
  <si>
    <t>MCS-NCM</t>
  </si>
  <si>
    <t>MCS-MDE</t>
  </si>
  <si>
    <t>Design office contingency for model</t>
  </si>
  <si>
    <t>R, Maccaferri</t>
  </si>
  <si>
    <t>MCS-LAB</t>
  </si>
  <si>
    <t>F. Savary</t>
  </si>
  <si>
    <t>S. Savary</t>
  </si>
  <si>
    <t>MCS-MF</t>
  </si>
  <si>
    <t>H. Prin</t>
  </si>
  <si>
    <t>Central team</t>
  </si>
  <si>
    <t>V. Parma</t>
  </si>
  <si>
    <t>MCS-CI</t>
  </si>
  <si>
    <t>J. P. Tock</t>
  </si>
  <si>
    <t>MCS-Lab</t>
  </si>
  <si>
    <t>V.Parma</t>
  </si>
  <si>
    <t>1 hour BE</t>
  </si>
  <si>
    <t>1 man year FSU</t>
  </si>
  <si>
    <t>tooling desing procurement</t>
  </si>
  <si>
    <t>Cat III</t>
  </si>
  <si>
    <t>Cat 2</t>
  </si>
  <si>
    <t>cat 2</t>
  </si>
  <si>
    <t xml:space="preserve">cat 2 </t>
  </si>
  <si>
    <t>string assembly</t>
  </si>
  <si>
    <t>string</t>
  </si>
  <si>
    <t>MCs-Ci</t>
  </si>
  <si>
    <t>Cat 4</t>
  </si>
  <si>
    <t>Cat3 + cat 4</t>
  </si>
  <si>
    <t>cat 3</t>
  </si>
  <si>
    <t>collaring short test and colllaring</t>
  </si>
  <si>
    <t>cat 4</t>
  </si>
  <si>
    <t>dummy collared coils</t>
  </si>
  <si>
    <t>shells for 20 magnets</t>
  </si>
  <si>
    <t>Q.H. and ancillaris for 22 magnets</t>
  </si>
  <si>
    <t>consumable</t>
  </si>
  <si>
    <t xml:space="preserve">collared coil end plates </t>
  </si>
  <si>
    <t>cryostat 19 units</t>
  </si>
  <si>
    <t>01/03 2010</t>
  </si>
  <si>
    <t>interconnections for 6 triplet</t>
  </si>
  <si>
    <t>J.P. Tock</t>
  </si>
  <si>
    <t>manget assembly phases</t>
  </si>
  <si>
    <t>winding and curing</t>
  </si>
  <si>
    <t>collared col assembly</t>
  </si>
  <si>
    <t>other production taksks</t>
  </si>
  <si>
    <t>series production</t>
  </si>
  <si>
    <t>F Savary</t>
  </si>
  <si>
    <t>corrrectors production</t>
  </si>
  <si>
    <t>cryostating 19 units</t>
  </si>
  <si>
    <t>01706/2010</t>
  </si>
  <si>
    <t>01/062009</t>
  </si>
  <si>
    <t>Job BE</t>
  </si>
  <si>
    <t>FTE FSU</t>
  </si>
  <si>
    <t>FTE CERN</t>
  </si>
  <si>
    <t>Design office contingency for proto</t>
  </si>
  <si>
    <t>Design office contingency for series</t>
  </si>
  <si>
    <t>exceptional</t>
  </si>
  <si>
    <t>continency</t>
  </si>
  <si>
    <t>travels different tasks</t>
  </si>
  <si>
    <t>travels central team, comp follow up</t>
  </si>
  <si>
    <t>total  work package</t>
  </si>
  <si>
    <t>3 pieces NCS, 4 pieces CS, 4 layer-&gt;28 pieces. Dipole 170CHF/piece for 30 sets. Unit cost*2 for small series+10000 tooling+15000 program+2000 material</t>
  </si>
  <si>
    <t>3 pieces NCS, 4 pieces CS, 4 layer-&gt;28 pieces. Dipole 170CHF/piece for 30 sets. Unit cost*2 for small series+5000 tooling+5000 program+4000 material</t>
  </si>
  <si>
    <t xml:space="preserve">dipole series: 12500chf/magnet. Scale on length= Small series cofficient 4. </t>
  </si>
  <si>
    <t>estimation for NED dipole: 750 pieces 33.000 euro-&gt; here 500*2 pieces cost reduced of 30% because of shorter perimeter eur to chf 1.7</t>
  </si>
  <si>
    <t>estimation for NED dipole: 900 pieces 50.000 euro-&gt; here 600 pieces euro to chf 1.7</t>
  </si>
  <si>
    <t>dipole:5000 chf/magnet. Coeff for reduced series: 1.5  increase price of steel 40%</t>
  </si>
  <si>
    <t>dipole: 1500 chf coff 1.6</t>
  </si>
  <si>
    <t>dipole: 5500 CHF/cold mass: scaling on length and number of poles + cost for small series facro 2</t>
  </si>
  <si>
    <t xml:space="preserve">dipole series: 300chf/pole. Small series cofficient 2. </t>
  </si>
  <si>
    <t>dipole series: 300chf/pole. Small series cofficient 2. d</t>
  </si>
  <si>
    <t>ned estimation using 304 for 1.6 m 24000 euro</t>
  </si>
  <si>
    <t>central team</t>
  </si>
  <si>
    <t>P. Fessia</t>
  </si>
  <si>
    <t>O. Crettiez</t>
  </si>
  <si>
    <t>estiamtion on the present dipole bus bar design with extra 50000 CHF for tooling refurbishement</t>
  </si>
  <si>
    <t>estimation with F. Savary on the base of LHC experience</t>
  </si>
  <si>
    <t>estimation with F.savary H. Prin based on present trpliet repair. 1 HX diam 100 mm</t>
  </si>
  <si>
    <t>cost 15m</t>
  </si>
  <si>
    <t>cost 10 m</t>
  </si>
  <si>
    <t>update 2007</t>
  </si>
  <si>
    <t>cost of a set</t>
  </si>
  <si>
    <t>manufacturing time</t>
  </si>
  <si>
    <t>spool</t>
  </si>
  <si>
    <t>brazing material</t>
  </si>
  <si>
    <t>copper for lyra</t>
  </si>
  <si>
    <t>polyimide</t>
  </si>
  <si>
    <t>pre-preg</t>
  </si>
  <si>
    <t>other</t>
  </si>
  <si>
    <t>heat exchanger</t>
  </si>
  <si>
    <t>material/unit</t>
  </si>
  <si>
    <t>forming</t>
  </si>
  <si>
    <t>steel - copper welding</t>
  </si>
  <si>
    <t>curing mould and curing beam</t>
  </si>
  <si>
    <t>FTE BE year with 230 working day /year</t>
  </si>
  <si>
    <t>Central team FTE (part of above FTE CERN)</t>
  </si>
  <si>
    <t>Purchasing help (Ph. Canard)</t>
  </si>
  <si>
    <t>FTE CERN without central team</t>
  </si>
  <si>
    <t>total components only</t>
  </si>
  <si>
    <t>yoking and CM welding including CP</t>
  </si>
  <si>
    <t>Components</t>
  </si>
  <si>
    <t>Specific tooling</t>
  </si>
  <si>
    <t>components</t>
  </si>
  <si>
    <t>total specifica tooling only</t>
  </si>
  <si>
    <t xml:space="preserve">raw material </t>
  </si>
  <si>
    <t>Nippon steel</t>
  </si>
  <si>
    <t>low carbon steel</t>
  </si>
  <si>
    <t>price/ton</t>
  </si>
  <si>
    <t>possible real purchase need</t>
  </si>
  <si>
    <t>2 copper wedge each coil, 8000 CHF extrusion tooling per shape. Small series factor 2</t>
  </si>
  <si>
    <t>dipole: 3000 CHF/cold mass: scaling on length and number of poles + cost for small series facto 1.5</t>
  </si>
  <si>
    <t>magnets</t>
  </si>
  <si>
    <t>86 CM + 4 spare</t>
  </si>
  <si>
    <t>constant</t>
  </si>
  <si>
    <t>in case of 3 layer multiply by factor 2</t>
  </si>
  <si>
    <t>8 pieces NCS, 11 pieces CS. Dipole 130CHF/piece for 30 sets +500 chf materal/set. Estiamtion here 130*19+700=3200 chf/pole+100.000 CHF tooling and CNC pgoramming</t>
  </si>
  <si>
    <t>dipole series: 250chf/pole. Small series cofficient 1.2</t>
  </si>
  <si>
    <t>in case of 3 layer multiply by 2</t>
  </si>
  <si>
    <t>collar thickness</t>
  </si>
  <si>
    <t>types of collars</t>
  </si>
  <si>
    <t>total number collars 1 magnet</t>
  </si>
  <si>
    <t>cost for a shot</t>
  </si>
  <si>
    <t>length 10m 20 magnets 2 collars each 3 mm, 8666 pieces/magnet, tooling 200000, price for shot 1.5CHF.</t>
  </si>
  <si>
    <t>indipendent layers</t>
  </si>
  <si>
    <t>collar material minimum</t>
  </si>
  <si>
    <t>collar material maximum</t>
  </si>
  <si>
    <t>price per kg steel 8 chf/kg larget aperture</t>
  </si>
  <si>
    <t>price per kg steel 8 chf/kg small aperture</t>
  </si>
  <si>
    <t>yoke thickness</t>
  </si>
  <si>
    <t>types of yoke</t>
  </si>
  <si>
    <t>total number yoke lamination 1 magnet</t>
  </si>
  <si>
    <t>length 13m 90 magnets 2 yokes each 5.8 mm, tooling 225000, price for shot 3.8CHF.</t>
  </si>
  <si>
    <t>iron for yoke min</t>
  </si>
  <si>
    <t>iron yoke max</t>
  </si>
  <si>
    <t>price per kg steel 2.5 chf/kg larget aperture</t>
  </si>
  <si>
    <t>price per kg steel 2.5 chf/kg small aperture</t>
  </si>
  <si>
    <t xml:space="preserve">dipole 5000 CHF/magnet. </t>
  </si>
  <si>
    <t>information Herve (arket survey)</t>
  </si>
  <si>
    <t xml:space="preserve">dipole:3100 chf/magnet. </t>
  </si>
  <si>
    <t>dipole:5200 chf/magnet.</t>
  </si>
  <si>
    <t>dipole 5000, scale length</t>
  </si>
  <si>
    <t>dipole: 11000. scaled  length</t>
  </si>
  <si>
    <t>collaring rods</t>
  </si>
  <si>
    <t>dipole: 1500 chf</t>
  </si>
  <si>
    <t>unit estimation on the base of the cold mass production. In addition 40000 chf tooling 1 piece 6000 chf</t>
  </si>
  <si>
    <t>dipole series: 12500chf/magnet.</t>
  </si>
  <si>
    <t>90 interconnect</t>
  </si>
  <si>
    <t>hours eq</t>
  </si>
  <si>
    <t>pirce /hour</t>
  </si>
  <si>
    <t>yers of production</t>
  </si>
  <si>
    <t>total techcnicians</t>
  </si>
  <si>
    <t>total eng</t>
  </si>
  <si>
    <t>total personnel over 4 years</t>
  </si>
  <si>
    <t>halle rent/month</t>
  </si>
  <si>
    <t>total time</t>
  </si>
  <si>
    <t>tooling MCHF</t>
  </si>
  <si>
    <t>tooling+personnel+hall</t>
  </si>
  <si>
    <t>development and procurement</t>
  </si>
  <si>
    <t>3 FTE eng for 3 years</t>
  </si>
  <si>
    <t>3 FTE tech for 3 years</t>
  </si>
  <si>
    <t>total development and procurement</t>
  </si>
  <si>
    <t>short model</t>
  </si>
  <si>
    <t>1 MCHF</t>
  </si>
  <si>
    <t>0.5 MCHF</t>
  </si>
  <si>
    <t>3 MCHF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</si>
</sst>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F800]dddd\,\ mmmm\ dd\,\ yyyy"/>
    <numFmt numFmtId="174" formatCode="mmm\-yyyy"/>
    <numFmt numFmtId="175" formatCode="&quot;£&quot;#,##0"/>
    <numFmt numFmtId="176" formatCode="0.0\ 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[$CHF]\ #,##0"/>
  </numFmts>
  <fonts count="6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14.5"/>
      <name val="Helvetica"/>
      <family val="2"/>
    </font>
    <font>
      <sz val="14.5"/>
      <name val="Helvetica"/>
      <family val="2"/>
    </font>
    <font>
      <sz val="8"/>
      <name val="Helvetica-Narrow"/>
      <family val="2"/>
    </font>
    <font>
      <b/>
      <sz val="8"/>
      <name val="Helvetica-Narrow"/>
      <family val="2"/>
    </font>
    <font>
      <sz val="7"/>
      <name val="Arial"/>
      <family val="2"/>
    </font>
    <font>
      <b/>
      <sz val="7"/>
      <name val="Dutch"/>
      <family val="0"/>
    </font>
    <font>
      <sz val="7"/>
      <name val="Dutch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1" fontId="0" fillId="0" borderId="28" xfId="0" applyNumberFormat="1" applyBorder="1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17" fontId="0" fillId="0" borderId="28" xfId="0" applyNumberFormat="1" applyBorder="1" applyAlignment="1">
      <alignment wrapText="1"/>
    </xf>
    <xf numFmtId="0" fontId="0" fillId="33" borderId="28" xfId="0" applyFill="1" applyBorder="1" applyAlignment="1">
      <alignment wrapText="1"/>
    </xf>
    <xf numFmtId="0" fontId="0" fillId="34" borderId="28" xfId="0" applyFill="1" applyBorder="1" applyAlignment="1">
      <alignment wrapText="1"/>
    </xf>
    <xf numFmtId="0" fontId="0" fillId="35" borderId="28" xfId="0" applyFill="1" applyBorder="1" applyAlignment="1">
      <alignment wrapText="1"/>
    </xf>
    <xf numFmtId="17" fontId="0" fillId="0" borderId="28" xfId="0" applyNumberFormat="1" applyFont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4" borderId="28" xfId="0" applyFont="1" applyFill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28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36" borderId="28" xfId="0" applyFont="1" applyFill="1" applyBorder="1" applyAlignment="1">
      <alignment wrapText="1"/>
    </xf>
    <xf numFmtId="14" fontId="0" fillId="0" borderId="0" xfId="0" applyNumberFormat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2" fillId="34" borderId="3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34" borderId="28" xfId="0" applyNumberFormat="1" applyFill="1" applyBorder="1" applyAlignment="1">
      <alignment horizontal="center" vertical="center"/>
    </xf>
    <xf numFmtId="14" fontId="0" fillId="34" borderId="29" xfId="0" applyNumberFormat="1" applyFill="1" applyBorder="1" applyAlignment="1">
      <alignment horizontal="center" vertical="center"/>
    </xf>
    <xf numFmtId="14" fontId="0" fillId="34" borderId="30" xfId="0" applyNumberFormat="1" applyFill="1" applyBorder="1" applyAlignment="1">
      <alignment horizontal="center" vertical="center"/>
    </xf>
    <xf numFmtId="14" fontId="0" fillId="36" borderId="28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14" fontId="0" fillId="34" borderId="3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0" fillId="34" borderId="38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34" borderId="38" xfId="0" applyNumberFormat="1" applyFill="1" applyBorder="1" applyAlignment="1">
      <alignment/>
    </xf>
    <xf numFmtId="0" fontId="0" fillId="0" borderId="20" xfId="0" applyFont="1" applyBorder="1" applyAlignment="1">
      <alignment/>
    </xf>
    <xf numFmtId="14" fontId="0" fillId="0" borderId="20" xfId="0" applyNumberFormat="1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34" borderId="33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4" fontId="0" fillId="36" borderId="36" xfId="0" applyNumberFormat="1" applyFill="1" applyBorder="1" applyAlignment="1">
      <alignment horizontal="center" vertical="center"/>
    </xf>
    <xf numFmtId="14" fontId="0" fillId="34" borderId="38" xfId="0" applyNumberForma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4" fontId="0" fillId="36" borderId="33" xfId="0" applyNumberFormat="1" applyFont="1" applyFill="1" applyBorder="1" applyAlignment="1">
      <alignment horizontal="center" vertical="center"/>
    </xf>
    <xf numFmtId="14" fontId="0" fillId="36" borderId="36" xfId="0" applyNumberFormat="1" applyFont="1" applyFill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34" borderId="36" xfId="0" applyNumberFormat="1" applyFill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34" borderId="42" xfId="0" applyNumberFormat="1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3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31" xfId="61" applyFont="1" applyBorder="1" applyAlignment="1">
      <alignment/>
      <protection/>
    </xf>
    <xf numFmtId="0" fontId="9" fillId="0" borderId="31" xfId="57" applyFont="1" applyBorder="1" applyAlignment="1">
      <alignment/>
      <protection/>
    </xf>
    <xf numFmtId="0" fontId="9" fillId="0" borderId="31" xfId="57" applyFont="1" applyBorder="1" applyAlignment="1">
      <alignment horizontal="left" vertical="top"/>
      <protection/>
    </xf>
    <xf numFmtId="0" fontId="9" fillId="0" borderId="49" xfId="57" applyFont="1" applyBorder="1" applyAlignment="1">
      <alignment horizontal="left" vertical="center"/>
      <protection/>
    </xf>
    <xf numFmtId="0" fontId="9" fillId="0" borderId="31" xfId="57" applyFont="1" applyBorder="1" applyAlignment="1">
      <alignment horizontal="left" vertical="center"/>
      <protection/>
    </xf>
    <xf numFmtId="0" fontId="9" fillId="0" borderId="0" xfId="57" applyFont="1" applyBorder="1" applyAlignment="1">
      <alignment/>
      <protection/>
    </xf>
    <xf numFmtId="0" fontId="9" fillId="0" borderId="21" xfId="57" applyFont="1" applyBorder="1" applyAlignment="1">
      <alignment horizontal="left"/>
      <protection/>
    </xf>
    <xf numFmtId="0" fontId="9" fillId="0" borderId="21" xfId="57" applyFont="1" applyBorder="1" applyAlignment="1">
      <alignment/>
      <protection/>
    </xf>
    <xf numFmtId="0" fontId="9" fillId="0" borderId="21" xfId="57" applyFont="1" applyBorder="1" applyAlignment="1">
      <alignment horizontal="left" vertical="top"/>
      <protection/>
    </xf>
    <xf numFmtId="0" fontId="9" fillId="0" borderId="28" xfId="57" applyFont="1" applyBorder="1" applyAlignment="1" quotePrefix="1">
      <alignment horizontal="left" vertical="center"/>
      <protection/>
    </xf>
    <xf numFmtId="0" fontId="9" fillId="0" borderId="17" xfId="57" applyFont="1" applyBorder="1" applyAlignment="1" quotePrefix="1">
      <alignment horizontal="left" vertical="center"/>
      <protection/>
    </xf>
    <xf numFmtId="0" fontId="9" fillId="37" borderId="15" xfId="57" applyFont="1" applyFill="1" applyBorder="1" applyAlignment="1">
      <alignment horizontal="left" vertical="top"/>
      <protection/>
    </xf>
    <xf numFmtId="0" fontId="9" fillId="37" borderId="15" xfId="57" applyFont="1" applyFill="1" applyBorder="1" applyAlignment="1">
      <alignment horizontal="left" vertical="top" wrapText="1"/>
      <protection/>
    </xf>
    <xf numFmtId="176" fontId="9" fillId="37" borderId="15" xfId="57" applyNumberFormat="1" applyFont="1" applyFill="1" applyBorder="1" applyAlignment="1">
      <alignment horizontal="right"/>
      <protection/>
    </xf>
    <xf numFmtId="0" fontId="9" fillId="0" borderId="0" xfId="57" applyFont="1" applyBorder="1" applyAlignment="1">
      <alignment horizontal="left" vertical="top"/>
      <protection/>
    </xf>
    <xf numFmtId="0" fontId="9" fillId="0" borderId="0" xfId="57" applyFont="1" applyBorder="1" applyAlignment="1">
      <alignment horizontal="left" vertical="top" wrapText="1"/>
      <protection/>
    </xf>
    <xf numFmtId="176" fontId="9" fillId="0" borderId="0" xfId="57" applyNumberFormat="1" applyFont="1" applyBorder="1" applyAlignment="1">
      <alignment horizontal="right"/>
      <protection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40" xfId="0" applyFont="1" applyBorder="1" applyAlignment="1">
      <alignment/>
    </xf>
    <xf numFmtId="0" fontId="13" fillId="0" borderId="50" xfId="0" applyFont="1" applyFill="1" applyBorder="1" applyAlignment="1">
      <alignment horizontal="center"/>
    </xf>
    <xf numFmtId="1" fontId="14" fillId="0" borderId="51" xfId="0" applyNumberFormat="1" applyFont="1" applyBorder="1" applyAlignment="1" quotePrefix="1">
      <alignment horizontal="center" vertical="center"/>
    </xf>
    <xf numFmtId="1" fontId="14" fillId="0" borderId="52" xfId="0" applyNumberFormat="1" applyFont="1" applyBorder="1" applyAlignment="1" quotePrefix="1">
      <alignment horizontal="center" vertical="center"/>
    </xf>
    <xf numFmtId="1" fontId="14" fillId="0" borderId="40" xfId="0" applyNumberFormat="1" applyFont="1" applyBorder="1" applyAlignment="1" quotePrefix="1">
      <alignment horizontal="center" vertical="center"/>
    </xf>
    <xf numFmtId="1" fontId="14" fillId="0" borderId="50" xfId="0" applyNumberFormat="1" applyFont="1" applyBorder="1" applyAlignment="1" quotePrefix="1">
      <alignment horizontal="center" vertical="center"/>
    </xf>
    <xf numFmtId="177" fontId="14" fillId="0" borderId="40" xfId="0" applyNumberFormat="1" applyFont="1" applyBorder="1" applyAlignment="1">
      <alignment vertical="center"/>
    </xf>
    <xf numFmtId="177" fontId="14" fillId="0" borderId="40" xfId="0" applyNumberFormat="1" applyFont="1" applyBorder="1" applyAlignment="1" quotePrefix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/>
    </xf>
    <xf numFmtId="1" fontId="14" fillId="0" borderId="0" xfId="0" applyNumberFormat="1" applyFont="1" applyBorder="1" applyAlignment="1" applyProtection="1" quotePrefix="1">
      <alignment horizontal="center" vertical="center"/>
      <protection locked="0"/>
    </xf>
    <xf numFmtId="1" fontId="14" fillId="0" borderId="30" xfId="0" applyNumberFormat="1" applyFont="1" applyBorder="1" applyAlignment="1" applyProtection="1" quotePrefix="1">
      <alignment horizontal="center" vertical="center"/>
      <protection locked="0"/>
    </xf>
    <xf numFmtId="1" fontId="14" fillId="0" borderId="41" xfId="0" applyNumberFormat="1" applyFont="1" applyBorder="1" applyAlignment="1" applyProtection="1" quotePrefix="1">
      <alignment horizontal="center" vertical="center"/>
      <protection locked="0"/>
    </xf>
    <xf numFmtId="177" fontId="14" fillId="0" borderId="0" xfId="0" applyNumberFormat="1" applyFont="1" applyBorder="1" applyAlignment="1" applyProtection="1">
      <alignment horizontal="center" vertical="center"/>
      <protection locked="0"/>
    </xf>
    <xf numFmtId="177" fontId="14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>
      <alignment horizontal="center" vertical="center"/>
    </xf>
    <xf numFmtId="3" fontId="13" fillId="0" borderId="55" xfId="0" applyNumberFormat="1" applyFont="1" applyFill="1" applyBorder="1" applyAlignment="1">
      <alignment horizontal="left" vertical="center"/>
    </xf>
    <xf numFmtId="177" fontId="15" fillId="0" borderId="56" xfId="0" applyNumberFormat="1" applyFont="1" applyBorder="1" applyAlignment="1">
      <alignment horizontal="center" vertical="center"/>
    </xf>
    <xf numFmtId="177" fontId="15" fillId="0" borderId="57" xfId="0" applyNumberFormat="1" applyFont="1" applyBorder="1" applyAlignment="1">
      <alignment horizontal="center" vertical="center"/>
    </xf>
    <xf numFmtId="177" fontId="15" fillId="0" borderId="54" xfId="0" applyNumberFormat="1" applyFont="1" applyBorder="1" applyAlignment="1">
      <alignment horizontal="center" vertical="center"/>
    </xf>
    <xf numFmtId="177" fontId="15" fillId="0" borderId="55" xfId="0" applyNumberFormat="1" applyFont="1" applyBorder="1" applyAlignment="1">
      <alignment horizontal="center" vertical="center"/>
    </xf>
    <xf numFmtId="177" fontId="15" fillId="0" borderId="58" xfId="0" applyNumberFormat="1" applyFont="1" applyBorder="1" applyAlignment="1">
      <alignment horizontal="center" vertical="center"/>
    </xf>
    <xf numFmtId="177" fontId="15" fillId="0" borderId="59" xfId="0" applyNumberFormat="1" applyFont="1" applyBorder="1" applyAlignment="1">
      <alignment horizontal="center" vertical="center"/>
    </xf>
    <xf numFmtId="0" fontId="13" fillId="0" borderId="58" xfId="0" applyFont="1" applyFill="1" applyBorder="1" applyAlignment="1">
      <alignment horizontal="centerContinuous" vertical="center"/>
    </xf>
    <xf numFmtId="3" fontId="13" fillId="0" borderId="60" xfId="0" applyNumberFormat="1" applyFont="1" applyFill="1" applyBorder="1" applyAlignment="1">
      <alignment horizontal="left" vertical="center"/>
    </xf>
    <xf numFmtId="177" fontId="16" fillId="0" borderId="21" xfId="0" applyNumberFormat="1" applyFont="1" applyBorder="1" applyAlignment="1">
      <alignment horizontal="center" vertical="center"/>
    </xf>
    <xf numFmtId="177" fontId="16" fillId="0" borderId="20" xfId="0" applyNumberFormat="1" applyFont="1" applyBorder="1" applyAlignment="1">
      <alignment horizontal="center" vertical="center"/>
    </xf>
    <xf numFmtId="177" fontId="16" fillId="0" borderId="61" xfId="0" applyNumberFormat="1" applyFont="1" applyBorder="1" applyAlignment="1">
      <alignment horizontal="center" vertical="center"/>
    </xf>
    <xf numFmtId="177" fontId="16" fillId="0" borderId="58" xfId="0" applyNumberFormat="1" applyFont="1" applyBorder="1" applyAlignment="1">
      <alignment horizontal="center" vertical="center"/>
    </xf>
    <xf numFmtId="177" fontId="16" fillId="0" borderId="59" xfId="0" applyNumberFormat="1" applyFont="1" applyBorder="1" applyAlignment="1" quotePrefix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left" vertical="center"/>
    </xf>
    <xf numFmtId="177" fontId="16" fillId="0" borderId="15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left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41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left" vertical="center"/>
    </xf>
    <xf numFmtId="0" fontId="9" fillId="34" borderId="0" xfId="57" applyFont="1" applyFill="1" applyBorder="1" applyAlignment="1">
      <alignment horizontal="left" vertical="top" wrapText="1"/>
      <protection/>
    </xf>
    <xf numFmtId="176" fontId="9" fillId="34" borderId="0" xfId="57" applyNumberFormat="1" applyFont="1" applyFill="1" applyBorder="1" applyAlignment="1">
      <alignment horizontal="right"/>
      <protection/>
    </xf>
    <xf numFmtId="0" fontId="9" fillId="34" borderId="0" xfId="57" applyFont="1" applyFill="1" applyBorder="1" applyAlignment="1">
      <alignment horizontal="left" vertical="top"/>
      <protection/>
    </xf>
    <xf numFmtId="3" fontId="12" fillId="34" borderId="41" xfId="0" applyNumberFormat="1" applyFont="1" applyFill="1" applyBorder="1" applyAlignment="1">
      <alignment horizontal="left" vertical="center"/>
    </xf>
    <xf numFmtId="177" fontId="16" fillId="34" borderId="0" xfId="0" applyNumberFormat="1" applyFont="1" applyFill="1" applyBorder="1" applyAlignment="1">
      <alignment horizontal="center" vertical="center"/>
    </xf>
    <xf numFmtId="177" fontId="16" fillId="34" borderId="4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0" applyAlignment="1">
      <alignment horizontal="left" wrapText="1"/>
    </xf>
    <xf numFmtId="10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0" borderId="28" xfId="0" applyFont="1" applyBorder="1" applyAlignment="1">
      <alignment wrapText="1"/>
    </xf>
    <xf numFmtId="0" fontId="0" fillId="34" borderId="28" xfId="0" applyFont="1" applyFill="1" applyBorder="1" applyAlignment="1">
      <alignment wrapText="1"/>
    </xf>
    <xf numFmtId="1" fontId="0" fillId="34" borderId="28" xfId="0" applyNumberFormat="1" applyFill="1" applyBorder="1" applyAlignment="1">
      <alignment wrapText="1"/>
    </xf>
    <xf numFmtId="18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17" fillId="0" borderId="28" xfId="0" applyFont="1" applyBorder="1" applyAlignment="1">
      <alignment wrapText="1"/>
    </xf>
    <xf numFmtId="0" fontId="0" fillId="0" borderId="28" xfId="0" applyBorder="1" applyAlignment="1">
      <alignment horizontal="left" wrapText="1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left" wrapText="1"/>
    </xf>
    <xf numFmtId="177" fontId="4" fillId="0" borderId="28" xfId="0" applyNumberFormat="1" applyFont="1" applyFill="1" applyBorder="1" applyAlignment="1">
      <alignment horizontal="right" vertical="center"/>
    </xf>
    <xf numFmtId="0" fontId="4" fillId="38" borderId="28" xfId="0" applyFont="1" applyFill="1" applyBorder="1" applyAlignment="1">
      <alignment wrapText="1"/>
    </xf>
    <xf numFmtId="17" fontId="18" fillId="38" borderId="28" xfId="0" applyNumberFormat="1" applyFont="1" applyFill="1" applyBorder="1" applyAlignment="1">
      <alignment wrapText="1"/>
    </xf>
    <xf numFmtId="0" fontId="4" fillId="38" borderId="28" xfId="0" applyFont="1" applyFill="1" applyBorder="1" applyAlignment="1">
      <alignment/>
    </xf>
    <xf numFmtId="14" fontId="0" fillId="36" borderId="29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62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14" fontId="0" fillId="34" borderId="52" xfId="0" applyNumberForma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14" fontId="0" fillId="34" borderId="64" xfId="0" applyNumberFormat="1" applyFill="1" applyBorder="1" applyAlignment="1">
      <alignment/>
    </xf>
    <xf numFmtId="0" fontId="0" fillId="0" borderId="48" xfId="0" applyBorder="1" applyAlignment="1">
      <alignment/>
    </xf>
    <xf numFmtId="0" fontId="0" fillId="0" borderId="65" xfId="0" applyBorder="1" applyAlignment="1">
      <alignment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 vertical="center"/>
    </xf>
    <xf numFmtId="14" fontId="0" fillId="34" borderId="57" xfId="0" applyNumberFormat="1" applyFill="1" applyBorder="1" applyAlignment="1">
      <alignment/>
    </xf>
    <xf numFmtId="14" fontId="0" fillId="34" borderId="17" xfId="0" applyNumberFormat="1" applyFill="1" applyBorder="1" applyAlignment="1">
      <alignment horizontal="center" vertical="center"/>
    </xf>
    <xf numFmtId="14" fontId="0" fillId="34" borderId="66" xfId="0" applyNumberFormat="1" applyFont="1" applyFill="1" applyBorder="1" applyAlignment="1">
      <alignment horizontal="center" vertical="center"/>
    </xf>
    <xf numFmtId="14" fontId="0" fillId="34" borderId="67" xfId="0" applyNumberFormat="1" applyFill="1" applyBorder="1" applyAlignment="1">
      <alignment horizontal="center" vertical="center"/>
    </xf>
    <xf numFmtId="14" fontId="0" fillId="34" borderId="66" xfId="0" applyNumberFormat="1" applyFill="1" applyBorder="1" applyAlignment="1">
      <alignment/>
    </xf>
    <xf numFmtId="14" fontId="0" fillId="34" borderId="56" xfId="0" applyNumberFormat="1" applyFill="1" applyBorder="1" applyAlignment="1">
      <alignment/>
    </xf>
    <xf numFmtId="14" fontId="0" fillId="0" borderId="68" xfId="0" applyNumberFormat="1" applyFont="1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14" fontId="0" fillId="34" borderId="51" xfId="0" applyNumberFormat="1" applyFill="1" applyBorder="1" applyAlignment="1">
      <alignment/>
    </xf>
    <xf numFmtId="14" fontId="0" fillId="34" borderId="69" xfId="0" applyNumberFormat="1" applyFill="1" applyBorder="1" applyAlignment="1">
      <alignment/>
    </xf>
    <xf numFmtId="14" fontId="0" fillId="36" borderId="67" xfId="0" applyNumberFormat="1" applyFill="1" applyBorder="1" applyAlignment="1">
      <alignment horizontal="center" vertical="center"/>
    </xf>
    <xf numFmtId="14" fontId="0" fillId="36" borderId="70" xfId="0" applyNumberFormat="1" applyFill="1" applyBorder="1" applyAlignment="1">
      <alignment horizontal="center" vertical="center"/>
    </xf>
    <xf numFmtId="14" fontId="0" fillId="36" borderId="17" xfId="0" applyNumberFormat="1" applyFill="1" applyBorder="1" applyAlignment="1">
      <alignment horizontal="center" vertical="center"/>
    </xf>
    <xf numFmtId="14" fontId="0" fillId="36" borderId="49" xfId="0" applyNumberFormat="1" applyFill="1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14" fontId="0" fillId="36" borderId="42" xfId="0" applyNumberFormat="1" applyFill="1" applyBorder="1" applyAlignment="1">
      <alignment horizontal="center" vertical="center"/>
    </xf>
    <xf numFmtId="14" fontId="0" fillId="36" borderId="70" xfId="0" applyNumberFormat="1" applyFont="1" applyFill="1" applyBorder="1" applyAlignment="1">
      <alignment horizontal="center" vertical="center"/>
    </xf>
    <xf numFmtId="14" fontId="0" fillId="0" borderId="68" xfId="0" applyNumberFormat="1" applyBorder="1" applyAlignment="1">
      <alignment horizontal="center" vertical="center"/>
    </xf>
    <xf numFmtId="14" fontId="0" fillId="36" borderId="66" xfId="0" applyNumberFormat="1" applyFill="1" applyBorder="1" applyAlignment="1">
      <alignment horizontal="center" vertical="center"/>
    </xf>
    <xf numFmtId="14" fontId="0" fillId="0" borderId="67" xfId="0" applyNumberFormat="1" applyBorder="1" applyAlignment="1">
      <alignment horizontal="center" vertical="center"/>
    </xf>
    <xf numFmtId="14" fontId="0" fillId="0" borderId="66" xfId="0" applyNumberFormat="1" applyBorder="1" applyAlignment="1">
      <alignment horizontal="center" vertical="center"/>
    </xf>
    <xf numFmtId="14" fontId="0" fillId="0" borderId="42" xfId="0" applyNumberFormat="1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70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17" xfId="0" applyBorder="1" applyAlignment="1">
      <alignment horizontal="center"/>
    </xf>
    <xf numFmtId="14" fontId="0" fillId="39" borderId="66" xfId="0" applyNumberFormat="1" applyFill="1" applyBorder="1" applyAlignment="1">
      <alignment horizontal="center" vertical="center"/>
    </xf>
    <xf numFmtId="14" fontId="0" fillId="39" borderId="67" xfId="0" applyNumberFormat="1" applyFill="1" applyBorder="1" applyAlignment="1">
      <alignment horizontal="center" vertical="center"/>
    </xf>
    <xf numFmtId="14" fontId="0" fillId="39" borderId="17" xfId="0" applyNumberFormat="1" applyFill="1" applyBorder="1" applyAlignment="1">
      <alignment horizontal="center" vertical="center"/>
    </xf>
    <xf numFmtId="14" fontId="0" fillId="39" borderId="70" xfId="0" applyNumberFormat="1" applyFill="1" applyBorder="1" applyAlignment="1">
      <alignment horizontal="center" vertical="center"/>
    </xf>
    <xf numFmtId="14" fontId="0" fillId="39" borderId="33" xfId="0" applyNumberFormat="1" applyFill="1" applyBorder="1" applyAlignment="1">
      <alignment horizontal="center" vertical="center"/>
    </xf>
    <xf numFmtId="14" fontId="0" fillId="39" borderId="28" xfId="0" applyNumberFormat="1" applyFill="1" applyBorder="1" applyAlignment="1">
      <alignment horizontal="center" vertical="center"/>
    </xf>
    <xf numFmtId="14" fontId="0" fillId="39" borderId="36" xfId="0" applyNumberForma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36" borderId="28" xfId="0" applyFill="1" applyBorder="1" applyAlignment="1">
      <alignment horizontal="center" vertical="center"/>
    </xf>
    <xf numFmtId="14" fontId="0" fillId="39" borderId="49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1" fontId="0" fillId="34" borderId="28" xfId="0" applyNumberFormat="1" applyFont="1" applyFill="1" applyBorder="1" applyAlignment="1">
      <alignment wrapText="1"/>
    </xf>
    <xf numFmtId="1" fontId="0" fillId="34" borderId="28" xfId="0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8" xfId="0" applyFont="1" applyFill="1" applyBorder="1" applyAlignment="1">
      <alignment wrapText="1"/>
    </xf>
    <xf numFmtId="1" fontId="0" fillId="0" borderId="28" xfId="0" applyNumberForma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7" fontId="0" fillId="0" borderId="28" xfId="0" applyNumberForma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1" fontId="4" fillId="0" borderId="28" xfId="0" applyNumberFormat="1" applyFont="1" applyFill="1" applyBorder="1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8" xfId="0" applyBorder="1" applyAlignment="1">
      <alignment/>
    </xf>
    <xf numFmtId="0" fontId="0" fillId="0" borderId="73" xfId="0" applyFill="1" applyBorder="1" applyAlignment="1">
      <alignment/>
    </xf>
    <xf numFmtId="0" fontId="0" fillId="0" borderId="20" xfId="0" applyFont="1" applyBorder="1" applyAlignment="1">
      <alignment horizontal="center"/>
    </xf>
    <xf numFmtId="14" fontId="0" fillId="36" borderId="20" xfId="0" applyNumberFormat="1" applyFont="1" applyFill="1" applyBorder="1" applyAlignment="1">
      <alignment horizontal="center" vertical="center"/>
    </xf>
    <xf numFmtId="14" fontId="0" fillId="36" borderId="68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14" fontId="0" fillId="36" borderId="38" xfId="0" applyNumberFormat="1" applyFont="1" applyFill="1" applyBorder="1" applyAlignment="1">
      <alignment horizontal="center" vertical="center"/>
    </xf>
    <xf numFmtId="14" fontId="0" fillId="36" borderId="74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/>
    </xf>
    <xf numFmtId="14" fontId="0" fillId="40" borderId="67" xfId="0" applyNumberFormat="1" applyFont="1" applyFill="1" applyBorder="1" applyAlignment="1">
      <alignment horizontal="center" vertical="center"/>
    </xf>
    <xf numFmtId="14" fontId="0" fillId="40" borderId="7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48" xfId="0" applyFill="1" applyBorder="1" applyAlignment="1">
      <alignment/>
    </xf>
    <xf numFmtId="14" fontId="0" fillId="39" borderId="29" xfId="0" applyNumberFormat="1" applyFill="1" applyBorder="1" applyAlignment="1">
      <alignment horizontal="center" vertical="center"/>
    </xf>
    <xf numFmtId="14" fontId="0" fillId="39" borderId="38" xfId="0" applyNumberFormat="1" applyFill="1" applyBorder="1" applyAlignment="1">
      <alignment horizontal="center" vertical="center"/>
    </xf>
    <xf numFmtId="14" fontId="0" fillId="39" borderId="75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14" fontId="0" fillId="0" borderId="28" xfId="0" applyNumberFormat="1" applyFill="1" applyBorder="1" applyAlignment="1">
      <alignment horizontal="center" vertical="center"/>
    </xf>
    <xf numFmtId="14" fontId="0" fillId="0" borderId="30" xfId="0" applyNumberFormat="1" applyFill="1" applyBorder="1" applyAlignment="1">
      <alignment horizontal="center" vertical="center"/>
    </xf>
    <xf numFmtId="14" fontId="0" fillId="41" borderId="77" xfId="0" applyNumberFormat="1" applyFill="1" applyBorder="1" applyAlignment="1">
      <alignment horizontal="center" vertical="center"/>
    </xf>
    <xf numFmtId="14" fontId="0" fillId="35" borderId="28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4" fontId="0" fillId="0" borderId="29" xfId="0" applyNumberFormat="1" applyFill="1" applyBorder="1" applyAlignment="1">
      <alignment horizontal="center" vertical="center"/>
    </xf>
    <xf numFmtId="14" fontId="0" fillId="40" borderId="57" xfId="0" applyNumberFormat="1" applyFill="1" applyBorder="1" applyAlignment="1">
      <alignment horizontal="center" vertical="center"/>
    </xf>
    <xf numFmtId="14" fontId="0" fillId="35" borderId="78" xfId="0" applyNumberFormat="1" applyFill="1" applyBorder="1" applyAlignment="1">
      <alignment horizontal="center" vertical="center"/>
    </xf>
    <xf numFmtId="14" fontId="0" fillId="40" borderId="76" xfId="0" applyNumberFormat="1" applyFill="1" applyBorder="1" applyAlignment="1">
      <alignment horizontal="center" vertical="center"/>
    </xf>
    <xf numFmtId="14" fontId="0" fillId="35" borderId="79" xfId="0" applyNumberFormat="1" applyFill="1" applyBorder="1" applyAlignment="1">
      <alignment horizontal="center" vertical="center"/>
    </xf>
    <xf numFmtId="14" fontId="0" fillId="36" borderId="38" xfId="0" applyNumberFormat="1" applyFill="1" applyBorder="1" applyAlignment="1">
      <alignment horizontal="center" vertical="center"/>
    </xf>
    <xf numFmtId="183" fontId="0" fillId="0" borderId="0" xfId="0" applyNumberFormat="1" applyAlignment="1">
      <alignment/>
    </xf>
    <xf numFmtId="0" fontId="0" fillId="0" borderId="59" xfId="0" applyBorder="1" applyAlignment="1">
      <alignment/>
    </xf>
    <xf numFmtId="0" fontId="0" fillId="0" borderId="11" xfId="0" applyBorder="1" applyAlignment="1">
      <alignment/>
    </xf>
    <xf numFmtId="183" fontId="0" fillId="0" borderId="28" xfId="0" applyNumberFormat="1" applyBorder="1" applyAlignment="1">
      <alignment/>
    </xf>
    <xf numFmtId="183" fontId="0" fillId="0" borderId="72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183" fontId="4" fillId="0" borderId="16" xfId="0" applyNumberFormat="1" applyFont="1" applyBorder="1" applyAlignment="1">
      <alignment horizontal="center"/>
    </xf>
    <xf numFmtId="183" fontId="4" fillId="0" borderId="80" xfId="0" applyNumberFormat="1" applyFont="1" applyBorder="1" applyAlignment="1">
      <alignment horizontal="center"/>
    </xf>
    <xf numFmtId="177" fontId="0" fillId="0" borderId="28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72" xfId="0" applyNumberFormat="1" applyBorder="1" applyAlignment="1">
      <alignment/>
    </xf>
    <xf numFmtId="177" fontId="0" fillId="0" borderId="80" xfId="0" applyNumberFormat="1" applyBorder="1" applyAlignment="1">
      <alignment/>
    </xf>
    <xf numFmtId="14" fontId="0" fillId="36" borderId="57" xfId="0" applyNumberFormat="1" applyFill="1" applyBorder="1" applyAlignment="1">
      <alignment/>
    </xf>
    <xf numFmtId="14" fontId="0" fillId="36" borderId="56" xfId="0" applyNumberFormat="1" applyFill="1" applyBorder="1" applyAlignment="1">
      <alignment/>
    </xf>
    <xf numFmtId="14" fontId="0" fillId="39" borderId="57" xfId="0" applyNumberFormat="1" applyFill="1" applyBorder="1" applyAlignment="1">
      <alignment/>
    </xf>
    <xf numFmtId="14" fontId="0" fillId="39" borderId="56" xfId="0" applyNumberFormat="1" applyFill="1" applyBorder="1" applyAlignment="1">
      <alignment/>
    </xf>
    <xf numFmtId="0" fontId="0" fillId="0" borderId="49" xfId="0" applyBorder="1" applyAlignment="1">
      <alignment/>
    </xf>
    <xf numFmtId="0" fontId="0" fillId="0" borderId="81" xfId="0" applyBorder="1" applyAlignment="1">
      <alignment/>
    </xf>
    <xf numFmtId="0" fontId="0" fillId="0" borderId="76" xfId="0" applyBorder="1" applyAlignment="1">
      <alignment horizontal="center"/>
    </xf>
    <xf numFmtId="14" fontId="0" fillId="39" borderId="76" xfId="0" applyNumberFormat="1" applyFill="1" applyBorder="1" applyAlignment="1">
      <alignment horizontal="center" vertical="center"/>
    </xf>
    <xf numFmtId="14" fontId="0" fillId="0" borderId="57" xfId="0" applyNumberFormat="1" applyFill="1" applyBorder="1" applyAlignment="1">
      <alignment horizontal="center" vertical="center"/>
    </xf>
    <xf numFmtId="14" fontId="0" fillId="0" borderId="78" xfId="0" applyNumberForma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5" xfId="0" applyBorder="1" applyAlignment="1">
      <alignment wrapText="1"/>
    </xf>
    <xf numFmtId="177" fontId="0" fillId="0" borderId="57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71" xfId="0" applyFill="1" applyBorder="1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Font="1" applyFill="1" applyAlignment="1">
      <alignment wrapText="1"/>
    </xf>
    <xf numFmtId="14" fontId="0" fillId="40" borderId="79" xfId="0" applyNumberForma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76" xfId="0" applyBorder="1" applyAlignment="1">
      <alignment/>
    </xf>
    <xf numFmtId="0" fontId="0" fillId="42" borderId="33" xfId="0" applyFill="1" applyBorder="1" applyAlignment="1">
      <alignment/>
    </xf>
    <xf numFmtId="0" fontId="0" fillId="42" borderId="33" xfId="0" applyFont="1" applyFill="1" applyBorder="1" applyAlignment="1">
      <alignment/>
    </xf>
    <xf numFmtId="0" fontId="0" fillId="42" borderId="33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/>
    </xf>
    <xf numFmtId="14" fontId="0" fillId="42" borderId="33" xfId="0" applyNumberFormat="1" applyFill="1" applyBorder="1" applyAlignment="1">
      <alignment horizontal="center" vertical="center"/>
    </xf>
    <xf numFmtId="0" fontId="0" fillId="42" borderId="28" xfId="0" applyFill="1" applyBorder="1" applyAlignment="1">
      <alignment/>
    </xf>
    <xf numFmtId="0" fontId="0" fillId="42" borderId="28" xfId="0" applyFont="1" applyFill="1" applyBorder="1" applyAlignment="1">
      <alignment/>
    </xf>
    <xf numFmtId="0" fontId="0" fillId="42" borderId="28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/>
    </xf>
    <xf numFmtId="14" fontId="0" fillId="42" borderId="28" xfId="0" applyNumberFormat="1" applyFill="1" applyBorder="1" applyAlignment="1">
      <alignment horizontal="center" vertical="center"/>
    </xf>
    <xf numFmtId="0" fontId="0" fillId="42" borderId="28" xfId="0" applyFont="1" applyFill="1" applyBorder="1" applyAlignment="1">
      <alignment/>
    </xf>
    <xf numFmtId="0" fontId="0" fillId="42" borderId="36" xfId="0" applyFill="1" applyBorder="1" applyAlignment="1">
      <alignment/>
    </xf>
    <xf numFmtId="0" fontId="0" fillId="42" borderId="36" xfId="0" applyFill="1" applyBorder="1" applyAlignment="1">
      <alignment horizontal="center" vertical="center"/>
    </xf>
    <xf numFmtId="0" fontId="0" fillId="42" borderId="36" xfId="0" applyFill="1" applyBorder="1" applyAlignment="1">
      <alignment horizontal="center"/>
    </xf>
    <xf numFmtId="14" fontId="0" fillId="42" borderId="36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82" xfId="0" applyFont="1" applyBorder="1" applyAlignment="1">
      <alignment wrapText="1"/>
    </xf>
    <xf numFmtId="183" fontId="0" fillId="0" borderId="0" xfId="0" applyNumberForma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183" fontId="0" fillId="0" borderId="30" xfId="0" applyNumberFormat="1" applyBorder="1" applyAlignment="1">
      <alignment horizontal="center"/>
    </xf>
    <xf numFmtId="183" fontId="0" fillId="0" borderId="13" xfId="0" applyNumberFormat="1" applyBorder="1" applyAlignment="1">
      <alignment horizontal="center"/>
    </xf>
    <xf numFmtId="0" fontId="60" fillId="0" borderId="28" xfId="0" applyFont="1" applyBorder="1" applyAlignment="1">
      <alignment/>
    </xf>
    <xf numFmtId="0" fontId="60" fillId="0" borderId="0" xfId="0" applyFont="1" applyAlignment="1">
      <alignment/>
    </xf>
    <xf numFmtId="0" fontId="0" fillId="0" borderId="14" xfId="0" applyFont="1" applyBorder="1" applyAlignment="1">
      <alignment/>
    </xf>
    <xf numFmtId="14" fontId="0" fillId="0" borderId="0" xfId="0" applyNumberFormat="1" applyFont="1" applyAlignment="1">
      <alignment horizontal="center" vertical="center"/>
    </xf>
    <xf numFmtId="0" fontId="4" fillId="0" borderId="28" xfId="0" applyFont="1" applyBorder="1" applyAlignment="1">
      <alignment horizontal="center"/>
    </xf>
    <xf numFmtId="183" fontId="4" fillId="0" borderId="28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/>
    </xf>
    <xf numFmtId="0" fontId="2" fillId="0" borderId="8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1" xfId="0" applyBorder="1" applyAlignment="1">
      <alignment horizontal="center"/>
    </xf>
    <xf numFmtId="183" fontId="0" fillId="0" borderId="71" xfId="0" applyNumberFormat="1" applyBorder="1" applyAlignment="1">
      <alignment horizontal="center"/>
    </xf>
    <xf numFmtId="183" fontId="0" fillId="0" borderId="72" xfId="0" applyNumberFormat="1" applyBorder="1" applyAlignment="1">
      <alignment horizontal="center"/>
    </xf>
    <xf numFmtId="183" fontId="0" fillId="0" borderId="8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83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40" borderId="76" xfId="0" applyNumberFormat="1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0" fillId="40" borderId="84" xfId="0" applyFill="1" applyBorder="1" applyAlignment="1">
      <alignment horizontal="center" vertical="center"/>
    </xf>
    <xf numFmtId="14" fontId="0" fillId="35" borderId="79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1" fontId="0" fillId="0" borderId="23" xfId="0" applyNumberFormat="1" applyBorder="1" applyAlignment="1">
      <alignment/>
    </xf>
    <xf numFmtId="14" fontId="0" fillId="36" borderId="52" xfId="0" applyNumberForma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4" fontId="0" fillId="39" borderId="8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4" fontId="0" fillId="39" borderId="77" xfId="0" applyNumberFormat="1" applyFill="1" applyBorder="1" applyAlignment="1">
      <alignment horizontal="center" vertical="center"/>
    </xf>
    <xf numFmtId="0" fontId="0" fillId="39" borderId="42" xfId="0" applyFill="1" applyBorder="1" applyAlignment="1">
      <alignment horizontal="center" vertical="center"/>
    </xf>
    <xf numFmtId="0" fontId="0" fillId="39" borderId="87" xfId="0" applyFill="1" applyBorder="1" applyAlignment="1">
      <alignment horizontal="center" vertical="center"/>
    </xf>
    <xf numFmtId="14" fontId="0" fillId="39" borderId="29" xfId="0" applyNumberFormat="1" applyFill="1" applyBorder="1" applyAlignment="1">
      <alignment horizontal="center" vertical="center"/>
    </xf>
    <xf numFmtId="14" fontId="0" fillId="39" borderId="30" xfId="0" applyNumberFormat="1" applyFill="1" applyBorder="1" applyAlignment="1">
      <alignment horizontal="center" vertical="center"/>
    </xf>
    <xf numFmtId="14" fontId="0" fillId="39" borderId="20" xfId="0" applyNumberForma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34" borderId="51" xfId="0" applyNumberFormat="1" applyFill="1" applyBorder="1" applyAlignment="1">
      <alignment horizontal="center" vertical="center"/>
    </xf>
    <xf numFmtId="14" fontId="0" fillId="34" borderId="42" xfId="0" applyNumberFormat="1" applyFill="1" applyBorder="1" applyAlignment="1">
      <alignment horizontal="center" vertical="center"/>
    </xf>
    <xf numFmtId="14" fontId="0" fillId="34" borderId="68" xfId="0" applyNumberFormat="1" applyFill="1" applyBorder="1" applyAlignment="1">
      <alignment horizontal="center" vertical="center"/>
    </xf>
    <xf numFmtId="14" fontId="0" fillId="34" borderId="67" xfId="0" applyNumberFormat="1" applyFont="1" applyFill="1" applyBorder="1" applyAlignment="1">
      <alignment horizontal="center" vertical="center"/>
    </xf>
    <xf numFmtId="14" fontId="0" fillId="34" borderId="70" xfId="0" applyNumberFormat="1" applyFill="1" applyBorder="1" applyAlignment="1">
      <alignment horizontal="center" vertical="center"/>
    </xf>
    <xf numFmtId="14" fontId="0" fillId="34" borderId="67" xfId="0" applyNumberFormat="1" applyFill="1" applyBorder="1" applyAlignment="1">
      <alignment horizontal="center" vertical="center"/>
    </xf>
    <xf numFmtId="14" fontId="0" fillId="34" borderId="17" xfId="0" applyNumberFormat="1" applyFill="1" applyBorder="1" applyAlignment="1">
      <alignment horizontal="center" vertical="center"/>
    </xf>
    <xf numFmtId="14" fontId="0" fillId="34" borderId="67" xfId="0" applyNumberFormat="1" applyFill="1" applyBorder="1" applyAlignment="1">
      <alignment/>
    </xf>
    <xf numFmtId="14" fontId="0" fillId="34" borderId="70" xfId="0" applyNumberFormat="1" applyFill="1" applyBorder="1" applyAlignment="1">
      <alignment/>
    </xf>
    <xf numFmtId="14" fontId="0" fillId="34" borderId="67" xfId="0" applyNumberFormat="1" applyFont="1" applyFill="1" applyBorder="1" applyAlignment="1">
      <alignment/>
    </xf>
    <xf numFmtId="14" fontId="0" fillId="36" borderId="67" xfId="0" applyNumberFormat="1" applyFill="1" applyBorder="1" applyAlignment="1">
      <alignment/>
    </xf>
    <xf numFmtId="14" fontId="0" fillId="36" borderId="17" xfId="0" applyNumberFormat="1" applyFill="1" applyBorder="1" applyAlignment="1">
      <alignment/>
    </xf>
    <xf numFmtId="14" fontId="0" fillId="36" borderId="49" xfId="0" applyNumberFormat="1" applyFill="1" applyBorder="1" applyAlignment="1">
      <alignment/>
    </xf>
    <xf numFmtId="14" fontId="0" fillId="36" borderId="67" xfId="0" applyNumberFormat="1" applyFont="1" applyFill="1" applyBorder="1" applyAlignment="1">
      <alignment horizontal="center" vertical="center"/>
    </xf>
    <xf numFmtId="14" fontId="0" fillId="36" borderId="17" xfId="0" applyNumberFormat="1" applyFill="1" applyBorder="1" applyAlignment="1">
      <alignment horizontal="center" vertical="center"/>
    </xf>
    <xf numFmtId="14" fontId="0" fillId="36" borderId="70" xfId="0" applyNumberFormat="1" applyFill="1" applyBorder="1" applyAlignment="1">
      <alignment horizontal="center" vertical="center"/>
    </xf>
    <xf numFmtId="14" fontId="0" fillId="36" borderId="67" xfId="0" applyNumberFormat="1" applyFill="1" applyBorder="1" applyAlignment="1">
      <alignment horizontal="center" vertical="center"/>
    </xf>
    <xf numFmtId="14" fontId="0" fillId="36" borderId="49" xfId="0" applyNumberFormat="1" applyFill="1" applyBorder="1" applyAlignment="1">
      <alignment horizontal="center" vertical="center"/>
    </xf>
    <xf numFmtId="14" fontId="0" fillId="42" borderId="33" xfId="0" applyNumberFormat="1" applyFill="1" applyBorder="1" applyAlignment="1">
      <alignment horizontal="center" vertical="center"/>
    </xf>
    <xf numFmtId="14" fontId="0" fillId="42" borderId="28" xfId="0" applyNumberFormat="1" applyFill="1" applyBorder="1" applyAlignment="1">
      <alignment horizontal="center" vertical="center"/>
    </xf>
    <xf numFmtId="14" fontId="0" fillId="42" borderId="36" xfId="0" applyNumberFormat="1" applyFill="1" applyBorder="1" applyAlignment="1">
      <alignment horizontal="center" vertical="center"/>
    </xf>
    <xf numFmtId="14" fontId="0" fillId="34" borderId="52" xfId="0" applyNumberFormat="1" applyFill="1" applyBorder="1" applyAlignment="1">
      <alignment horizontal="center" vertical="center"/>
    </xf>
    <xf numFmtId="14" fontId="0" fillId="34" borderId="30" xfId="0" applyNumberFormat="1" applyFill="1" applyBorder="1" applyAlignment="1">
      <alignment horizontal="center" vertical="center"/>
    </xf>
    <xf numFmtId="14" fontId="0" fillId="34" borderId="20" xfId="0" applyNumberFormat="1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14" fontId="0" fillId="34" borderId="46" xfId="0" applyNumberFormat="1" applyFont="1" applyFill="1" applyBorder="1" applyAlignment="1">
      <alignment horizontal="center" vertical="center"/>
    </xf>
    <xf numFmtId="14" fontId="0" fillId="34" borderId="18" xfId="0" applyNumberFormat="1" applyFill="1" applyBorder="1" applyAlignment="1">
      <alignment horizontal="center" vertical="center"/>
    </xf>
    <xf numFmtId="14" fontId="0" fillId="34" borderId="47" xfId="0" applyNumberFormat="1" applyFill="1" applyBorder="1" applyAlignment="1">
      <alignment horizontal="center" vertical="center"/>
    </xf>
    <xf numFmtId="14" fontId="0" fillId="0" borderId="28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0" fillId="34" borderId="3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14" fontId="0" fillId="36" borderId="33" xfId="0" applyNumberFormat="1" applyFill="1" applyBorder="1" applyAlignment="1">
      <alignment horizontal="center" vertical="center"/>
    </xf>
    <xf numFmtId="14" fontId="0" fillId="36" borderId="28" xfId="0" applyNumberFormat="1" applyFill="1" applyBorder="1" applyAlignment="1">
      <alignment horizontal="center" vertical="center"/>
    </xf>
    <xf numFmtId="14" fontId="0" fillId="36" borderId="29" xfId="0" applyNumberFormat="1" applyFill="1" applyBorder="1" applyAlignment="1">
      <alignment horizontal="center" vertical="center"/>
    </xf>
    <xf numFmtId="14" fontId="0" fillId="36" borderId="36" xfId="0" applyNumberFormat="1" applyFill="1" applyBorder="1" applyAlignment="1">
      <alignment horizontal="center" vertical="center"/>
    </xf>
    <xf numFmtId="14" fontId="0" fillId="34" borderId="33" xfId="0" applyNumberFormat="1" applyFont="1" applyFill="1" applyBorder="1" applyAlignment="1">
      <alignment/>
    </xf>
    <xf numFmtId="14" fontId="0" fillId="34" borderId="36" xfId="0" applyNumberFormat="1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33" xfId="0" applyFont="1" applyBorder="1" applyAlignment="1">
      <alignment/>
    </xf>
    <xf numFmtId="14" fontId="0" fillId="34" borderId="33" xfId="0" applyNumberFormat="1" applyFill="1" applyBorder="1" applyAlignment="1">
      <alignment/>
    </xf>
    <xf numFmtId="14" fontId="0" fillId="34" borderId="28" xfId="0" applyNumberFormat="1" applyFill="1" applyBorder="1" applyAlignment="1">
      <alignment/>
    </xf>
    <xf numFmtId="14" fontId="0" fillId="34" borderId="29" xfId="0" applyNumberFormat="1" applyFill="1" applyBorder="1" applyAlignment="1">
      <alignment/>
    </xf>
    <xf numFmtId="0" fontId="0" fillId="42" borderId="32" xfId="0" applyFont="1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0" fillId="42" borderId="35" xfId="0" applyFill="1" applyBorder="1" applyAlignment="1">
      <alignment horizontal="center" vertical="center"/>
    </xf>
    <xf numFmtId="14" fontId="0" fillId="39" borderId="51" xfId="0" applyNumberFormat="1" applyFill="1" applyBorder="1" applyAlignment="1">
      <alignment horizontal="center" vertical="center"/>
    </xf>
    <xf numFmtId="0" fontId="0" fillId="39" borderId="69" xfId="0" applyFill="1" applyBorder="1" applyAlignment="1">
      <alignment horizontal="center" vertical="center"/>
    </xf>
    <xf numFmtId="14" fontId="0" fillId="34" borderId="29" xfId="0" applyNumberFormat="1" applyFill="1" applyBorder="1" applyAlignment="1">
      <alignment horizontal="center" vertical="center"/>
    </xf>
    <xf numFmtId="14" fontId="0" fillId="34" borderId="52" xfId="0" applyNumberFormat="1" applyFont="1" applyFill="1" applyBorder="1" applyAlignment="1">
      <alignment horizontal="center" vertical="center"/>
    </xf>
    <xf numFmtId="14" fontId="0" fillId="34" borderId="30" xfId="0" applyNumberFormat="1" applyFont="1" applyFill="1" applyBorder="1" applyAlignment="1">
      <alignment horizontal="center" vertical="center"/>
    </xf>
    <xf numFmtId="14" fontId="0" fillId="34" borderId="64" xfId="0" applyNumberFormat="1" applyFont="1" applyFill="1" applyBorder="1" applyAlignment="1">
      <alignment horizontal="center" vertical="center"/>
    </xf>
    <xf numFmtId="14" fontId="0" fillId="36" borderId="51" xfId="0" applyNumberFormat="1" applyFont="1" applyFill="1" applyBorder="1" applyAlignment="1">
      <alignment horizontal="center" vertical="center"/>
    </xf>
    <xf numFmtId="14" fontId="0" fillId="36" borderId="42" xfId="0" applyNumberFormat="1" applyFont="1" applyFill="1" applyBorder="1" applyAlignment="1">
      <alignment horizontal="center" vertical="center"/>
    </xf>
    <xf numFmtId="14" fontId="0" fillId="36" borderId="69" xfId="0" applyNumberFormat="1" applyFont="1" applyFill="1" applyBorder="1" applyAlignment="1">
      <alignment horizontal="center" vertical="center"/>
    </xf>
    <xf numFmtId="14" fontId="0" fillId="36" borderId="42" xfId="0" applyNumberFormat="1" applyFill="1" applyBorder="1" applyAlignment="1">
      <alignment horizontal="center" vertical="center"/>
    </xf>
    <xf numFmtId="14" fontId="0" fillId="36" borderId="68" xfId="0" applyNumberFormat="1" applyFill="1" applyBorder="1" applyAlignment="1">
      <alignment horizontal="center" vertical="center"/>
    </xf>
    <xf numFmtId="0" fontId="0" fillId="39" borderId="42" xfId="0" applyFill="1" applyBorder="1" applyAlignment="1">
      <alignment/>
    </xf>
    <xf numFmtId="0" fontId="0" fillId="39" borderId="69" xfId="0" applyFill="1" applyBorder="1" applyAlignment="1">
      <alignment/>
    </xf>
    <xf numFmtId="14" fontId="0" fillId="39" borderId="67" xfId="0" applyNumberFormat="1" applyFill="1" applyBorder="1" applyAlignment="1">
      <alignment horizontal="center" vertical="center"/>
    </xf>
    <xf numFmtId="14" fontId="0" fillId="39" borderId="17" xfId="0" applyNumberFormat="1" applyFill="1" applyBorder="1" applyAlignment="1">
      <alignment horizontal="center" vertical="center"/>
    </xf>
    <xf numFmtId="14" fontId="0" fillId="39" borderId="49" xfId="0" applyNumberFormat="1" applyFill="1" applyBorder="1" applyAlignment="1">
      <alignment horizontal="center" vertical="center"/>
    </xf>
    <xf numFmtId="14" fontId="0" fillId="39" borderId="70" xfId="0" applyNumberFormat="1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14" borderId="28" xfId="0" applyFill="1" applyBorder="1" applyAlignment="1">
      <alignment wrapText="1"/>
    </xf>
    <xf numFmtId="0" fontId="0" fillId="14" borderId="28" xfId="0" applyFont="1" applyFill="1" applyBorder="1" applyAlignment="1">
      <alignment wrapText="1"/>
    </xf>
    <xf numFmtId="0" fontId="0" fillId="14" borderId="28" xfId="0" applyFont="1" applyFill="1" applyBorder="1" applyAlignment="1">
      <alignment wrapText="1"/>
    </xf>
    <xf numFmtId="0" fontId="0" fillId="14" borderId="0" xfId="0" applyFill="1" applyAlignment="1">
      <alignment wrapText="1"/>
    </xf>
    <xf numFmtId="0" fontId="60" fillId="14" borderId="0" xfId="0" applyFont="1" applyFill="1" applyAlignment="1">
      <alignment wrapText="1"/>
    </xf>
    <xf numFmtId="0" fontId="0" fillId="14" borderId="0" xfId="0" applyFont="1" applyFill="1" applyAlignment="1">
      <alignment wrapText="1"/>
    </xf>
    <xf numFmtId="0" fontId="61" fillId="14" borderId="28" xfId="0" applyFont="1" applyFill="1" applyBorder="1" applyAlignment="1">
      <alignment wrapText="1"/>
    </xf>
    <xf numFmtId="1" fontId="61" fillId="14" borderId="28" xfId="0" applyNumberFormat="1" applyFont="1" applyFill="1" applyBorder="1" applyAlignment="1">
      <alignment wrapText="1"/>
    </xf>
    <xf numFmtId="0" fontId="4" fillId="14" borderId="28" xfId="0" applyFont="1" applyFill="1" applyBorder="1" applyAlignment="1">
      <alignment wrapText="1"/>
    </xf>
    <xf numFmtId="1" fontId="0" fillId="14" borderId="28" xfId="0" applyNumberFormat="1" applyFont="1" applyFill="1" applyBorder="1" applyAlignment="1">
      <alignment wrapText="1"/>
    </xf>
    <xf numFmtId="0" fontId="0" fillId="14" borderId="28" xfId="0" applyFont="1" applyFill="1" applyBorder="1" applyAlignment="1">
      <alignment/>
    </xf>
    <xf numFmtId="2" fontId="0" fillId="14" borderId="28" xfId="0" applyNumberForma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c-f-03.4.1-A03" xfId="57"/>
    <cellStyle name="Note" xfId="58"/>
    <cellStyle name="Output" xfId="59"/>
    <cellStyle name="Percent" xfId="60"/>
    <cellStyle name="Standard_Arbeitsdok. jpw - Vorabdruck98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3"/>
  <sheetViews>
    <sheetView zoomScalePageLayoutView="0" workbookViewId="0" topLeftCell="A1">
      <selection activeCell="C6" sqref="C6"/>
    </sheetView>
  </sheetViews>
  <sheetFormatPr defaultColWidth="12.57421875" defaultRowHeight="12.75"/>
  <cols>
    <col min="1" max="1" width="2.57421875" style="0" customWidth="1"/>
    <col min="2" max="2" width="5.8515625" style="1" customWidth="1"/>
    <col min="3" max="4" width="5.8515625" style="0" customWidth="1"/>
    <col min="5" max="5" width="12.57421875" style="2" customWidth="1"/>
    <col min="6" max="8" width="12.28125" style="2" customWidth="1"/>
    <col min="9" max="9" width="24.8515625" style="2" customWidth="1"/>
    <col min="10" max="11" width="12.57421875" style="0" customWidth="1"/>
    <col min="12" max="12" width="23.57421875" style="0" bestFit="1" customWidth="1"/>
    <col min="13" max="17" width="12.57421875" style="0" customWidth="1"/>
    <col min="18" max="18" width="20.421875" style="0" bestFit="1" customWidth="1"/>
    <col min="19" max="19" width="22.7109375" style="0" bestFit="1" customWidth="1"/>
  </cols>
  <sheetData>
    <row r="1" spans="10:12" ht="13.5" thickBot="1">
      <c r="J1" s="2"/>
      <c r="K1" s="2"/>
      <c r="L1" s="2"/>
    </row>
    <row r="2" spans="2:12" ht="15.75">
      <c r="B2" s="3" t="s">
        <v>0</v>
      </c>
      <c r="C2" s="412" t="s">
        <v>1</v>
      </c>
      <c r="D2" s="413"/>
      <c r="E2" s="413"/>
      <c r="F2" s="413"/>
      <c r="G2" s="413"/>
      <c r="H2" s="414"/>
      <c r="I2" s="4" t="s">
        <v>2</v>
      </c>
      <c r="J2" s="2"/>
      <c r="K2" s="2"/>
      <c r="L2" s="2"/>
    </row>
    <row r="3" spans="2:12" ht="15.75">
      <c r="B3" s="5">
        <v>1</v>
      </c>
      <c r="C3" s="6" t="s">
        <v>3</v>
      </c>
      <c r="D3" s="6"/>
      <c r="E3" s="6"/>
      <c r="F3" s="7"/>
      <c r="G3" s="7"/>
      <c r="H3" s="7"/>
      <c r="I3" s="8"/>
      <c r="J3" s="2"/>
      <c r="K3" s="2"/>
      <c r="L3" s="2"/>
    </row>
    <row r="4" spans="2:12" ht="15.75">
      <c r="B4" s="9">
        <v>2</v>
      </c>
      <c r="C4" s="10" t="s">
        <v>4</v>
      </c>
      <c r="D4" s="10"/>
      <c r="E4" s="10"/>
      <c r="F4" s="11"/>
      <c r="G4" s="11"/>
      <c r="H4" s="11"/>
      <c r="I4" s="12"/>
      <c r="J4" s="2"/>
      <c r="K4" s="2"/>
      <c r="L4" s="2"/>
    </row>
    <row r="5" spans="2:12" ht="15.75">
      <c r="B5" s="9">
        <v>3</v>
      </c>
      <c r="C5" s="10" t="s">
        <v>5</v>
      </c>
      <c r="D5" s="10"/>
      <c r="E5" s="10"/>
      <c r="F5" s="11"/>
      <c r="G5" s="11"/>
      <c r="H5" s="11"/>
      <c r="I5" s="12"/>
      <c r="J5" s="2"/>
      <c r="K5" s="2"/>
      <c r="L5" s="27"/>
    </row>
    <row r="6" spans="2:12" ht="15.75">
      <c r="B6" s="51">
        <v>4</v>
      </c>
      <c r="C6" s="52" t="s">
        <v>6</v>
      </c>
      <c r="D6" s="52"/>
      <c r="E6" s="52"/>
      <c r="F6" s="53"/>
      <c r="G6" s="53"/>
      <c r="H6" s="53"/>
      <c r="I6" s="54"/>
      <c r="J6" s="2"/>
      <c r="K6" s="2"/>
      <c r="L6" s="27"/>
    </row>
    <row r="7" spans="2:17" ht="15.75">
      <c r="B7" s="51"/>
      <c r="C7" s="55">
        <f>B6+0.1</f>
        <v>4.1</v>
      </c>
      <c r="D7" s="56" t="s">
        <v>7</v>
      </c>
      <c r="E7" s="57"/>
      <c r="F7" s="58"/>
      <c r="G7" s="58"/>
      <c r="H7" s="59"/>
      <c r="I7" s="60"/>
      <c r="J7" s="2"/>
      <c r="K7" s="2"/>
      <c r="L7" s="27"/>
      <c r="Q7" s="28"/>
    </row>
    <row r="8" spans="2:18" ht="15.75">
      <c r="B8" s="51"/>
      <c r="C8" s="61"/>
      <c r="D8" s="61" t="s">
        <v>8</v>
      </c>
      <c r="E8" s="52" t="s">
        <v>9</v>
      </c>
      <c r="F8" s="53"/>
      <c r="G8" s="53"/>
      <c r="H8" s="53"/>
      <c r="I8" s="54"/>
      <c r="J8" s="2"/>
      <c r="K8" s="2"/>
      <c r="L8" s="27"/>
      <c r="R8" s="28"/>
    </row>
    <row r="9" spans="2:19" ht="15.75">
      <c r="B9" s="51"/>
      <c r="C9" s="61"/>
      <c r="D9" s="61" t="s">
        <v>10</v>
      </c>
      <c r="E9" s="52" t="s">
        <v>11</v>
      </c>
      <c r="F9" s="53"/>
      <c r="G9" s="53"/>
      <c r="H9" s="53"/>
      <c r="I9" s="54"/>
      <c r="J9" s="2"/>
      <c r="K9" s="2"/>
      <c r="L9" s="27"/>
      <c r="S9" s="28"/>
    </row>
    <row r="10" spans="2:19" ht="15.75">
      <c r="B10" s="51"/>
      <c r="C10" s="61"/>
      <c r="D10" s="61" t="s">
        <v>12</v>
      </c>
      <c r="E10" s="52" t="s">
        <v>13</v>
      </c>
      <c r="F10" s="53"/>
      <c r="G10" s="53"/>
      <c r="H10" s="53"/>
      <c r="I10" s="54"/>
      <c r="J10" s="2"/>
      <c r="K10" s="2"/>
      <c r="L10" s="27"/>
      <c r="S10" s="28"/>
    </row>
    <row r="11" spans="2:19" ht="15.75">
      <c r="B11" s="51"/>
      <c r="C11" s="62"/>
      <c r="D11" s="62" t="s">
        <v>14</v>
      </c>
      <c r="E11" s="63" t="s">
        <v>15</v>
      </c>
      <c r="F11" s="64"/>
      <c r="G11" s="64"/>
      <c r="H11" s="64"/>
      <c r="I11" s="65"/>
      <c r="J11" s="2"/>
      <c r="K11" s="2"/>
      <c r="L11" s="27"/>
      <c r="S11" s="28"/>
    </row>
    <row r="12" spans="2:18" ht="15.75">
      <c r="B12" s="51"/>
      <c r="C12" s="55">
        <f>C7+0.1</f>
        <v>4.199999999999999</v>
      </c>
      <c r="D12" s="56" t="s">
        <v>16</v>
      </c>
      <c r="E12" s="57"/>
      <c r="F12" s="58"/>
      <c r="G12" s="58"/>
      <c r="H12" s="59"/>
      <c r="I12" s="60"/>
      <c r="J12" s="2"/>
      <c r="K12" s="2"/>
      <c r="L12" s="27"/>
      <c r="R12" s="28"/>
    </row>
    <row r="13" spans="2:19" ht="15.75">
      <c r="B13" s="51"/>
      <c r="C13" s="61"/>
      <c r="D13" s="61" t="s">
        <v>17</v>
      </c>
      <c r="E13" s="52" t="s">
        <v>18</v>
      </c>
      <c r="F13" s="53"/>
      <c r="G13" s="53"/>
      <c r="H13" s="53"/>
      <c r="I13" s="54"/>
      <c r="J13" s="2"/>
      <c r="K13" s="2"/>
      <c r="L13" s="27"/>
      <c r="S13" s="28"/>
    </row>
    <row r="14" spans="2:19" ht="15.75">
      <c r="B14" s="51"/>
      <c r="C14" s="61"/>
      <c r="D14" s="61" t="s">
        <v>19</v>
      </c>
      <c r="E14" s="52" t="s">
        <v>13</v>
      </c>
      <c r="F14" s="53"/>
      <c r="G14" s="53"/>
      <c r="H14" s="53"/>
      <c r="I14" s="54"/>
      <c r="J14" s="2"/>
      <c r="K14" s="2"/>
      <c r="L14" s="27"/>
      <c r="S14" s="28"/>
    </row>
    <row r="15" spans="2:19" ht="15.75">
      <c r="B15" s="51"/>
      <c r="C15" s="62"/>
      <c r="D15" s="62" t="s">
        <v>20</v>
      </c>
      <c r="E15" s="63" t="s">
        <v>15</v>
      </c>
      <c r="F15" s="64"/>
      <c r="G15" s="64"/>
      <c r="H15" s="64"/>
      <c r="I15" s="65"/>
      <c r="J15" s="2"/>
      <c r="K15" s="2"/>
      <c r="L15" s="27"/>
      <c r="S15" s="28"/>
    </row>
    <row r="16" spans="2:19" ht="15.75">
      <c r="B16" s="51"/>
      <c r="C16" s="66">
        <f>C12+0.1</f>
        <v>4.299999999999999</v>
      </c>
      <c r="D16" s="57" t="s">
        <v>21</v>
      </c>
      <c r="E16" s="57"/>
      <c r="F16" s="58"/>
      <c r="G16" s="58"/>
      <c r="H16" s="58"/>
      <c r="I16" s="67"/>
      <c r="J16" s="2"/>
      <c r="K16" s="2"/>
      <c r="L16" s="27"/>
      <c r="S16" s="28"/>
    </row>
    <row r="17" spans="2:19" ht="15.75">
      <c r="B17" s="51"/>
      <c r="C17" s="66">
        <f>C16+0.1</f>
        <v>4.399999999999999</v>
      </c>
      <c r="D17" s="57" t="s">
        <v>22</v>
      </c>
      <c r="E17" s="57"/>
      <c r="F17" s="58"/>
      <c r="G17" s="58"/>
      <c r="H17" s="58"/>
      <c r="I17" s="67"/>
      <c r="J17" s="2"/>
      <c r="K17" s="2"/>
      <c r="L17" s="27"/>
      <c r="S17" s="28"/>
    </row>
    <row r="18" spans="2:18" ht="15.75">
      <c r="B18" s="51"/>
      <c r="C18" s="66">
        <f>C17+0.1</f>
        <v>4.499999999999998</v>
      </c>
      <c r="D18" s="57" t="s">
        <v>23</v>
      </c>
      <c r="E18" s="57"/>
      <c r="F18" s="58"/>
      <c r="G18" s="58"/>
      <c r="H18" s="58"/>
      <c r="I18" s="67"/>
      <c r="J18" s="2"/>
      <c r="K18" s="2"/>
      <c r="L18" s="2"/>
      <c r="R18" s="28"/>
    </row>
    <row r="19" spans="2:19" ht="15.75">
      <c r="B19" s="51"/>
      <c r="C19" s="66">
        <f>C18+0.1</f>
        <v>4.599999999999998</v>
      </c>
      <c r="D19" s="68" t="s">
        <v>24</v>
      </c>
      <c r="E19" s="68"/>
      <c r="F19" s="69"/>
      <c r="G19" s="69"/>
      <c r="H19" s="69"/>
      <c r="I19" s="60"/>
      <c r="J19" s="2"/>
      <c r="K19" s="2"/>
      <c r="L19" s="27"/>
      <c r="S19" s="28"/>
    </row>
    <row r="20" spans="2:19" ht="15.75">
      <c r="B20" s="20">
        <v>5</v>
      </c>
      <c r="C20" s="13" t="s">
        <v>25</v>
      </c>
      <c r="D20" s="10"/>
      <c r="E20" s="10"/>
      <c r="F20" s="11"/>
      <c r="G20" s="11"/>
      <c r="H20" s="14"/>
      <c r="I20" s="15"/>
      <c r="J20" s="2"/>
      <c r="K20" s="2"/>
      <c r="L20" s="27"/>
      <c r="S20" s="28"/>
    </row>
    <row r="21" spans="2:19" ht="15.75">
      <c r="B21" s="21"/>
      <c r="C21" s="16">
        <v>5.1</v>
      </c>
      <c r="D21" s="17" t="s">
        <v>26</v>
      </c>
      <c r="E21" s="17"/>
      <c r="F21" s="18"/>
      <c r="G21" s="18"/>
      <c r="H21" s="18"/>
      <c r="I21" s="19"/>
      <c r="J21" s="2"/>
      <c r="K21" s="2"/>
      <c r="L21" s="27"/>
      <c r="S21" s="28"/>
    </row>
    <row r="22" spans="2:19" ht="15.75">
      <c r="B22" s="9">
        <v>6</v>
      </c>
      <c r="C22" s="10" t="s">
        <v>27</v>
      </c>
      <c r="D22" s="10"/>
      <c r="E22" s="10"/>
      <c r="F22" s="11"/>
      <c r="G22" s="11"/>
      <c r="H22" s="11"/>
      <c r="I22" s="12"/>
      <c r="J22" s="2"/>
      <c r="K22" s="2"/>
      <c r="L22" s="2"/>
      <c r="R22" s="28"/>
      <c r="S22" s="28"/>
    </row>
    <row r="23" spans="2:19" ht="15.75">
      <c r="B23" s="9">
        <v>7</v>
      </c>
      <c r="C23" s="10" t="s">
        <v>28</v>
      </c>
      <c r="D23" s="10"/>
      <c r="E23" s="10"/>
      <c r="F23" s="11"/>
      <c r="G23" s="11"/>
      <c r="H23" s="11"/>
      <c r="I23" s="12"/>
      <c r="J23" s="2"/>
      <c r="K23" s="2"/>
      <c r="L23" s="2"/>
      <c r="S23" s="28"/>
    </row>
    <row r="24" spans="2:19" ht="15.75">
      <c r="B24" s="9">
        <v>8</v>
      </c>
      <c r="C24" s="10" t="s">
        <v>29</v>
      </c>
      <c r="D24" s="10"/>
      <c r="E24" s="10"/>
      <c r="F24" s="11"/>
      <c r="G24" s="11"/>
      <c r="H24" s="11"/>
      <c r="I24" s="12"/>
      <c r="J24" s="2"/>
      <c r="K24" s="2"/>
      <c r="L24" s="2"/>
      <c r="S24" s="28"/>
    </row>
    <row r="25" spans="2:19" ht="15.75">
      <c r="B25" s="9">
        <v>9</v>
      </c>
      <c r="C25" s="10" t="s">
        <v>30</v>
      </c>
      <c r="D25" s="10"/>
      <c r="E25" s="10"/>
      <c r="F25" s="11"/>
      <c r="G25" s="11"/>
      <c r="H25" s="11"/>
      <c r="I25" s="12"/>
      <c r="J25" s="2"/>
      <c r="K25" s="2"/>
      <c r="L25" s="2"/>
      <c r="S25" s="28"/>
    </row>
    <row r="26" spans="2:19" ht="15.75">
      <c r="B26" s="9">
        <v>10</v>
      </c>
      <c r="C26" s="10" t="s">
        <v>31</v>
      </c>
      <c r="D26" s="10"/>
      <c r="E26" s="10"/>
      <c r="F26" s="11"/>
      <c r="G26" s="11"/>
      <c r="H26" s="11"/>
      <c r="I26" s="12"/>
      <c r="J26" s="2"/>
      <c r="K26" s="2"/>
      <c r="L26" s="2"/>
      <c r="S26" s="28"/>
    </row>
    <row r="27" spans="2:19" ht="15.75">
      <c r="B27" s="9">
        <v>11</v>
      </c>
      <c r="C27" s="10" t="s">
        <v>32</v>
      </c>
      <c r="D27" s="10"/>
      <c r="E27" s="10"/>
      <c r="F27" s="11"/>
      <c r="G27" s="11"/>
      <c r="H27" s="11"/>
      <c r="I27" s="12"/>
      <c r="J27" s="2"/>
      <c r="K27" s="2"/>
      <c r="L27" s="2"/>
      <c r="S27" s="28"/>
    </row>
    <row r="28" spans="2:19" ht="15.75">
      <c r="B28" s="9">
        <v>12</v>
      </c>
      <c r="C28" s="10" t="s">
        <v>33</v>
      </c>
      <c r="D28" s="10"/>
      <c r="E28" s="10"/>
      <c r="F28" s="11"/>
      <c r="G28" s="11"/>
      <c r="H28" s="11"/>
      <c r="I28" s="12"/>
      <c r="J28" s="2"/>
      <c r="K28" s="2"/>
      <c r="L28" s="2"/>
      <c r="S28" s="28"/>
    </row>
    <row r="29" spans="2:18" ht="15.75">
      <c r="B29" s="9">
        <v>13</v>
      </c>
      <c r="C29" s="10" t="s">
        <v>34</v>
      </c>
      <c r="D29" s="10"/>
      <c r="E29" s="10"/>
      <c r="F29" s="11"/>
      <c r="G29" s="11"/>
      <c r="H29" s="11"/>
      <c r="I29" s="12"/>
      <c r="J29" s="2"/>
      <c r="K29" s="2"/>
      <c r="L29" s="2"/>
      <c r="R29" s="28"/>
    </row>
    <row r="30" spans="2:19" ht="15.75">
      <c r="B30" s="9">
        <v>14</v>
      </c>
      <c r="C30" s="10" t="s">
        <v>35</v>
      </c>
      <c r="D30" s="10"/>
      <c r="E30" s="10"/>
      <c r="F30" s="11"/>
      <c r="G30" s="11"/>
      <c r="H30" s="11"/>
      <c r="I30" s="12"/>
      <c r="J30" s="2"/>
      <c r="K30" s="2"/>
      <c r="L30" s="2"/>
      <c r="S30" s="28"/>
    </row>
    <row r="31" spans="2:19" ht="15.75">
      <c r="B31" s="9">
        <v>15</v>
      </c>
      <c r="C31" s="10" t="s">
        <v>36</v>
      </c>
      <c r="D31" s="10"/>
      <c r="E31" s="10"/>
      <c r="F31" s="11"/>
      <c r="G31" s="11"/>
      <c r="H31" s="11"/>
      <c r="I31" s="12"/>
      <c r="J31" s="2"/>
      <c r="K31" s="2"/>
      <c r="L31" s="2"/>
      <c r="S31" s="28"/>
    </row>
    <row r="32" spans="2:19" ht="16.5" thickBot="1">
      <c r="B32" s="22">
        <v>16</v>
      </c>
      <c r="C32" s="23" t="s">
        <v>37</v>
      </c>
      <c r="D32" s="23"/>
      <c r="E32" s="23"/>
      <c r="F32" s="24"/>
      <c r="G32" s="24"/>
      <c r="H32" s="24"/>
      <c r="I32" s="25"/>
      <c r="J32" s="2"/>
      <c r="K32" s="2"/>
      <c r="L32" s="2"/>
      <c r="R32" s="28"/>
      <c r="S32" s="28"/>
    </row>
    <row r="33" spans="4:19" ht="15.75">
      <c r="D33" s="26"/>
      <c r="E33" s="26"/>
      <c r="J33" s="2"/>
      <c r="K33" s="2"/>
      <c r="L33" s="2"/>
      <c r="S33" s="28"/>
    </row>
    <row r="34" spans="4:19" ht="15.75">
      <c r="D34" s="26"/>
      <c r="E34" s="26"/>
      <c r="J34" s="2"/>
      <c r="K34" s="2"/>
      <c r="L34" s="2"/>
      <c r="S34" s="28"/>
    </row>
    <row r="35" spans="4:19" ht="15.75">
      <c r="D35" s="26"/>
      <c r="E35" s="26"/>
      <c r="J35" s="2"/>
      <c r="K35" s="2"/>
      <c r="L35" s="2"/>
      <c r="S35" s="28"/>
    </row>
    <row r="36" spans="4:19" ht="15.75">
      <c r="D36" s="26"/>
      <c r="E36" s="26"/>
      <c r="S36" s="28"/>
    </row>
    <row r="37" ht="12.75">
      <c r="S37" s="28"/>
    </row>
    <row r="38" ht="12.75">
      <c r="S38" s="28"/>
    </row>
    <row r="39" ht="12.75">
      <c r="S39" s="28"/>
    </row>
    <row r="40" ht="12.75">
      <c r="S40" s="28"/>
    </row>
    <row r="41" ht="12.75">
      <c r="S41" s="28"/>
    </row>
    <row r="42" ht="12.75">
      <c r="S42" s="28"/>
    </row>
    <row r="43" ht="12.75">
      <c r="S43" s="28"/>
    </row>
  </sheetData>
  <sheetProtection/>
  <mergeCells count="1">
    <mergeCell ref="C2:H2"/>
  </mergeCells>
  <printOptions/>
  <pageMargins left="0.17" right="0.16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2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8.7109375" style="0" bestFit="1" customWidth="1"/>
    <col min="2" max="2" width="11.8515625" style="0" bestFit="1" customWidth="1"/>
    <col min="3" max="6" width="13.57421875" style="0" bestFit="1" customWidth="1"/>
    <col min="7" max="7" width="14.57421875" style="0" bestFit="1" customWidth="1"/>
    <col min="9" max="9" width="24.57421875" style="0" bestFit="1" customWidth="1"/>
  </cols>
  <sheetData>
    <row r="3" ht="13.5" thickBot="1"/>
    <row r="4" spans="1:7" ht="12.75">
      <c r="A4" s="332"/>
      <c r="B4" s="350">
        <v>2008</v>
      </c>
      <c r="C4" s="350">
        <v>2009</v>
      </c>
      <c r="D4" s="350">
        <v>2010</v>
      </c>
      <c r="E4" s="350">
        <v>2011</v>
      </c>
      <c r="F4" s="350">
        <v>2012</v>
      </c>
      <c r="G4" s="354" t="s">
        <v>619</v>
      </c>
    </row>
    <row r="5" spans="1:7" ht="12.75">
      <c r="A5" s="277" t="s">
        <v>767</v>
      </c>
      <c r="B5" s="352">
        <f>'task and budget overview'!M231</f>
        <v>197013</v>
      </c>
      <c r="C5" s="352">
        <f>'task and budget overview'!X231</f>
        <v>680172.7199999997</v>
      </c>
      <c r="D5" s="352">
        <f>'task and budget overview'!AI231</f>
        <v>160682.35950000002</v>
      </c>
      <c r="E5" s="352">
        <f>'task and budget overview'!AT231</f>
        <v>101873.89944</v>
      </c>
      <c r="F5" s="352">
        <f>'task and budget overview'!BE231</f>
        <v>24480</v>
      </c>
      <c r="G5" s="355">
        <f aca="true" t="shared" si="0" ref="G5:G10">SUM(B5:F5)</f>
        <v>1164221.9789399998</v>
      </c>
    </row>
    <row r="6" spans="1:7" ht="12.75">
      <c r="A6" s="277" t="s">
        <v>333</v>
      </c>
      <c r="B6" s="352">
        <f>'task and budget overview'!O231</f>
        <v>92800</v>
      </c>
      <c r="C6" s="352">
        <f>'task and budget overview'!Z231</f>
        <v>167080</v>
      </c>
      <c r="D6" s="352">
        <f>'task and budget overview'!AK231</f>
        <v>290687.76</v>
      </c>
      <c r="E6" s="352">
        <f>'task and budget overview'!AV231</f>
        <v>3846348.396</v>
      </c>
      <c r="F6" s="352">
        <f>'task and budget overview'!BG231</f>
        <v>1943777.5513200003</v>
      </c>
      <c r="G6" s="355">
        <f t="shared" si="0"/>
        <v>6340693.707320001</v>
      </c>
    </row>
    <row r="7" spans="1:7" ht="12.75">
      <c r="A7" s="407" t="s">
        <v>817</v>
      </c>
      <c r="B7" s="352">
        <f>'task and budget overview'!K235</f>
        <v>139000</v>
      </c>
      <c r="C7" s="352">
        <f>'task and budget overview'!V235</f>
        <v>1252500</v>
      </c>
      <c r="D7" s="352">
        <f>'task and budget overview'!AG235</f>
        <v>200000</v>
      </c>
      <c r="E7" s="352">
        <f>'task and budget overview'!AR235</f>
        <v>0</v>
      </c>
      <c r="F7" s="352">
        <f>'task and budget overview'!BC235</f>
        <v>0</v>
      </c>
      <c r="G7" s="355">
        <f t="shared" si="0"/>
        <v>1591500</v>
      </c>
    </row>
    <row r="8" spans="1:7" ht="12.75">
      <c r="A8" s="407" t="s">
        <v>816</v>
      </c>
      <c r="B8" s="352">
        <f>'task and budget overview'!K231-B7</f>
        <v>247420</v>
      </c>
      <c r="C8" s="352" t="e">
        <f>'task and budget overview'!V231-C7</f>
        <v>#REF!</v>
      </c>
      <c r="D8" s="352" t="e">
        <f>'task and budget overview'!AG231-D7</f>
        <v>#REF!</v>
      </c>
      <c r="E8" s="352">
        <f>'task and budget overview'!AR231-E7</f>
        <v>1672650</v>
      </c>
      <c r="F8" s="352">
        <f>'task and budget overview'!BC231-F7</f>
        <v>0</v>
      </c>
      <c r="G8" s="355" t="e">
        <f t="shared" si="0"/>
        <v>#REF!</v>
      </c>
    </row>
    <row r="9" spans="1:7" ht="12.75">
      <c r="A9" s="376" t="s">
        <v>774</v>
      </c>
      <c r="B9" s="352">
        <v>40000</v>
      </c>
      <c r="C9" s="352">
        <v>40000</v>
      </c>
      <c r="D9" s="352">
        <v>40000</v>
      </c>
      <c r="E9" s="352">
        <v>20000</v>
      </c>
      <c r="F9" s="352">
        <v>20000</v>
      </c>
      <c r="G9" s="355">
        <f t="shared" si="0"/>
        <v>160000</v>
      </c>
    </row>
    <row r="10" spans="1:7" ht="26.25" thickBot="1">
      <c r="A10" s="377" t="s">
        <v>775</v>
      </c>
      <c r="B10" s="353">
        <v>40000</v>
      </c>
      <c r="C10" s="353">
        <v>60000</v>
      </c>
      <c r="D10" s="353">
        <v>60000</v>
      </c>
      <c r="E10" s="353">
        <v>40000</v>
      </c>
      <c r="F10" s="353">
        <v>20000</v>
      </c>
      <c r="G10" s="356">
        <f t="shared" si="0"/>
        <v>220000</v>
      </c>
    </row>
    <row r="11" spans="1:7" ht="12.75">
      <c r="A11" s="305"/>
      <c r="B11" s="374"/>
      <c r="C11" s="374"/>
      <c r="D11" s="374"/>
      <c r="E11" s="374"/>
      <c r="F11" s="374"/>
      <c r="G11" s="375"/>
    </row>
    <row r="12" spans="1:9" ht="12.75">
      <c r="A12" s="299" t="s">
        <v>820</v>
      </c>
      <c r="B12" s="29">
        <v>2008</v>
      </c>
      <c r="C12" s="29">
        <v>2009</v>
      </c>
      <c r="D12" s="29">
        <v>2010</v>
      </c>
      <c r="E12" s="29">
        <v>2011</v>
      </c>
      <c r="F12" s="29">
        <v>2012</v>
      </c>
      <c r="G12" s="409" t="s">
        <v>619</v>
      </c>
      <c r="I12" s="231" t="s">
        <v>824</v>
      </c>
    </row>
    <row r="13" spans="1:9" ht="12.75">
      <c r="A13" s="299" t="s">
        <v>821</v>
      </c>
      <c r="B13" s="352">
        <v>0</v>
      </c>
      <c r="C13" s="352">
        <f>'steel-iron'!F13</f>
        <v>1595157.7320000003</v>
      </c>
      <c r="D13" s="352">
        <v>0</v>
      </c>
      <c r="E13" s="352">
        <v>0</v>
      </c>
      <c r="F13" s="352">
        <v>0</v>
      </c>
      <c r="G13" s="410">
        <f>SUM(B13:F13)</f>
        <v>1595157.7320000003</v>
      </c>
      <c r="I13" s="410">
        <f>IF('steel-iron'!G18-'steel-iron'!H18&lt;0,0,'steel-iron'!G18-'steel-iron'!H18*'steel-iron'!E13)</f>
        <v>0</v>
      </c>
    </row>
    <row r="14" spans="1:9" ht="12.75">
      <c r="A14" s="299" t="s">
        <v>822</v>
      </c>
      <c r="B14" s="352">
        <v>0</v>
      </c>
      <c r="C14" s="352">
        <f>'steel-iron'!H32</f>
        <v>259994.27999999997</v>
      </c>
      <c r="D14" s="352">
        <v>0</v>
      </c>
      <c r="E14" s="352">
        <v>0</v>
      </c>
      <c r="F14" s="352">
        <v>0</v>
      </c>
      <c r="G14" s="410">
        <f>SUM(B14:F14)</f>
        <v>259994.27999999997</v>
      </c>
      <c r="I14" s="410">
        <f>IF(('steel-iron'!C32-'steel-iron'!E32)&lt;0,0,('steel-iron'!C32-'steel-iron'!E32)*'steel-iron'!G32)</f>
        <v>0</v>
      </c>
    </row>
    <row r="15" ht="13.5" thickBot="1">
      <c r="A15" s="304"/>
    </row>
    <row r="16" spans="1:6" ht="12.75">
      <c r="A16" s="332"/>
      <c r="B16" s="350">
        <v>2008</v>
      </c>
      <c r="C16" s="350">
        <v>2009</v>
      </c>
      <c r="D16" s="350">
        <v>2010</v>
      </c>
      <c r="E16" s="350">
        <v>2011</v>
      </c>
      <c r="F16" s="351">
        <v>2012</v>
      </c>
    </row>
    <row r="17" spans="1:6" ht="38.25">
      <c r="A17" s="399" t="s">
        <v>810</v>
      </c>
      <c r="B17" s="357">
        <f>'task and budget overview'!L231/230</f>
        <v>2.0994565217391306</v>
      </c>
      <c r="C17" s="357">
        <f>'task and budget overview'!W231/230</f>
        <v>7.193478260869565</v>
      </c>
      <c r="D17" s="357">
        <f>'task and budget overview'!AH231/230</f>
        <v>2.7119565217391304</v>
      </c>
      <c r="E17" s="357">
        <f>'task and budget overview'!AS231/230</f>
        <v>1.0380434782608696</v>
      </c>
      <c r="F17" s="358">
        <f>'task and budget overview'!BD231/230</f>
        <v>0.2608695652173913</v>
      </c>
    </row>
    <row r="18" spans="1:6" ht="12.75">
      <c r="A18" s="277" t="s">
        <v>768</v>
      </c>
      <c r="B18" s="357">
        <f>'task and budget overview'!N231</f>
        <v>0.8800000000000001</v>
      </c>
      <c r="C18" s="357">
        <f>'task and budget overview'!Y231</f>
        <v>1.62</v>
      </c>
      <c r="D18" s="357">
        <f>'task and budget overview'!AJ231</f>
        <v>2.54</v>
      </c>
      <c r="E18" s="357">
        <f>'task and budget overview'!AU231</f>
        <v>32.949999999999996</v>
      </c>
      <c r="F18" s="358">
        <f>'task and budget overview'!BF231</f>
        <v>16.325</v>
      </c>
    </row>
    <row r="19" spans="1:6" ht="13.5" thickBot="1">
      <c r="A19" s="280" t="s">
        <v>769</v>
      </c>
      <c r="B19" s="359">
        <f>'task and budget overview'!Q231</f>
        <v>3.2100000000000004</v>
      </c>
      <c r="C19" s="359">
        <f>'task and budget overview'!AB231</f>
        <v>4.440000000000001</v>
      </c>
      <c r="D19" s="359">
        <f>'task and budget overview'!AM231</f>
        <v>8.200000000000001</v>
      </c>
      <c r="E19" s="359">
        <f>'task and budget overview'!AX231</f>
        <v>7.6</v>
      </c>
      <c r="F19" s="360">
        <f>'task and budget overview'!BI231</f>
        <v>3.5500000000000003</v>
      </c>
    </row>
    <row r="20" ht="13.5" thickBot="1"/>
    <row r="21" spans="1:6" ht="39" thickBot="1">
      <c r="A21" s="400" t="s">
        <v>811</v>
      </c>
      <c r="B21" s="371">
        <f>SUM('task and budget overview'!Q221:Q226)</f>
        <v>2.15</v>
      </c>
      <c r="C21" s="371">
        <f>SUM('task and budget overview'!AA221:AA226)</f>
        <v>2.8000000000000003</v>
      </c>
      <c r="D21" s="371">
        <f>SUM('task and budget overview'!AM221:AM226)</f>
        <v>3</v>
      </c>
      <c r="E21" s="371">
        <f>SUM('task and budget overview'!AX221:AX226)</f>
        <v>2.5</v>
      </c>
      <c r="F21" s="371">
        <f>SUM('task and budget overview'!BI221:BI226)</f>
        <v>1.5999999999999999</v>
      </c>
    </row>
    <row r="22" ht="13.5" thickBot="1"/>
    <row r="23" spans="1:6" ht="26.25" thickBot="1">
      <c r="A23" s="372" t="s">
        <v>813</v>
      </c>
      <c r="B23" s="373">
        <f>B19-B21</f>
        <v>1.0600000000000005</v>
      </c>
      <c r="C23" s="373">
        <f>C19-C21</f>
        <v>1.640000000000001</v>
      </c>
      <c r="D23" s="373">
        <f>D19-D21</f>
        <v>5.200000000000001</v>
      </c>
      <c r="E23" s="373">
        <f>E19-E21</f>
        <v>5.1</v>
      </c>
      <c r="F23" s="373">
        <f>F19-F21</f>
        <v>1.9500000000000004</v>
      </c>
    </row>
    <row r="24" ht="13.5" thickBot="1"/>
    <row r="25" spans="1:3" ht="12.75">
      <c r="A25" s="415" t="s">
        <v>814</v>
      </c>
      <c r="B25" s="416"/>
      <c r="C25" s="417"/>
    </row>
    <row r="26" spans="1:3" ht="13.5" thickBot="1">
      <c r="A26" s="418" t="e">
        <f>G8</f>
        <v>#REF!</v>
      </c>
      <c r="B26" s="419"/>
      <c r="C26" s="420"/>
    </row>
    <row r="27" spans="1:3" ht="13.5" thickBot="1">
      <c r="A27" s="402"/>
      <c r="B27" s="403"/>
      <c r="C27" s="404"/>
    </row>
    <row r="28" spans="1:3" ht="12.75">
      <c r="A28" s="421" t="s">
        <v>819</v>
      </c>
      <c r="B28" s="416"/>
      <c r="C28" s="417"/>
    </row>
    <row r="29" spans="1:3" ht="13.5" thickBot="1">
      <c r="A29" s="418">
        <f>G7</f>
        <v>1591500</v>
      </c>
      <c r="B29" s="419"/>
      <c r="C29" s="420"/>
    </row>
    <row r="30" spans="1:3" ht="13.5" thickBot="1">
      <c r="A30" s="401"/>
      <c r="B30" s="401"/>
      <c r="C30" s="401"/>
    </row>
    <row r="31" spans="1:3" ht="12.75">
      <c r="A31" s="415" t="s">
        <v>776</v>
      </c>
      <c r="B31" s="416"/>
      <c r="C31" s="417"/>
    </row>
    <row r="32" spans="1:3" ht="13.5" thickBot="1">
      <c r="A32" s="418" t="e">
        <f>SUM(G5:G10)</f>
        <v>#REF!</v>
      </c>
      <c r="B32" s="419"/>
      <c r="C32" s="420"/>
    </row>
  </sheetData>
  <sheetProtection/>
  <mergeCells count="6">
    <mergeCell ref="A25:C25"/>
    <mergeCell ref="A26:C26"/>
    <mergeCell ref="A31:C31"/>
    <mergeCell ref="A32:C32"/>
    <mergeCell ref="A28:C28"/>
    <mergeCell ref="A29:C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711"/>
  <sheetViews>
    <sheetView zoomScale="70" zoomScaleNormal="70" zoomScalePageLayoutView="0" workbookViewId="0" topLeftCell="B3">
      <pane xSplit="5745" ySplit="600" topLeftCell="AS1" activePane="bottomRight" state="split"/>
      <selection pane="topLeft" activeCell="D240" sqref="D240"/>
      <selection pane="topRight" activeCell="BF4" sqref="BF4"/>
      <selection pane="bottomLeft" activeCell="B202" sqref="B202"/>
      <selection pane="bottomRight" activeCell="AT2" sqref="AT2"/>
    </sheetView>
  </sheetViews>
  <sheetFormatPr defaultColWidth="9.140625" defaultRowHeight="12.75"/>
  <cols>
    <col min="1" max="1" width="13.00390625" style="0" bestFit="1" customWidth="1"/>
    <col min="2" max="2" width="38.00390625" style="0" bestFit="1" customWidth="1"/>
    <col min="3" max="3" width="35.28125" style="0" bestFit="1" customWidth="1"/>
    <col min="4" max="4" width="19.28125" style="0" bestFit="1" customWidth="1"/>
    <col min="5" max="5" width="19.28125" style="0" customWidth="1"/>
    <col min="6" max="6" width="45.421875" style="1" bestFit="1" customWidth="1"/>
    <col min="7" max="7" width="35.28125" style="70" bestFit="1" customWidth="1"/>
    <col min="8" max="8" width="20.7109375" style="70" bestFit="1" customWidth="1"/>
    <col min="9" max="10" width="10.28125" style="50" bestFit="1" customWidth="1"/>
    <col min="11" max="11" width="12.421875" style="0" bestFit="1" customWidth="1"/>
    <col min="12" max="12" width="8.8515625" style="0" bestFit="1" customWidth="1"/>
    <col min="13" max="13" width="12.00390625" style="0" bestFit="1" customWidth="1"/>
    <col min="14" max="14" width="5.00390625" style="0" bestFit="1" customWidth="1"/>
    <col min="15" max="15" width="14.7109375" style="0" bestFit="1" customWidth="1"/>
    <col min="16" max="16" width="21.140625" style="0" bestFit="1" customWidth="1"/>
    <col min="17" max="17" width="24.28125" style="0" bestFit="1" customWidth="1"/>
    <col min="18" max="18" width="5.7109375" style="0" bestFit="1" customWidth="1"/>
    <col min="19" max="19" width="25.8515625" style="0" bestFit="1" customWidth="1"/>
    <col min="20" max="20" width="27.140625" style="0" bestFit="1" customWidth="1"/>
    <col min="21" max="21" width="12.140625" style="0" bestFit="1" customWidth="1"/>
    <col min="22" max="22" width="14.00390625" style="0" bestFit="1" customWidth="1"/>
    <col min="23" max="23" width="7.7109375" style="0" bestFit="1" customWidth="1"/>
    <col min="24" max="24" width="12.00390625" style="0" customWidth="1"/>
    <col min="25" max="25" width="12.421875" style="0" bestFit="1" customWidth="1"/>
    <col min="26" max="26" width="14.7109375" style="0" bestFit="1" customWidth="1"/>
    <col min="27" max="27" width="20.7109375" style="0" bestFit="1" customWidth="1"/>
    <col min="28" max="28" width="26.00390625" style="0" bestFit="1" customWidth="1"/>
    <col min="29" max="29" width="5.140625" style="0" bestFit="1" customWidth="1"/>
    <col min="30" max="30" width="25.57421875" style="0" bestFit="1" customWidth="1"/>
    <col min="31" max="31" width="26.7109375" style="0" bestFit="1" customWidth="1"/>
    <col min="32" max="32" width="12.140625" style="0" bestFit="1" customWidth="1"/>
    <col min="33" max="33" width="13.57421875" style="0" bestFit="1" customWidth="1"/>
    <col min="34" max="34" width="7.7109375" style="0" bestFit="1" customWidth="1"/>
    <col min="35" max="35" width="9.28125" style="0" bestFit="1" customWidth="1"/>
    <col min="36" max="36" width="5.00390625" style="0" bestFit="1" customWidth="1"/>
    <col min="37" max="37" width="14.7109375" style="0" bestFit="1" customWidth="1"/>
    <col min="38" max="38" width="21.140625" style="0" bestFit="1" customWidth="1"/>
    <col min="39" max="39" width="24.28125" style="0" bestFit="1" customWidth="1"/>
    <col min="40" max="40" width="5.7109375" style="0" bestFit="1" customWidth="1"/>
    <col min="41" max="41" width="25.8515625" style="0" bestFit="1" customWidth="1"/>
    <col min="42" max="42" width="27.140625" style="0" bestFit="1" customWidth="1"/>
    <col min="43" max="43" width="5.28125" style="0" bestFit="1" customWidth="1"/>
    <col min="44" max="44" width="12.421875" style="0" bestFit="1" customWidth="1"/>
    <col min="45" max="45" width="7.7109375" style="0" bestFit="1" customWidth="1"/>
    <col min="46" max="46" width="9.28125" style="0" bestFit="1" customWidth="1"/>
    <col min="47" max="47" width="7.421875" style="0" bestFit="1" customWidth="1"/>
    <col min="48" max="48" width="14.7109375" style="0" bestFit="1" customWidth="1"/>
    <col min="49" max="49" width="21.140625" style="0" bestFit="1" customWidth="1"/>
    <col min="50" max="50" width="24.28125" style="0" bestFit="1" customWidth="1"/>
    <col min="51" max="51" width="6.8515625" style="0" bestFit="1" customWidth="1"/>
    <col min="52" max="52" width="25.8515625" style="0" bestFit="1" customWidth="1"/>
    <col min="53" max="53" width="27.140625" style="0" bestFit="1" customWidth="1"/>
    <col min="54" max="54" width="5.28125" style="0" bestFit="1" customWidth="1"/>
    <col min="55" max="55" width="8.140625" style="0" bestFit="1" customWidth="1"/>
    <col min="56" max="56" width="9.28125" style="0" bestFit="1" customWidth="1"/>
    <col min="57" max="57" width="12.57421875" style="0" bestFit="1" customWidth="1"/>
    <col min="58" max="58" width="7.421875" style="0" bestFit="1" customWidth="1"/>
    <col min="59" max="59" width="14.7109375" style="0" bestFit="1" customWidth="1"/>
    <col min="60" max="60" width="21.140625" style="0" bestFit="1" customWidth="1"/>
    <col min="61" max="61" width="24.28125" style="0" bestFit="1" customWidth="1"/>
    <col min="62" max="62" width="5.7109375" style="0" bestFit="1" customWidth="1"/>
    <col min="63" max="63" width="25.8515625" style="0" bestFit="1" customWidth="1"/>
    <col min="64" max="64" width="27.140625" style="0" bestFit="1" customWidth="1"/>
    <col min="65" max="65" width="5.28125" style="0" bestFit="1" customWidth="1"/>
  </cols>
  <sheetData>
    <row r="1" spans="13:59" ht="12.75">
      <c r="M1" t="s">
        <v>733</v>
      </c>
      <c r="O1" t="s">
        <v>734</v>
      </c>
      <c r="X1" t="s">
        <v>733</v>
      </c>
      <c r="Z1" t="s">
        <v>734</v>
      </c>
      <c r="AI1" t="s">
        <v>733</v>
      </c>
      <c r="AK1" t="s">
        <v>734</v>
      </c>
      <c r="AT1" t="s">
        <v>733</v>
      </c>
      <c r="AV1" t="s">
        <v>734</v>
      </c>
      <c r="BE1" t="s">
        <v>733</v>
      </c>
      <c r="BG1" t="s">
        <v>734</v>
      </c>
    </row>
    <row r="2" spans="13:59" ht="13.5" thickBot="1">
      <c r="M2">
        <v>51</v>
      </c>
      <c r="O2">
        <v>110000</v>
      </c>
      <c r="X2">
        <f>M2*1.02</f>
        <v>52.02</v>
      </c>
      <c r="Z2">
        <f>O2*1.02</f>
        <v>112200</v>
      </c>
      <c r="AI2">
        <f>X2*1.02</f>
        <v>53.0604</v>
      </c>
      <c r="AK2">
        <f>Z2*1.02</f>
        <v>114444</v>
      </c>
      <c r="AT2">
        <f>AI2*1.02</f>
        <v>54.121608</v>
      </c>
      <c r="AV2">
        <f>AK2*1.02</f>
        <v>116732.88</v>
      </c>
      <c r="BE2">
        <f>AT2*1.02</f>
        <v>55.204040160000005</v>
      </c>
      <c r="BG2">
        <f>AV2*1.02</f>
        <v>119067.53760000001</v>
      </c>
    </row>
    <row r="3" spans="1:65" ht="15.75">
      <c r="A3" s="498" t="s">
        <v>148</v>
      </c>
      <c r="B3" s="500" t="s">
        <v>230</v>
      </c>
      <c r="C3" s="498" t="s">
        <v>149</v>
      </c>
      <c r="D3" s="498" t="s">
        <v>150</v>
      </c>
      <c r="E3" s="71"/>
      <c r="F3" s="500" t="s">
        <v>158</v>
      </c>
      <c r="G3" s="501" t="s">
        <v>305</v>
      </c>
      <c r="H3" s="501" t="s">
        <v>306</v>
      </c>
      <c r="I3" s="495" t="s">
        <v>151</v>
      </c>
      <c r="J3" s="490" t="s">
        <v>152</v>
      </c>
      <c r="K3" s="422" t="s">
        <v>153</v>
      </c>
      <c r="L3" s="423"/>
      <c r="M3" s="423"/>
      <c r="N3" s="423"/>
      <c r="O3" s="423"/>
      <c r="P3" s="423"/>
      <c r="Q3" s="423"/>
      <c r="R3" s="423"/>
      <c r="S3" s="423"/>
      <c r="T3" s="423"/>
      <c r="U3" s="424"/>
      <c r="V3" s="457" t="s">
        <v>154</v>
      </c>
      <c r="W3" s="458"/>
      <c r="X3" s="458"/>
      <c r="Y3" s="458"/>
      <c r="Z3" s="458"/>
      <c r="AA3" s="458"/>
      <c r="AB3" s="458"/>
      <c r="AC3" s="458"/>
      <c r="AD3" s="458"/>
      <c r="AE3" s="458"/>
      <c r="AF3" s="459"/>
      <c r="AG3" s="457" t="s">
        <v>155</v>
      </c>
      <c r="AH3" s="458"/>
      <c r="AI3" s="458"/>
      <c r="AJ3" s="458"/>
      <c r="AK3" s="458"/>
      <c r="AL3" s="458"/>
      <c r="AM3" s="458"/>
      <c r="AN3" s="458"/>
      <c r="AO3" s="458"/>
      <c r="AP3" s="458"/>
      <c r="AQ3" s="459"/>
      <c r="AR3" s="457" t="s">
        <v>156</v>
      </c>
      <c r="AS3" s="458"/>
      <c r="AT3" s="458"/>
      <c r="AU3" s="458"/>
      <c r="AV3" s="458"/>
      <c r="AW3" s="458"/>
      <c r="AX3" s="458"/>
      <c r="AY3" s="458"/>
      <c r="AZ3" s="458"/>
      <c r="BA3" s="458"/>
      <c r="BB3" s="459"/>
      <c r="BC3" s="457" t="s">
        <v>157</v>
      </c>
      <c r="BD3" s="458"/>
      <c r="BE3" s="458"/>
      <c r="BF3" s="458"/>
      <c r="BG3" s="458"/>
      <c r="BH3" s="458"/>
      <c r="BI3" s="458"/>
      <c r="BJ3" s="458"/>
      <c r="BK3" s="458"/>
      <c r="BL3" s="458"/>
      <c r="BM3" s="459"/>
    </row>
    <row r="4" spans="1:65" ht="13.5" thickBot="1">
      <c r="A4" s="498"/>
      <c r="B4" s="498"/>
      <c r="C4" s="499"/>
      <c r="D4" s="499"/>
      <c r="E4" s="85" t="s">
        <v>717</v>
      </c>
      <c r="F4" s="499"/>
      <c r="G4" s="428"/>
      <c r="H4" s="428"/>
      <c r="I4" s="496"/>
      <c r="J4" s="491"/>
      <c r="K4" s="275" t="s">
        <v>57</v>
      </c>
      <c r="L4" s="72" t="s">
        <v>342</v>
      </c>
      <c r="M4" s="72" t="s">
        <v>678</v>
      </c>
      <c r="N4" s="71" t="s">
        <v>333</v>
      </c>
      <c r="O4" s="71" t="s">
        <v>334</v>
      </c>
      <c r="P4" s="72" t="s">
        <v>336</v>
      </c>
      <c r="Q4" s="72" t="s">
        <v>680</v>
      </c>
      <c r="R4" s="71" t="s">
        <v>335</v>
      </c>
      <c r="S4" s="72" t="s">
        <v>337</v>
      </c>
      <c r="T4" s="72" t="s">
        <v>338</v>
      </c>
      <c r="U4" s="282" t="s">
        <v>334</v>
      </c>
      <c r="V4" s="275" t="s">
        <v>57</v>
      </c>
      <c r="W4" s="72" t="s">
        <v>342</v>
      </c>
      <c r="X4" s="72" t="s">
        <v>678</v>
      </c>
      <c r="Y4" s="71" t="s">
        <v>333</v>
      </c>
      <c r="Z4" s="71" t="s">
        <v>334</v>
      </c>
      <c r="AA4" s="72" t="s">
        <v>336</v>
      </c>
      <c r="AB4" s="72" t="s">
        <v>680</v>
      </c>
      <c r="AC4" s="71" t="s">
        <v>335</v>
      </c>
      <c r="AD4" s="72" t="s">
        <v>337</v>
      </c>
      <c r="AE4" s="72" t="s">
        <v>338</v>
      </c>
      <c r="AF4" s="276" t="s">
        <v>334</v>
      </c>
      <c r="AG4" s="275" t="s">
        <v>57</v>
      </c>
      <c r="AH4" s="72" t="s">
        <v>342</v>
      </c>
      <c r="AI4" s="72" t="s">
        <v>678</v>
      </c>
      <c r="AJ4" s="71" t="s">
        <v>333</v>
      </c>
      <c r="AK4" s="71" t="s">
        <v>334</v>
      </c>
      <c r="AL4" s="72" t="s">
        <v>336</v>
      </c>
      <c r="AM4" s="72" t="s">
        <v>680</v>
      </c>
      <c r="AN4" s="71" t="s">
        <v>335</v>
      </c>
      <c r="AO4" s="72" t="s">
        <v>337</v>
      </c>
      <c r="AP4" s="72" t="s">
        <v>338</v>
      </c>
      <c r="AQ4" s="276" t="s">
        <v>334</v>
      </c>
      <c r="AR4" s="275" t="s">
        <v>57</v>
      </c>
      <c r="AS4" s="72" t="s">
        <v>342</v>
      </c>
      <c r="AT4" s="72" t="s">
        <v>678</v>
      </c>
      <c r="AU4" s="71" t="s">
        <v>333</v>
      </c>
      <c r="AV4" s="71" t="s">
        <v>334</v>
      </c>
      <c r="AW4" s="72" t="s">
        <v>336</v>
      </c>
      <c r="AX4" s="72" t="s">
        <v>680</v>
      </c>
      <c r="AY4" s="71" t="s">
        <v>335</v>
      </c>
      <c r="AZ4" s="72" t="s">
        <v>337</v>
      </c>
      <c r="BA4" s="72" t="s">
        <v>338</v>
      </c>
      <c r="BB4" s="276" t="s">
        <v>334</v>
      </c>
      <c r="BC4" s="275" t="s">
        <v>57</v>
      </c>
      <c r="BD4" s="72" t="s">
        <v>342</v>
      </c>
      <c r="BE4" s="72" t="s">
        <v>678</v>
      </c>
      <c r="BF4" s="71" t="s">
        <v>333</v>
      </c>
      <c r="BG4" s="71" t="s">
        <v>334</v>
      </c>
      <c r="BH4" s="72" t="s">
        <v>336</v>
      </c>
      <c r="BI4" s="72" t="s">
        <v>680</v>
      </c>
      <c r="BJ4" s="71" t="s">
        <v>335</v>
      </c>
      <c r="BK4" s="72" t="s">
        <v>337</v>
      </c>
      <c r="BL4" s="72" t="s">
        <v>338</v>
      </c>
      <c r="BM4" s="276" t="s">
        <v>334</v>
      </c>
    </row>
    <row r="5" spans="1:65" ht="13.5" thickTop="1">
      <c r="A5" s="510" t="s">
        <v>159</v>
      </c>
      <c r="B5" s="83" t="s">
        <v>191</v>
      </c>
      <c r="C5" s="90" t="s">
        <v>197</v>
      </c>
      <c r="D5" s="439" t="s">
        <v>160</v>
      </c>
      <c r="E5" s="439" t="s">
        <v>718</v>
      </c>
      <c r="F5" s="91" t="s">
        <v>161</v>
      </c>
      <c r="G5" s="513" t="s">
        <v>307</v>
      </c>
      <c r="H5" s="513" t="s">
        <v>307</v>
      </c>
      <c r="I5" s="492">
        <v>39479</v>
      </c>
      <c r="J5" s="469">
        <v>39600</v>
      </c>
      <c r="K5" s="277">
        <v>4000</v>
      </c>
      <c r="L5" s="29"/>
      <c r="M5" s="29">
        <f aca="true" t="shared" si="0" ref="M5:M36">L5*M$2*8</f>
        <v>0</v>
      </c>
      <c r="N5" s="29"/>
      <c r="O5" s="29"/>
      <c r="P5" s="232" t="s">
        <v>653</v>
      </c>
      <c r="Q5" s="29">
        <v>0.2</v>
      </c>
      <c r="R5" s="29"/>
      <c r="S5" s="30"/>
      <c r="T5" s="29"/>
      <c r="U5" s="84"/>
      <c r="V5" s="277"/>
      <c r="W5" s="29"/>
      <c r="X5" s="29"/>
      <c r="Y5" s="29"/>
      <c r="Z5" s="29"/>
      <c r="AA5" s="232"/>
      <c r="AB5" s="29"/>
      <c r="AC5" s="29"/>
      <c r="AD5" s="30"/>
      <c r="AE5" s="29"/>
      <c r="AF5" s="278"/>
      <c r="AG5" s="277"/>
      <c r="AH5" s="29"/>
      <c r="AI5" s="29"/>
      <c r="AJ5" s="29"/>
      <c r="AK5" s="29"/>
      <c r="AL5" s="232"/>
      <c r="AM5" s="29"/>
      <c r="AN5" s="29"/>
      <c r="AO5" s="30"/>
      <c r="AP5" s="29"/>
      <c r="AQ5" s="278"/>
      <c r="AR5" s="277"/>
      <c r="AS5" s="29"/>
      <c r="AT5" s="29"/>
      <c r="AU5" s="29"/>
      <c r="AV5" s="29"/>
      <c r="AW5" s="232"/>
      <c r="AX5" s="29"/>
      <c r="AY5" s="29"/>
      <c r="AZ5" s="30"/>
      <c r="BA5" s="29"/>
      <c r="BB5" s="278"/>
      <c r="BC5" s="277"/>
      <c r="BD5" s="29"/>
      <c r="BE5" s="29"/>
      <c r="BF5" s="29"/>
      <c r="BG5" s="29"/>
      <c r="BH5" s="232"/>
      <c r="BI5" s="29"/>
      <c r="BJ5" s="29"/>
      <c r="BK5" s="30"/>
      <c r="BL5" s="29"/>
      <c r="BM5" s="278"/>
    </row>
    <row r="6" spans="1:65" ht="12.75">
      <c r="A6" s="511"/>
      <c r="B6" s="84"/>
      <c r="C6" s="93"/>
      <c r="D6" s="429"/>
      <c r="E6" s="429"/>
      <c r="F6" s="72" t="s">
        <v>162</v>
      </c>
      <c r="G6" s="460"/>
      <c r="H6" s="460"/>
      <c r="I6" s="493"/>
      <c r="J6" s="472"/>
      <c r="K6" s="277"/>
      <c r="L6" s="29"/>
      <c r="M6" s="29">
        <f t="shared" si="0"/>
        <v>0</v>
      </c>
      <c r="N6" s="29"/>
      <c r="O6" s="29"/>
      <c r="P6" s="29"/>
      <c r="Q6" s="29"/>
      <c r="R6" s="29"/>
      <c r="S6" s="232" t="s">
        <v>654</v>
      </c>
      <c r="T6" s="29">
        <v>0.3</v>
      </c>
      <c r="U6" s="84"/>
      <c r="V6" s="277"/>
      <c r="W6" s="29"/>
      <c r="X6" s="29"/>
      <c r="Y6" s="29"/>
      <c r="Z6" s="29"/>
      <c r="AA6" s="29"/>
      <c r="AB6" s="29"/>
      <c r="AC6" s="29"/>
      <c r="AD6" s="232"/>
      <c r="AE6" s="29"/>
      <c r="AF6" s="278"/>
      <c r="AG6" s="277"/>
      <c r="AH6" s="29"/>
      <c r="AI6" s="29"/>
      <c r="AJ6" s="29"/>
      <c r="AK6" s="29"/>
      <c r="AL6" s="29"/>
      <c r="AM6" s="29"/>
      <c r="AN6" s="29"/>
      <c r="AO6" s="232"/>
      <c r="AP6" s="29"/>
      <c r="AQ6" s="278"/>
      <c r="AR6" s="277"/>
      <c r="AS6" s="29"/>
      <c r="AT6" s="29"/>
      <c r="AU6" s="29"/>
      <c r="AV6" s="29"/>
      <c r="AW6" s="29"/>
      <c r="AX6" s="29"/>
      <c r="AY6" s="29"/>
      <c r="AZ6" s="232"/>
      <c r="BA6" s="29"/>
      <c r="BB6" s="278"/>
      <c r="BC6" s="277"/>
      <c r="BD6" s="29"/>
      <c r="BE6" s="29"/>
      <c r="BF6" s="29"/>
      <c r="BG6" s="29"/>
      <c r="BH6" s="29"/>
      <c r="BI6" s="29"/>
      <c r="BJ6" s="29"/>
      <c r="BK6" s="232"/>
      <c r="BL6" s="29"/>
      <c r="BM6" s="278"/>
    </row>
    <row r="7" spans="1:65" ht="12.75">
      <c r="A7" s="511"/>
      <c r="B7" s="84"/>
      <c r="C7" s="93"/>
      <c r="D7" s="429"/>
      <c r="E7" s="429"/>
      <c r="F7" s="72" t="s">
        <v>63</v>
      </c>
      <c r="G7" s="460"/>
      <c r="H7" s="460"/>
      <c r="I7" s="493"/>
      <c r="J7" s="472"/>
      <c r="K7" s="277"/>
      <c r="L7" s="29"/>
      <c r="M7" s="29">
        <f t="shared" si="0"/>
        <v>0</v>
      </c>
      <c r="N7" s="29"/>
      <c r="O7" s="29"/>
      <c r="P7" s="29"/>
      <c r="Q7" s="29"/>
      <c r="R7" s="29"/>
      <c r="S7" s="29"/>
      <c r="T7" s="29"/>
      <c r="U7" s="84"/>
      <c r="V7" s="277"/>
      <c r="W7" s="29"/>
      <c r="X7" s="29"/>
      <c r="Y7" s="29"/>
      <c r="Z7" s="29"/>
      <c r="AA7" s="29"/>
      <c r="AB7" s="29"/>
      <c r="AC7" s="29"/>
      <c r="AD7" s="29"/>
      <c r="AE7" s="29"/>
      <c r="AF7" s="278"/>
      <c r="AG7" s="277"/>
      <c r="AH7" s="29"/>
      <c r="AI7" s="29"/>
      <c r="AJ7" s="29"/>
      <c r="AK7" s="29"/>
      <c r="AL7" s="29"/>
      <c r="AM7" s="29"/>
      <c r="AN7" s="29"/>
      <c r="AO7" s="29"/>
      <c r="AP7" s="29"/>
      <c r="AQ7" s="278"/>
      <c r="AR7" s="277"/>
      <c r="AS7" s="29"/>
      <c r="AT7" s="29"/>
      <c r="AU7" s="29"/>
      <c r="AV7" s="29"/>
      <c r="AW7" s="29"/>
      <c r="AX7" s="29"/>
      <c r="AY7" s="29"/>
      <c r="AZ7" s="29"/>
      <c r="BA7" s="29"/>
      <c r="BB7" s="278"/>
      <c r="BC7" s="277"/>
      <c r="BD7" s="29"/>
      <c r="BE7" s="29"/>
      <c r="BF7" s="29"/>
      <c r="BG7" s="29"/>
      <c r="BH7" s="29"/>
      <c r="BI7" s="29"/>
      <c r="BJ7" s="29"/>
      <c r="BK7" s="29"/>
      <c r="BL7" s="29"/>
      <c r="BM7" s="278"/>
    </row>
    <row r="8" spans="1:65" ht="12.75">
      <c r="A8" s="511"/>
      <c r="B8" s="84"/>
      <c r="C8" s="93"/>
      <c r="D8" s="429"/>
      <c r="E8" s="429"/>
      <c r="F8" s="72" t="s">
        <v>163</v>
      </c>
      <c r="G8" s="460"/>
      <c r="H8" s="460"/>
      <c r="I8" s="493"/>
      <c r="J8" s="472"/>
      <c r="K8" s="277"/>
      <c r="L8" s="29"/>
      <c r="M8" s="29">
        <f t="shared" si="0"/>
        <v>0</v>
      </c>
      <c r="N8" s="29"/>
      <c r="O8" s="29"/>
      <c r="P8" s="29"/>
      <c r="Q8" s="29"/>
      <c r="R8" s="29"/>
      <c r="S8" s="29"/>
      <c r="T8" s="29"/>
      <c r="U8" s="84"/>
      <c r="V8" s="277"/>
      <c r="W8" s="29"/>
      <c r="X8" s="29"/>
      <c r="Y8" s="29"/>
      <c r="Z8" s="29"/>
      <c r="AA8" s="29"/>
      <c r="AB8" s="29"/>
      <c r="AC8" s="29"/>
      <c r="AD8" s="29"/>
      <c r="AE8" s="29"/>
      <c r="AF8" s="278"/>
      <c r="AG8" s="277"/>
      <c r="AH8" s="29"/>
      <c r="AI8" s="29"/>
      <c r="AJ8" s="29"/>
      <c r="AK8" s="29"/>
      <c r="AL8" s="29"/>
      <c r="AM8" s="29"/>
      <c r="AN8" s="29"/>
      <c r="AO8" s="29"/>
      <c r="AP8" s="29"/>
      <c r="AQ8" s="278"/>
      <c r="AR8" s="277"/>
      <c r="AS8" s="29"/>
      <c r="AT8" s="29"/>
      <c r="AU8" s="29"/>
      <c r="AV8" s="29"/>
      <c r="AW8" s="29"/>
      <c r="AX8" s="29"/>
      <c r="AY8" s="29"/>
      <c r="AZ8" s="29"/>
      <c r="BA8" s="29"/>
      <c r="BB8" s="278"/>
      <c r="BC8" s="277"/>
      <c r="BD8" s="29"/>
      <c r="BE8" s="29"/>
      <c r="BF8" s="29"/>
      <c r="BG8" s="29"/>
      <c r="BH8" s="29"/>
      <c r="BI8" s="29"/>
      <c r="BJ8" s="29"/>
      <c r="BK8" s="29"/>
      <c r="BL8" s="29"/>
      <c r="BM8" s="278"/>
    </row>
    <row r="9" spans="1:65" ht="12.75">
      <c r="A9" s="511"/>
      <c r="B9" s="84"/>
      <c r="C9" s="93"/>
      <c r="D9" s="429"/>
      <c r="E9" s="429"/>
      <c r="F9" s="72" t="s">
        <v>164</v>
      </c>
      <c r="G9" s="460"/>
      <c r="H9" s="460"/>
      <c r="I9" s="493"/>
      <c r="J9" s="472"/>
      <c r="K9" s="277"/>
      <c r="L9" s="29"/>
      <c r="M9" s="29">
        <f t="shared" si="0"/>
        <v>0</v>
      </c>
      <c r="N9" s="29"/>
      <c r="O9" s="29"/>
      <c r="P9" s="29"/>
      <c r="Q9" s="29"/>
      <c r="R9" s="29"/>
      <c r="S9" s="29"/>
      <c r="T9" s="29"/>
      <c r="U9" s="84"/>
      <c r="V9" s="277"/>
      <c r="W9" s="29"/>
      <c r="X9" s="29"/>
      <c r="Y9" s="29"/>
      <c r="Z9" s="29"/>
      <c r="AA9" s="29"/>
      <c r="AB9" s="29"/>
      <c r="AC9" s="29"/>
      <c r="AD9" s="29"/>
      <c r="AE9" s="29"/>
      <c r="AF9" s="278"/>
      <c r="AG9" s="277"/>
      <c r="AH9" s="29"/>
      <c r="AI9" s="29"/>
      <c r="AJ9" s="29"/>
      <c r="AK9" s="29"/>
      <c r="AL9" s="29"/>
      <c r="AM9" s="29"/>
      <c r="AN9" s="29"/>
      <c r="AO9" s="29"/>
      <c r="AP9" s="29"/>
      <c r="AQ9" s="278"/>
      <c r="AR9" s="277"/>
      <c r="AS9" s="29"/>
      <c r="AT9" s="29"/>
      <c r="AU9" s="29"/>
      <c r="AV9" s="29"/>
      <c r="AW9" s="29"/>
      <c r="AX9" s="29"/>
      <c r="AY9" s="29"/>
      <c r="AZ9" s="29"/>
      <c r="BA9" s="29"/>
      <c r="BB9" s="278"/>
      <c r="BC9" s="277"/>
      <c r="BD9" s="29"/>
      <c r="BE9" s="29"/>
      <c r="BF9" s="29"/>
      <c r="BG9" s="29"/>
      <c r="BH9" s="29"/>
      <c r="BI9" s="29"/>
      <c r="BJ9" s="29"/>
      <c r="BK9" s="29"/>
      <c r="BL9" s="29"/>
      <c r="BM9" s="278"/>
    </row>
    <row r="10" spans="1:65" ht="13.5" thickBot="1">
      <c r="A10" s="511"/>
      <c r="B10" s="84"/>
      <c r="C10" s="94"/>
      <c r="D10" s="445"/>
      <c r="E10" s="445"/>
      <c r="F10" s="95" t="s">
        <v>165</v>
      </c>
      <c r="G10" s="509"/>
      <c r="H10" s="509"/>
      <c r="I10" s="494"/>
      <c r="J10" s="470"/>
      <c r="K10" s="277"/>
      <c r="L10" s="29"/>
      <c r="M10" s="29">
        <f t="shared" si="0"/>
        <v>0</v>
      </c>
      <c r="N10" s="29"/>
      <c r="O10" s="29"/>
      <c r="P10" s="30"/>
      <c r="Q10" s="29"/>
      <c r="R10" s="29"/>
      <c r="S10" s="29"/>
      <c r="T10" s="29"/>
      <c r="U10" s="84"/>
      <c r="V10" s="277"/>
      <c r="W10" s="29"/>
      <c r="X10" s="29"/>
      <c r="Y10" s="29"/>
      <c r="Z10" s="29"/>
      <c r="AA10" s="30"/>
      <c r="AB10" s="29"/>
      <c r="AC10" s="29"/>
      <c r="AD10" s="29"/>
      <c r="AE10" s="29"/>
      <c r="AF10" s="278"/>
      <c r="AG10" s="277"/>
      <c r="AH10" s="29"/>
      <c r="AI10" s="29"/>
      <c r="AJ10" s="29"/>
      <c r="AK10" s="29"/>
      <c r="AL10" s="30"/>
      <c r="AM10" s="29"/>
      <c r="AN10" s="29"/>
      <c r="AO10" s="29"/>
      <c r="AP10" s="29"/>
      <c r="AQ10" s="278"/>
      <c r="AR10" s="277"/>
      <c r="AS10" s="29"/>
      <c r="AT10" s="29"/>
      <c r="AU10" s="29"/>
      <c r="AV10" s="29"/>
      <c r="AW10" s="30"/>
      <c r="AX10" s="29"/>
      <c r="AY10" s="29"/>
      <c r="AZ10" s="29"/>
      <c r="BA10" s="29"/>
      <c r="BB10" s="278"/>
      <c r="BC10" s="277"/>
      <c r="BD10" s="29"/>
      <c r="BE10" s="29"/>
      <c r="BF10" s="29"/>
      <c r="BG10" s="29"/>
      <c r="BH10" s="30"/>
      <c r="BI10" s="29"/>
      <c r="BJ10" s="29"/>
      <c r="BK10" s="29"/>
      <c r="BL10" s="29"/>
      <c r="BM10" s="278"/>
    </row>
    <row r="11" spans="1:65" ht="14.25" thickBot="1" thickTop="1">
      <c r="A11" s="511"/>
      <c r="B11" s="84"/>
      <c r="C11" s="98" t="s">
        <v>166</v>
      </c>
      <c r="D11" s="109" t="s">
        <v>167</v>
      </c>
      <c r="E11" s="109" t="s">
        <v>719</v>
      </c>
      <c r="F11" s="100"/>
      <c r="G11" s="101" t="s">
        <v>307</v>
      </c>
      <c r="H11" s="101" t="s">
        <v>307</v>
      </c>
      <c r="I11" s="105">
        <v>39479</v>
      </c>
      <c r="J11" s="253">
        <v>39539</v>
      </c>
      <c r="K11" s="277"/>
      <c r="L11" s="30"/>
      <c r="M11" s="29">
        <f t="shared" si="0"/>
        <v>0</v>
      </c>
      <c r="N11" s="29"/>
      <c r="O11" s="29"/>
      <c r="P11" s="232" t="s">
        <v>167</v>
      </c>
      <c r="Q11" s="29">
        <v>0.1</v>
      </c>
      <c r="R11" s="29"/>
      <c r="S11" s="232" t="s">
        <v>655</v>
      </c>
      <c r="T11" s="29">
        <v>0.3</v>
      </c>
      <c r="U11" s="84"/>
      <c r="V11" s="277"/>
      <c r="W11" s="30"/>
      <c r="X11" s="30"/>
      <c r="Y11" s="29"/>
      <c r="Z11" s="29"/>
      <c r="AA11" s="232"/>
      <c r="AB11" s="29"/>
      <c r="AC11" s="29"/>
      <c r="AD11" s="232"/>
      <c r="AE11" s="29"/>
      <c r="AF11" s="278"/>
      <c r="AG11" s="277"/>
      <c r="AH11" s="30"/>
      <c r="AI11" s="30"/>
      <c r="AJ11" s="29"/>
      <c r="AK11" s="29"/>
      <c r="AL11" s="232"/>
      <c r="AM11" s="29"/>
      <c r="AN11" s="29"/>
      <c r="AO11" s="232"/>
      <c r="AP11" s="29"/>
      <c r="AQ11" s="278"/>
      <c r="AR11" s="277"/>
      <c r="AS11" s="30"/>
      <c r="AT11" s="30"/>
      <c r="AU11" s="29"/>
      <c r="AV11" s="29"/>
      <c r="AW11" s="232"/>
      <c r="AX11" s="29"/>
      <c r="AY11" s="29"/>
      <c r="AZ11" s="232"/>
      <c r="BA11" s="29"/>
      <c r="BB11" s="278"/>
      <c r="BC11" s="277"/>
      <c r="BD11" s="30"/>
      <c r="BE11" s="30"/>
      <c r="BF11" s="29"/>
      <c r="BG11" s="29"/>
      <c r="BH11" s="232"/>
      <c r="BI11" s="29"/>
      <c r="BJ11" s="29"/>
      <c r="BK11" s="232"/>
      <c r="BL11" s="29"/>
      <c r="BM11" s="278"/>
    </row>
    <row r="12" spans="1:65" ht="13.5" thickTop="1">
      <c r="A12" s="511"/>
      <c r="B12" s="84"/>
      <c r="C12" s="90" t="s">
        <v>195</v>
      </c>
      <c r="D12" s="439" t="s">
        <v>168</v>
      </c>
      <c r="E12" s="439"/>
      <c r="F12" s="102" t="s">
        <v>198</v>
      </c>
      <c r="G12" s="513" t="s">
        <v>166</v>
      </c>
      <c r="H12" s="508"/>
      <c r="I12" s="492">
        <v>39539</v>
      </c>
      <c r="J12" s="469">
        <v>39569</v>
      </c>
      <c r="K12" s="277"/>
      <c r="L12" s="30">
        <v>12</v>
      </c>
      <c r="M12" s="29">
        <f t="shared" si="0"/>
        <v>4896</v>
      </c>
      <c r="N12" s="29"/>
      <c r="O12" s="29"/>
      <c r="P12" s="30"/>
      <c r="Q12" s="29"/>
      <c r="R12" s="29"/>
      <c r="S12" s="29"/>
      <c r="T12" s="29"/>
      <c r="U12" s="84"/>
      <c r="V12" s="277"/>
      <c r="W12" s="30"/>
      <c r="X12" s="30"/>
      <c r="Y12" s="29"/>
      <c r="Z12" s="29"/>
      <c r="AA12" s="30"/>
      <c r="AB12" s="29"/>
      <c r="AC12" s="29"/>
      <c r="AD12" s="29"/>
      <c r="AE12" s="29"/>
      <c r="AF12" s="278"/>
      <c r="AG12" s="277"/>
      <c r="AH12" s="30"/>
      <c r="AI12" s="30"/>
      <c r="AJ12" s="29"/>
      <c r="AK12" s="29"/>
      <c r="AL12" s="30"/>
      <c r="AM12" s="29"/>
      <c r="AN12" s="29"/>
      <c r="AO12" s="29"/>
      <c r="AP12" s="29"/>
      <c r="AQ12" s="278"/>
      <c r="AR12" s="277"/>
      <c r="AS12" s="30"/>
      <c r="AT12" s="30"/>
      <c r="AU12" s="29"/>
      <c r="AV12" s="29"/>
      <c r="AW12" s="30"/>
      <c r="AX12" s="29"/>
      <c r="AY12" s="29"/>
      <c r="AZ12" s="29"/>
      <c r="BA12" s="29"/>
      <c r="BB12" s="278"/>
      <c r="BC12" s="277"/>
      <c r="BD12" s="30"/>
      <c r="BE12" s="30"/>
      <c r="BF12" s="29"/>
      <c r="BG12" s="29"/>
      <c r="BH12" s="30"/>
      <c r="BI12" s="29"/>
      <c r="BJ12" s="29"/>
      <c r="BK12" s="29"/>
      <c r="BL12" s="29"/>
      <c r="BM12" s="278"/>
    </row>
    <row r="13" spans="1:65" ht="13.5" thickBot="1">
      <c r="A13" s="511"/>
      <c r="B13" s="84"/>
      <c r="C13" s="94"/>
      <c r="D13" s="445"/>
      <c r="E13" s="445"/>
      <c r="F13" s="95" t="s">
        <v>339</v>
      </c>
      <c r="G13" s="509"/>
      <c r="H13" s="509"/>
      <c r="I13" s="494"/>
      <c r="J13" s="470"/>
      <c r="K13" s="277"/>
      <c r="L13" s="30">
        <v>12</v>
      </c>
      <c r="M13" s="29">
        <f t="shared" si="0"/>
        <v>4896</v>
      </c>
      <c r="N13" s="29"/>
      <c r="O13" s="29"/>
      <c r="P13" s="30"/>
      <c r="Q13" s="29"/>
      <c r="R13" s="29"/>
      <c r="S13" s="29"/>
      <c r="T13" s="29"/>
      <c r="U13" s="84"/>
      <c r="V13" s="277"/>
      <c r="W13" s="30"/>
      <c r="X13" s="30"/>
      <c r="Y13" s="29"/>
      <c r="Z13" s="29"/>
      <c r="AA13" s="30"/>
      <c r="AB13" s="29"/>
      <c r="AC13" s="29"/>
      <c r="AD13" s="29"/>
      <c r="AE13" s="29"/>
      <c r="AF13" s="278"/>
      <c r="AG13" s="277"/>
      <c r="AH13" s="30"/>
      <c r="AI13" s="30"/>
      <c r="AJ13" s="29"/>
      <c r="AK13" s="29"/>
      <c r="AL13" s="30"/>
      <c r="AM13" s="29"/>
      <c r="AN13" s="29"/>
      <c r="AO13" s="29"/>
      <c r="AP13" s="29"/>
      <c r="AQ13" s="278"/>
      <c r="AR13" s="277"/>
      <c r="AS13" s="30"/>
      <c r="AT13" s="30"/>
      <c r="AU13" s="29"/>
      <c r="AV13" s="29"/>
      <c r="AW13" s="30"/>
      <c r="AX13" s="29"/>
      <c r="AY13" s="29"/>
      <c r="AZ13" s="29"/>
      <c r="BA13" s="29"/>
      <c r="BB13" s="278"/>
      <c r="BC13" s="277"/>
      <c r="BD13" s="30"/>
      <c r="BE13" s="30"/>
      <c r="BF13" s="29"/>
      <c r="BG13" s="29"/>
      <c r="BH13" s="30"/>
      <c r="BI13" s="29"/>
      <c r="BJ13" s="29"/>
      <c r="BK13" s="29"/>
      <c r="BL13" s="29"/>
      <c r="BM13" s="278"/>
    </row>
    <row r="14" spans="1:65" ht="13.5" thickTop="1">
      <c r="A14" s="511"/>
      <c r="B14" s="84"/>
      <c r="C14" s="90" t="s">
        <v>331</v>
      </c>
      <c r="D14" s="439" t="s">
        <v>168</v>
      </c>
      <c r="E14" s="439"/>
      <c r="F14" s="102"/>
      <c r="G14" s="513" t="s">
        <v>166</v>
      </c>
      <c r="H14" s="508"/>
      <c r="I14" s="492">
        <v>39569</v>
      </c>
      <c r="J14" s="469">
        <v>39630</v>
      </c>
      <c r="K14" s="277"/>
      <c r="L14" s="29"/>
      <c r="M14" s="29">
        <f t="shared" si="0"/>
        <v>0</v>
      </c>
      <c r="N14" s="29"/>
      <c r="O14" s="29"/>
      <c r="P14" s="29"/>
      <c r="Q14" s="29"/>
      <c r="R14" s="29"/>
      <c r="S14" s="29"/>
      <c r="T14" s="29"/>
      <c r="U14" s="84"/>
      <c r="V14" s="277"/>
      <c r="W14" s="29"/>
      <c r="X14" s="30"/>
      <c r="Y14" s="29"/>
      <c r="Z14" s="29"/>
      <c r="AA14" s="29"/>
      <c r="AB14" s="29"/>
      <c r="AC14" s="29"/>
      <c r="AD14" s="29"/>
      <c r="AE14" s="29"/>
      <c r="AF14" s="278"/>
      <c r="AG14" s="277"/>
      <c r="AH14" s="29"/>
      <c r="AI14" s="30"/>
      <c r="AJ14" s="29"/>
      <c r="AK14" s="29"/>
      <c r="AL14" s="29"/>
      <c r="AM14" s="29"/>
      <c r="AN14" s="29"/>
      <c r="AO14" s="29"/>
      <c r="AP14" s="29"/>
      <c r="AQ14" s="278"/>
      <c r="AR14" s="277"/>
      <c r="AS14" s="29"/>
      <c r="AT14" s="30"/>
      <c r="AU14" s="29"/>
      <c r="AV14" s="29"/>
      <c r="AW14" s="29"/>
      <c r="AX14" s="29"/>
      <c r="AY14" s="29"/>
      <c r="AZ14" s="29"/>
      <c r="BA14" s="29"/>
      <c r="BB14" s="278"/>
      <c r="BC14" s="277"/>
      <c r="BD14" s="29"/>
      <c r="BE14" s="30"/>
      <c r="BF14" s="29"/>
      <c r="BG14" s="29"/>
      <c r="BH14" s="29"/>
      <c r="BI14" s="29"/>
      <c r="BJ14" s="29"/>
      <c r="BK14" s="29"/>
      <c r="BL14" s="29"/>
      <c r="BM14" s="278"/>
    </row>
    <row r="15" spans="1:65" ht="13.5" thickBot="1">
      <c r="A15" s="511"/>
      <c r="B15" s="84"/>
      <c r="C15" s="94"/>
      <c r="D15" s="445"/>
      <c r="E15" s="445"/>
      <c r="F15" s="104" t="s">
        <v>332</v>
      </c>
      <c r="G15" s="509"/>
      <c r="H15" s="509"/>
      <c r="I15" s="494"/>
      <c r="J15" s="470"/>
      <c r="K15" s="277"/>
      <c r="L15" s="30">
        <v>11</v>
      </c>
      <c r="M15" s="29">
        <f t="shared" si="0"/>
        <v>4488</v>
      </c>
      <c r="N15" s="29"/>
      <c r="O15" s="29"/>
      <c r="P15" s="30"/>
      <c r="Q15" s="29"/>
      <c r="R15" s="29"/>
      <c r="S15" s="29"/>
      <c r="T15" s="29"/>
      <c r="U15" s="84"/>
      <c r="V15" s="277"/>
      <c r="W15" s="30"/>
      <c r="X15" s="30"/>
      <c r="Y15" s="29"/>
      <c r="Z15" s="29"/>
      <c r="AA15" s="30"/>
      <c r="AB15" s="29"/>
      <c r="AC15" s="29"/>
      <c r="AD15" s="29"/>
      <c r="AE15" s="29"/>
      <c r="AF15" s="278"/>
      <c r="AG15" s="277"/>
      <c r="AH15" s="30"/>
      <c r="AI15" s="30"/>
      <c r="AJ15" s="29"/>
      <c r="AK15" s="29"/>
      <c r="AL15" s="30"/>
      <c r="AM15" s="29"/>
      <c r="AN15" s="29"/>
      <c r="AO15" s="29"/>
      <c r="AP15" s="29"/>
      <c r="AQ15" s="278"/>
      <c r="AR15" s="277"/>
      <c r="AS15" s="30"/>
      <c r="AT15" s="30"/>
      <c r="AU15" s="29"/>
      <c r="AV15" s="29"/>
      <c r="AW15" s="30"/>
      <c r="AX15" s="29"/>
      <c r="AY15" s="29"/>
      <c r="AZ15" s="29"/>
      <c r="BA15" s="29"/>
      <c r="BB15" s="278"/>
      <c r="BC15" s="277"/>
      <c r="BD15" s="30"/>
      <c r="BE15" s="30"/>
      <c r="BF15" s="29"/>
      <c r="BG15" s="29"/>
      <c r="BH15" s="30"/>
      <c r="BI15" s="29"/>
      <c r="BJ15" s="29"/>
      <c r="BK15" s="29"/>
      <c r="BL15" s="29"/>
      <c r="BM15" s="278"/>
    </row>
    <row r="16" spans="1:65" ht="14.25" thickBot="1" thickTop="1">
      <c r="A16" s="511"/>
      <c r="B16" s="29"/>
      <c r="C16" s="106"/>
      <c r="D16" s="108"/>
      <c r="E16" s="108"/>
      <c r="F16" s="107"/>
      <c r="G16" s="108"/>
      <c r="H16" s="108"/>
      <c r="I16" s="81"/>
      <c r="J16" s="132"/>
      <c r="K16" s="277"/>
      <c r="L16" s="29"/>
      <c r="M16" s="29">
        <f t="shared" si="0"/>
        <v>0</v>
      </c>
      <c r="N16" s="29"/>
      <c r="O16" s="29"/>
      <c r="P16" s="29"/>
      <c r="Q16" s="29"/>
      <c r="R16" s="29"/>
      <c r="S16" s="29"/>
      <c r="T16" s="29"/>
      <c r="U16" s="84"/>
      <c r="V16" s="277"/>
      <c r="W16" s="29"/>
      <c r="X16" s="30"/>
      <c r="Y16" s="29"/>
      <c r="Z16" s="29"/>
      <c r="AA16" s="29"/>
      <c r="AB16" s="29"/>
      <c r="AC16" s="29"/>
      <c r="AD16" s="29"/>
      <c r="AE16" s="29"/>
      <c r="AF16" s="278"/>
      <c r="AG16" s="277"/>
      <c r="AH16" s="29"/>
      <c r="AI16" s="30"/>
      <c r="AJ16" s="29"/>
      <c r="AK16" s="29"/>
      <c r="AL16" s="29"/>
      <c r="AM16" s="29"/>
      <c r="AN16" s="29"/>
      <c r="AO16" s="29"/>
      <c r="AP16" s="29"/>
      <c r="AQ16" s="278"/>
      <c r="AR16" s="277"/>
      <c r="AS16" s="29"/>
      <c r="AT16" s="30"/>
      <c r="AU16" s="29"/>
      <c r="AV16" s="29"/>
      <c r="AW16" s="29"/>
      <c r="AX16" s="29"/>
      <c r="AY16" s="29"/>
      <c r="AZ16" s="29"/>
      <c r="BA16" s="29"/>
      <c r="BB16" s="278"/>
      <c r="BC16" s="277"/>
      <c r="BD16" s="29"/>
      <c r="BE16" s="30"/>
      <c r="BF16" s="29"/>
      <c r="BG16" s="29"/>
      <c r="BH16" s="29"/>
      <c r="BI16" s="29"/>
      <c r="BJ16" s="29"/>
      <c r="BK16" s="29"/>
      <c r="BL16" s="29"/>
      <c r="BM16" s="278"/>
    </row>
    <row r="17" spans="1:65" ht="14.25" thickBot="1" thickTop="1">
      <c r="A17" s="511"/>
      <c r="B17" s="84"/>
      <c r="C17" s="98" t="s">
        <v>177</v>
      </c>
      <c r="D17" s="109" t="s">
        <v>168</v>
      </c>
      <c r="E17" s="109"/>
      <c r="F17" s="100"/>
      <c r="G17" s="101" t="s">
        <v>166</v>
      </c>
      <c r="H17" s="109"/>
      <c r="I17" s="110">
        <v>39539</v>
      </c>
      <c r="J17" s="253">
        <v>39600</v>
      </c>
      <c r="K17" s="277"/>
      <c r="L17" s="29"/>
      <c r="M17" s="29">
        <f t="shared" si="0"/>
        <v>0</v>
      </c>
      <c r="N17" s="29"/>
      <c r="O17" s="29"/>
      <c r="P17" s="29"/>
      <c r="Q17" s="29"/>
      <c r="R17" s="29"/>
      <c r="S17" s="30"/>
      <c r="T17" s="29"/>
      <c r="U17" s="84"/>
      <c r="V17" s="277"/>
      <c r="W17" s="29"/>
      <c r="X17" s="30"/>
      <c r="Y17" s="29"/>
      <c r="Z17" s="29"/>
      <c r="AA17" s="29"/>
      <c r="AB17" s="29"/>
      <c r="AC17" s="29"/>
      <c r="AD17" s="30"/>
      <c r="AE17" s="29"/>
      <c r="AF17" s="278"/>
      <c r="AG17" s="277"/>
      <c r="AH17" s="29"/>
      <c r="AI17" s="30"/>
      <c r="AJ17" s="29"/>
      <c r="AK17" s="29"/>
      <c r="AL17" s="29"/>
      <c r="AM17" s="29"/>
      <c r="AN17" s="29"/>
      <c r="AO17" s="30"/>
      <c r="AP17" s="29"/>
      <c r="AQ17" s="278"/>
      <c r="AR17" s="277"/>
      <c r="AS17" s="29"/>
      <c r="AT17" s="30"/>
      <c r="AU17" s="29"/>
      <c r="AV17" s="29"/>
      <c r="AW17" s="29"/>
      <c r="AX17" s="29"/>
      <c r="AY17" s="29"/>
      <c r="AZ17" s="30"/>
      <c r="BA17" s="29"/>
      <c r="BB17" s="278"/>
      <c r="BC17" s="277"/>
      <c r="BD17" s="29"/>
      <c r="BE17" s="30"/>
      <c r="BF17" s="29"/>
      <c r="BG17" s="29"/>
      <c r="BH17" s="29"/>
      <c r="BI17" s="29"/>
      <c r="BJ17" s="29"/>
      <c r="BK17" s="30"/>
      <c r="BL17" s="29"/>
      <c r="BM17" s="278"/>
    </row>
    <row r="18" spans="1:65" ht="13.5" thickTop="1">
      <c r="A18" s="511"/>
      <c r="B18" s="84"/>
      <c r="C18" s="90" t="s">
        <v>196</v>
      </c>
      <c r="D18" s="439" t="s">
        <v>168</v>
      </c>
      <c r="E18" s="439"/>
      <c r="F18" s="91" t="s">
        <v>340</v>
      </c>
      <c r="G18" s="513" t="s">
        <v>177</v>
      </c>
      <c r="H18" s="508"/>
      <c r="I18" s="497">
        <v>39600</v>
      </c>
      <c r="J18" s="469">
        <v>39630</v>
      </c>
      <c r="K18" s="277"/>
      <c r="L18" s="30">
        <v>40</v>
      </c>
      <c r="M18" s="29">
        <f t="shared" si="0"/>
        <v>16320</v>
      </c>
      <c r="N18" s="29"/>
      <c r="O18" s="29"/>
      <c r="P18" s="30"/>
      <c r="Q18" s="29"/>
      <c r="R18" s="29"/>
      <c r="S18" s="29"/>
      <c r="T18" s="29"/>
      <c r="U18" s="84"/>
      <c r="V18" s="277"/>
      <c r="W18" s="30"/>
      <c r="X18" s="30"/>
      <c r="Y18" s="29"/>
      <c r="Z18" s="29"/>
      <c r="AA18" s="30"/>
      <c r="AB18" s="29"/>
      <c r="AC18" s="29"/>
      <c r="AD18" s="29"/>
      <c r="AE18" s="29"/>
      <c r="AF18" s="278"/>
      <c r="AG18" s="277"/>
      <c r="AH18" s="30"/>
      <c r="AI18" s="30"/>
      <c r="AJ18" s="29"/>
      <c r="AK18" s="29"/>
      <c r="AL18" s="30"/>
      <c r="AM18" s="29"/>
      <c r="AN18" s="29"/>
      <c r="AO18" s="29"/>
      <c r="AP18" s="29"/>
      <c r="AQ18" s="278"/>
      <c r="AR18" s="277"/>
      <c r="AS18" s="30"/>
      <c r="AT18" s="30"/>
      <c r="AU18" s="29"/>
      <c r="AV18" s="29"/>
      <c r="AW18" s="30"/>
      <c r="AX18" s="29"/>
      <c r="AY18" s="29"/>
      <c r="AZ18" s="29"/>
      <c r="BA18" s="29"/>
      <c r="BB18" s="278"/>
      <c r="BC18" s="277"/>
      <c r="BD18" s="30"/>
      <c r="BE18" s="30"/>
      <c r="BF18" s="29"/>
      <c r="BG18" s="29"/>
      <c r="BH18" s="30"/>
      <c r="BI18" s="29"/>
      <c r="BJ18" s="29"/>
      <c r="BK18" s="29"/>
      <c r="BL18" s="29"/>
      <c r="BM18" s="278"/>
    </row>
    <row r="19" spans="1:65" ht="13.5" thickBot="1">
      <c r="A19" s="511"/>
      <c r="B19" s="84"/>
      <c r="C19" s="94"/>
      <c r="D19" s="445"/>
      <c r="E19" s="445"/>
      <c r="F19" s="104" t="s">
        <v>199</v>
      </c>
      <c r="G19" s="509"/>
      <c r="H19" s="509"/>
      <c r="I19" s="486"/>
      <c r="J19" s="470"/>
      <c r="K19" s="277"/>
      <c r="L19" s="30">
        <v>13</v>
      </c>
      <c r="M19" s="29">
        <f t="shared" si="0"/>
        <v>5304</v>
      </c>
      <c r="N19" s="29"/>
      <c r="O19" s="29"/>
      <c r="P19" s="30"/>
      <c r="Q19" s="29"/>
      <c r="R19" s="29"/>
      <c r="S19" s="29"/>
      <c r="T19" s="29"/>
      <c r="U19" s="84"/>
      <c r="V19" s="277"/>
      <c r="W19" s="30"/>
      <c r="X19" s="30"/>
      <c r="Y19" s="29"/>
      <c r="Z19" s="29"/>
      <c r="AA19" s="30"/>
      <c r="AB19" s="29"/>
      <c r="AC19" s="29"/>
      <c r="AD19" s="29"/>
      <c r="AE19" s="29"/>
      <c r="AF19" s="278"/>
      <c r="AG19" s="277"/>
      <c r="AH19" s="30"/>
      <c r="AI19" s="30"/>
      <c r="AJ19" s="29"/>
      <c r="AK19" s="29"/>
      <c r="AL19" s="30"/>
      <c r="AM19" s="29"/>
      <c r="AN19" s="29"/>
      <c r="AO19" s="29"/>
      <c r="AP19" s="29"/>
      <c r="AQ19" s="278"/>
      <c r="AR19" s="277"/>
      <c r="AS19" s="30"/>
      <c r="AT19" s="30"/>
      <c r="AU19" s="29"/>
      <c r="AV19" s="29"/>
      <c r="AW19" s="30"/>
      <c r="AX19" s="29"/>
      <c r="AY19" s="29"/>
      <c r="AZ19" s="29"/>
      <c r="BA19" s="29"/>
      <c r="BB19" s="278"/>
      <c r="BC19" s="277"/>
      <c r="BD19" s="30"/>
      <c r="BE19" s="30"/>
      <c r="BF19" s="29"/>
      <c r="BG19" s="29"/>
      <c r="BH19" s="30"/>
      <c r="BI19" s="29"/>
      <c r="BJ19" s="29"/>
      <c r="BK19" s="29"/>
      <c r="BL19" s="29"/>
      <c r="BM19" s="278"/>
    </row>
    <row r="20" spans="1:65" ht="14.25" thickBot="1" thickTop="1">
      <c r="A20" s="511"/>
      <c r="B20" s="84"/>
      <c r="C20" s="98" t="s">
        <v>50</v>
      </c>
      <c r="D20" s="109" t="s">
        <v>168</v>
      </c>
      <c r="E20" s="109"/>
      <c r="F20" s="100"/>
      <c r="G20" s="101" t="s">
        <v>166</v>
      </c>
      <c r="H20" s="109"/>
      <c r="I20" s="110">
        <v>39600</v>
      </c>
      <c r="J20" s="253">
        <v>39692</v>
      </c>
      <c r="K20" s="277"/>
      <c r="L20" s="29"/>
      <c r="M20" s="29">
        <f t="shared" si="0"/>
        <v>0</v>
      </c>
      <c r="N20" s="29"/>
      <c r="O20" s="29"/>
      <c r="P20" s="30"/>
      <c r="Q20" s="29"/>
      <c r="R20" s="29"/>
      <c r="S20" s="30"/>
      <c r="T20" s="29"/>
      <c r="U20" s="84"/>
      <c r="V20" s="277"/>
      <c r="W20" s="29"/>
      <c r="X20" s="30"/>
      <c r="Y20" s="29"/>
      <c r="Z20" s="29"/>
      <c r="AA20" s="30"/>
      <c r="AB20" s="29"/>
      <c r="AC20" s="29"/>
      <c r="AD20" s="30"/>
      <c r="AE20" s="29"/>
      <c r="AF20" s="278"/>
      <c r="AG20" s="277"/>
      <c r="AH20" s="29"/>
      <c r="AI20" s="30"/>
      <c r="AJ20" s="29"/>
      <c r="AK20" s="29"/>
      <c r="AL20" s="30"/>
      <c r="AM20" s="29"/>
      <c r="AN20" s="29"/>
      <c r="AO20" s="30"/>
      <c r="AP20" s="29"/>
      <c r="AQ20" s="278"/>
      <c r="AR20" s="277"/>
      <c r="AS20" s="29"/>
      <c r="AT20" s="30"/>
      <c r="AU20" s="29"/>
      <c r="AV20" s="29"/>
      <c r="AW20" s="30"/>
      <c r="AX20" s="29"/>
      <c r="AY20" s="29"/>
      <c r="AZ20" s="30"/>
      <c r="BA20" s="29"/>
      <c r="BB20" s="278"/>
      <c r="BC20" s="277"/>
      <c r="BD20" s="29"/>
      <c r="BE20" s="30"/>
      <c r="BF20" s="29"/>
      <c r="BG20" s="29"/>
      <c r="BH20" s="30"/>
      <c r="BI20" s="29"/>
      <c r="BJ20" s="29"/>
      <c r="BK20" s="30"/>
      <c r="BL20" s="29"/>
      <c r="BM20" s="278"/>
    </row>
    <row r="21" spans="1:65" ht="13.5" thickTop="1">
      <c r="A21" s="511"/>
      <c r="B21" s="84"/>
      <c r="C21" s="90" t="s">
        <v>309</v>
      </c>
      <c r="D21" s="439" t="s">
        <v>168</v>
      </c>
      <c r="E21" s="439"/>
      <c r="F21" s="102" t="s">
        <v>200</v>
      </c>
      <c r="G21" s="508" t="s">
        <v>50</v>
      </c>
      <c r="H21" s="111"/>
      <c r="I21" s="484">
        <v>39692</v>
      </c>
      <c r="J21" s="471">
        <v>39722</v>
      </c>
      <c r="K21" s="277"/>
      <c r="L21" s="30">
        <v>15</v>
      </c>
      <c r="M21" s="29">
        <f t="shared" si="0"/>
        <v>6120</v>
      </c>
      <c r="N21" s="29"/>
      <c r="O21" s="29"/>
      <c r="P21" s="30"/>
      <c r="Q21" s="29"/>
      <c r="R21" s="29"/>
      <c r="S21" s="29"/>
      <c r="T21" s="29"/>
      <c r="U21" s="84"/>
      <c r="V21" s="277"/>
      <c r="W21" s="30"/>
      <c r="X21" s="30"/>
      <c r="Y21" s="29"/>
      <c r="Z21" s="29"/>
      <c r="AA21" s="30"/>
      <c r="AB21" s="29"/>
      <c r="AC21" s="29"/>
      <c r="AD21" s="29"/>
      <c r="AE21" s="29"/>
      <c r="AF21" s="278"/>
      <c r="AG21" s="277"/>
      <c r="AH21" s="30"/>
      <c r="AI21" s="30"/>
      <c r="AJ21" s="29"/>
      <c r="AK21" s="29"/>
      <c r="AL21" s="30"/>
      <c r="AM21" s="29"/>
      <c r="AN21" s="29"/>
      <c r="AO21" s="29"/>
      <c r="AP21" s="29"/>
      <c r="AQ21" s="278"/>
      <c r="AR21" s="277"/>
      <c r="AS21" s="30"/>
      <c r="AT21" s="30"/>
      <c r="AU21" s="29"/>
      <c r="AV21" s="29"/>
      <c r="AW21" s="30"/>
      <c r="AX21" s="29"/>
      <c r="AY21" s="29"/>
      <c r="AZ21" s="29"/>
      <c r="BA21" s="29"/>
      <c r="BB21" s="278"/>
      <c r="BC21" s="277"/>
      <c r="BD21" s="30"/>
      <c r="BE21" s="30"/>
      <c r="BF21" s="29"/>
      <c r="BG21" s="29"/>
      <c r="BH21" s="30"/>
      <c r="BI21" s="29"/>
      <c r="BJ21" s="29"/>
      <c r="BK21" s="29"/>
      <c r="BL21" s="29"/>
      <c r="BM21" s="278"/>
    </row>
    <row r="22" spans="1:65" ht="12.75">
      <c r="A22" s="511"/>
      <c r="B22" s="84"/>
      <c r="C22" s="93"/>
      <c r="D22" s="429"/>
      <c r="E22" s="429"/>
      <c r="F22" s="72" t="s">
        <v>341</v>
      </c>
      <c r="G22" s="460"/>
      <c r="H22" s="75"/>
      <c r="I22" s="485"/>
      <c r="J22" s="472"/>
      <c r="K22" s="277"/>
      <c r="L22" s="232">
        <v>15</v>
      </c>
      <c r="M22" s="29">
        <f t="shared" si="0"/>
        <v>6120</v>
      </c>
      <c r="N22" s="29"/>
      <c r="O22" s="29"/>
      <c r="P22" s="30"/>
      <c r="Q22" s="29"/>
      <c r="R22" s="29"/>
      <c r="S22" s="29"/>
      <c r="T22" s="29"/>
      <c r="U22" s="84"/>
      <c r="V22" s="277"/>
      <c r="W22" s="232"/>
      <c r="X22" s="30"/>
      <c r="Y22" s="29"/>
      <c r="Z22" s="29"/>
      <c r="AA22" s="30"/>
      <c r="AB22" s="29"/>
      <c r="AC22" s="29"/>
      <c r="AD22" s="29"/>
      <c r="AE22" s="29"/>
      <c r="AF22" s="278"/>
      <c r="AG22" s="277"/>
      <c r="AH22" s="232"/>
      <c r="AI22" s="30"/>
      <c r="AJ22" s="29"/>
      <c r="AK22" s="29"/>
      <c r="AL22" s="30"/>
      <c r="AM22" s="29"/>
      <c r="AN22" s="29"/>
      <c r="AO22" s="29"/>
      <c r="AP22" s="29"/>
      <c r="AQ22" s="278"/>
      <c r="AR22" s="277"/>
      <c r="AS22" s="232"/>
      <c r="AT22" s="30"/>
      <c r="AU22" s="29"/>
      <c r="AV22" s="29"/>
      <c r="AW22" s="30"/>
      <c r="AX22" s="29"/>
      <c r="AY22" s="29"/>
      <c r="AZ22" s="29"/>
      <c r="BA22" s="29"/>
      <c r="BB22" s="278"/>
      <c r="BC22" s="277"/>
      <c r="BD22" s="232"/>
      <c r="BE22" s="30"/>
      <c r="BF22" s="29"/>
      <c r="BG22" s="29"/>
      <c r="BH22" s="30"/>
      <c r="BI22" s="29"/>
      <c r="BJ22" s="29"/>
      <c r="BK22" s="29"/>
      <c r="BL22" s="29"/>
      <c r="BM22" s="278"/>
    </row>
    <row r="23" spans="1:65" ht="12.75">
      <c r="A23" s="511"/>
      <c r="B23" s="84"/>
      <c r="C23" s="93"/>
      <c r="D23" s="429"/>
      <c r="E23" s="429"/>
      <c r="F23" s="71" t="s">
        <v>213</v>
      </c>
      <c r="G23" s="460"/>
      <c r="H23" s="75"/>
      <c r="I23" s="485"/>
      <c r="J23" s="472"/>
      <c r="K23" s="277"/>
      <c r="L23" s="232">
        <v>10</v>
      </c>
      <c r="M23" s="29">
        <f t="shared" si="0"/>
        <v>4080</v>
      </c>
      <c r="N23" s="29"/>
      <c r="O23" s="29"/>
      <c r="P23" s="30"/>
      <c r="Q23" s="29"/>
      <c r="R23" s="29"/>
      <c r="S23" s="29"/>
      <c r="T23" s="29"/>
      <c r="U23" s="84"/>
      <c r="V23" s="277"/>
      <c r="W23" s="232"/>
      <c r="X23" s="30"/>
      <c r="Y23" s="29"/>
      <c r="Z23" s="29"/>
      <c r="AA23" s="30"/>
      <c r="AB23" s="29"/>
      <c r="AC23" s="29"/>
      <c r="AD23" s="29"/>
      <c r="AE23" s="29"/>
      <c r="AF23" s="278"/>
      <c r="AG23" s="277"/>
      <c r="AH23" s="232"/>
      <c r="AI23" s="30"/>
      <c r="AJ23" s="29"/>
      <c r="AK23" s="29"/>
      <c r="AL23" s="30"/>
      <c r="AM23" s="29"/>
      <c r="AN23" s="29"/>
      <c r="AO23" s="29"/>
      <c r="AP23" s="29"/>
      <c r="AQ23" s="278"/>
      <c r="AR23" s="277"/>
      <c r="AS23" s="232"/>
      <c r="AT23" s="30"/>
      <c r="AU23" s="29"/>
      <c r="AV23" s="29"/>
      <c r="AW23" s="30"/>
      <c r="AX23" s="29"/>
      <c r="AY23" s="29"/>
      <c r="AZ23" s="29"/>
      <c r="BA23" s="29"/>
      <c r="BB23" s="278"/>
      <c r="BC23" s="277"/>
      <c r="BD23" s="232"/>
      <c r="BE23" s="30"/>
      <c r="BF23" s="29"/>
      <c r="BG23" s="29"/>
      <c r="BH23" s="30"/>
      <c r="BI23" s="29"/>
      <c r="BJ23" s="29"/>
      <c r="BK23" s="29"/>
      <c r="BL23" s="29"/>
      <c r="BM23" s="278"/>
    </row>
    <row r="24" spans="1:65" ht="13.5" thickBot="1">
      <c r="A24" s="511"/>
      <c r="B24" s="84"/>
      <c r="C24" s="94"/>
      <c r="D24" s="445"/>
      <c r="E24" s="445"/>
      <c r="F24" s="104" t="s">
        <v>201</v>
      </c>
      <c r="G24" s="509"/>
      <c r="H24" s="96"/>
      <c r="I24" s="486"/>
      <c r="J24" s="470"/>
      <c r="K24" s="277"/>
      <c r="L24" s="232">
        <v>10</v>
      </c>
      <c r="M24" s="29">
        <f t="shared" si="0"/>
        <v>4080</v>
      </c>
      <c r="N24" s="29"/>
      <c r="O24" s="29"/>
      <c r="P24" s="30"/>
      <c r="Q24" s="29"/>
      <c r="R24" s="29"/>
      <c r="S24" s="29"/>
      <c r="T24" s="29"/>
      <c r="U24" s="84"/>
      <c r="V24" s="277"/>
      <c r="W24" s="232"/>
      <c r="X24" s="30"/>
      <c r="Y24" s="29"/>
      <c r="Z24" s="29"/>
      <c r="AA24" s="30"/>
      <c r="AB24" s="29"/>
      <c r="AC24" s="29"/>
      <c r="AD24" s="29"/>
      <c r="AE24" s="29"/>
      <c r="AF24" s="278"/>
      <c r="AG24" s="277"/>
      <c r="AH24" s="232"/>
      <c r="AI24" s="30"/>
      <c r="AJ24" s="29"/>
      <c r="AK24" s="29"/>
      <c r="AL24" s="30"/>
      <c r="AM24" s="29"/>
      <c r="AN24" s="29"/>
      <c r="AO24" s="29"/>
      <c r="AP24" s="29"/>
      <c r="AQ24" s="278"/>
      <c r="AR24" s="277"/>
      <c r="AS24" s="232"/>
      <c r="AT24" s="30"/>
      <c r="AU24" s="29"/>
      <c r="AV24" s="29"/>
      <c r="AW24" s="30"/>
      <c r="AX24" s="29"/>
      <c r="AY24" s="29"/>
      <c r="AZ24" s="29"/>
      <c r="BA24" s="29"/>
      <c r="BB24" s="278"/>
      <c r="BC24" s="277"/>
      <c r="BD24" s="232"/>
      <c r="BE24" s="30"/>
      <c r="BF24" s="29"/>
      <c r="BG24" s="29"/>
      <c r="BH24" s="30"/>
      <c r="BI24" s="29"/>
      <c r="BJ24" s="29"/>
      <c r="BK24" s="29"/>
      <c r="BL24" s="29"/>
      <c r="BM24" s="278"/>
    </row>
    <row r="25" spans="1:65" ht="14.25" thickBot="1" thickTop="1">
      <c r="A25" s="511"/>
      <c r="B25" s="84"/>
      <c r="C25" s="98" t="s">
        <v>49</v>
      </c>
      <c r="D25" s="109" t="s">
        <v>168</v>
      </c>
      <c r="E25" s="109"/>
      <c r="F25" s="100"/>
      <c r="G25" s="99" t="s">
        <v>50</v>
      </c>
      <c r="H25" s="109"/>
      <c r="I25" s="112">
        <v>39692</v>
      </c>
      <c r="J25" s="255">
        <v>39783</v>
      </c>
      <c r="K25" s="277"/>
      <c r="L25" s="29"/>
      <c r="M25" s="29">
        <f t="shared" si="0"/>
        <v>0</v>
      </c>
      <c r="N25" s="29"/>
      <c r="O25" s="29"/>
      <c r="P25" s="29"/>
      <c r="Q25" s="29"/>
      <c r="R25" s="29"/>
      <c r="S25" s="29"/>
      <c r="T25" s="29"/>
      <c r="U25" s="84"/>
      <c r="V25" s="277"/>
      <c r="W25" s="29"/>
      <c r="X25" s="30"/>
      <c r="Y25" s="29"/>
      <c r="Z25" s="29"/>
      <c r="AA25" s="29"/>
      <c r="AB25" s="29"/>
      <c r="AC25" s="29"/>
      <c r="AD25" s="29"/>
      <c r="AE25" s="29"/>
      <c r="AF25" s="278"/>
      <c r="AG25" s="277"/>
      <c r="AH25" s="29"/>
      <c r="AI25" s="30"/>
      <c r="AJ25" s="29"/>
      <c r="AK25" s="29"/>
      <c r="AL25" s="29"/>
      <c r="AM25" s="29"/>
      <c r="AN25" s="29"/>
      <c r="AO25" s="29"/>
      <c r="AP25" s="29"/>
      <c r="AQ25" s="278"/>
      <c r="AR25" s="277"/>
      <c r="AS25" s="29"/>
      <c r="AT25" s="30"/>
      <c r="AU25" s="29"/>
      <c r="AV25" s="29"/>
      <c r="AW25" s="29"/>
      <c r="AX25" s="29"/>
      <c r="AY25" s="29"/>
      <c r="AZ25" s="29"/>
      <c r="BA25" s="29"/>
      <c r="BB25" s="278"/>
      <c r="BC25" s="277"/>
      <c r="BD25" s="29"/>
      <c r="BE25" s="30"/>
      <c r="BF25" s="29"/>
      <c r="BG25" s="29"/>
      <c r="BH25" s="29"/>
      <c r="BI25" s="29"/>
      <c r="BJ25" s="29"/>
      <c r="BK25" s="29"/>
      <c r="BL25" s="29"/>
      <c r="BM25" s="278"/>
    </row>
    <row r="26" spans="1:65" ht="13.5" thickTop="1">
      <c r="A26" s="511"/>
      <c r="B26" s="84"/>
      <c r="C26" s="90" t="s">
        <v>204</v>
      </c>
      <c r="D26" s="439" t="s">
        <v>168</v>
      </c>
      <c r="E26" s="439"/>
      <c r="F26" s="102" t="s">
        <v>664</v>
      </c>
      <c r="G26" s="514" t="s">
        <v>49</v>
      </c>
      <c r="H26" s="111"/>
      <c r="I26" s="518">
        <v>39753</v>
      </c>
      <c r="J26" s="476">
        <v>39845</v>
      </c>
      <c r="K26" s="277"/>
      <c r="L26" s="30">
        <v>4</v>
      </c>
      <c r="M26" s="29">
        <f t="shared" si="0"/>
        <v>1632</v>
      </c>
      <c r="N26" s="29"/>
      <c r="O26" s="29"/>
      <c r="P26" s="30"/>
      <c r="Q26" s="29"/>
      <c r="R26" s="29"/>
      <c r="S26" s="29"/>
      <c r="T26" s="29"/>
      <c r="U26" s="84"/>
      <c r="V26" s="277"/>
      <c r="W26" s="30"/>
      <c r="X26" s="30"/>
      <c r="Y26" s="29"/>
      <c r="Z26" s="29"/>
      <c r="AA26" s="30"/>
      <c r="AB26" s="29"/>
      <c r="AC26" s="29"/>
      <c r="AD26" s="29"/>
      <c r="AE26" s="29"/>
      <c r="AF26" s="278"/>
      <c r="AG26" s="277"/>
      <c r="AH26" s="30"/>
      <c r="AI26" s="30"/>
      <c r="AJ26" s="29"/>
      <c r="AK26" s="29"/>
      <c r="AL26" s="30"/>
      <c r="AM26" s="29"/>
      <c r="AN26" s="29"/>
      <c r="AO26" s="29"/>
      <c r="AP26" s="29"/>
      <c r="AQ26" s="278"/>
      <c r="AR26" s="277"/>
      <c r="AS26" s="30"/>
      <c r="AT26" s="30"/>
      <c r="AU26" s="29"/>
      <c r="AV26" s="29"/>
      <c r="AW26" s="30"/>
      <c r="AX26" s="29"/>
      <c r="AY26" s="29"/>
      <c r="AZ26" s="29"/>
      <c r="BA26" s="29"/>
      <c r="BB26" s="278"/>
      <c r="BC26" s="277"/>
      <c r="BD26" s="30"/>
      <c r="BE26" s="30"/>
      <c r="BF26" s="29"/>
      <c r="BG26" s="29"/>
      <c r="BH26" s="30"/>
      <c r="BI26" s="29"/>
      <c r="BJ26" s="29"/>
      <c r="BK26" s="29"/>
      <c r="BL26" s="29"/>
      <c r="BM26" s="278"/>
    </row>
    <row r="27" spans="1:65" ht="13.5" thickBot="1">
      <c r="A27" s="511"/>
      <c r="B27" s="84"/>
      <c r="C27" s="93"/>
      <c r="D27" s="429"/>
      <c r="E27" s="429"/>
      <c r="F27" s="71" t="s">
        <v>656</v>
      </c>
      <c r="G27" s="515"/>
      <c r="H27" s="75"/>
      <c r="I27" s="519"/>
      <c r="J27" s="477"/>
      <c r="K27" s="277"/>
      <c r="L27" s="30">
        <v>8</v>
      </c>
      <c r="M27" s="29">
        <f t="shared" si="0"/>
        <v>3264</v>
      </c>
      <c r="N27" s="29"/>
      <c r="O27" s="29"/>
      <c r="P27" s="30"/>
      <c r="Q27" s="29"/>
      <c r="R27" s="29"/>
      <c r="S27" s="29"/>
      <c r="T27" s="29"/>
      <c r="U27" s="84"/>
      <c r="V27" s="277"/>
      <c r="W27" s="30"/>
      <c r="X27" s="30"/>
      <c r="Y27" s="29"/>
      <c r="Z27" s="29"/>
      <c r="AA27" s="30"/>
      <c r="AB27" s="29"/>
      <c r="AC27" s="29"/>
      <c r="AD27" s="29"/>
      <c r="AE27" s="29"/>
      <c r="AF27" s="278"/>
      <c r="AG27" s="277"/>
      <c r="AH27" s="30"/>
      <c r="AI27" s="30"/>
      <c r="AJ27" s="29"/>
      <c r="AK27" s="29"/>
      <c r="AL27" s="30"/>
      <c r="AM27" s="29"/>
      <c r="AN27" s="29"/>
      <c r="AO27" s="29"/>
      <c r="AP27" s="29"/>
      <c r="AQ27" s="278"/>
      <c r="AR27" s="277"/>
      <c r="AS27" s="30"/>
      <c r="AT27" s="30"/>
      <c r="AU27" s="29"/>
      <c r="AV27" s="29"/>
      <c r="AW27" s="30"/>
      <c r="AX27" s="29"/>
      <c r="AY27" s="29"/>
      <c r="AZ27" s="29"/>
      <c r="BA27" s="29"/>
      <c r="BB27" s="278"/>
      <c r="BC27" s="277"/>
      <c r="BD27" s="30"/>
      <c r="BE27" s="30"/>
      <c r="BF27" s="29"/>
      <c r="BG27" s="29"/>
      <c r="BH27" s="30"/>
      <c r="BI27" s="29"/>
      <c r="BJ27" s="29"/>
      <c r="BK27" s="29"/>
      <c r="BL27" s="29"/>
      <c r="BM27" s="278"/>
    </row>
    <row r="28" spans="1:65" ht="13.5" thickTop="1">
      <c r="A28" s="511"/>
      <c r="B28" s="84"/>
      <c r="C28" s="93"/>
      <c r="D28" s="429"/>
      <c r="E28" s="429"/>
      <c r="F28" s="102" t="s">
        <v>202</v>
      </c>
      <c r="G28" s="515"/>
      <c r="H28" s="75"/>
      <c r="I28" s="519"/>
      <c r="J28" s="477"/>
      <c r="K28" s="277"/>
      <c r="L28" s="30">
        <v>8</v>
      </c>
      <c r="M28" s="29">
        <f t="shared" si="0"/>
        <v>3264</v>
      </c>
      <c r="N28" s="29"/>
      <c r="O28" s="29"/>
      <c r="P28" s="30"/>
      <c r="Q28" s="29"/>
      <c r="R28" s="29"/>
      <c r="S28" s="29"/>
      <c r="T28" s="29"/>
      <c r="U28" s="84"/>
      <c r="V28" s="277"/>
      <c r="W28" s="30"/>
      <c r="X28" s="30"/>
      <c r="Y28" s="29"/>
      <c r="Z28" s="29"/>
      <c r="AA28" s="30"/>
      <c r="AB28" s="29"/>
      <c r="AC28" s="29"/>
      <c r="AD28" s="29"/>
      <c r="AE28" s="29"/>
      <c r="AF28" s="278"/>
      <c r="AG28" s="277"/>
      <c r="AH28" s="30"/>
      <c r="AI28" s="30"/>
      <c r="AJ28" s="29"/>
      <c r="AK28" s="29"/>
      <c r="AL28" s="30"/>
      <c r="AM28" s="29"/>
      <c r="AN28" s="29"/>
      <c r="AO28" s="29"/>
      <c r="AP28" s="29"/>
      <c r="AQ28" s="278"/>
      <c r="AR28" s="277"/>
      <c r="AS28" s="30"/>
      <c r="AT28" s="30"/>
      <c r="AU28" s="29"/>
      <c r="AV28" s="29"/>
      <c r="AW28" s="30"/>
      <c r="AX28" s="29"/>
      <c r="AY28" s="29"/>
      <c r="AZ28" s="29"/>
      <c r="BA28" s="29"/>
      <c r="BB28" s="278"/>
      <c r="BC28" s="277"/>
      <c r="BD28" s="30"/>
      <c r="BE28" s="30"/>
      <c r="BF28" s="29"/>
      <c r="BG28" s="29"/>
      <c r="BH28" s="30"/>
      <c r="BI28" s="29"/>
      <c r="BJ28" s="29"/>
      <c r="BK28" s="29"/>
      <c r="BL28" s="29"/>
      <c r="BM28" s="278"/>
    </row>
    <row r="29" spans="1:65" ht="12.75">
      <c r="A29" s="511"/>
      <c r="B29" s="84"/>
      <c r="C29" s="245"/>
      <c r="D29" s="429"/>
      <c r="E29" s="429"/>
      <c r="F29" s="71" t="s">
        <v>203</v>
      </c>
      <c r="G29" s="425"/>
      <c r="H29" s="86"/>
      <c r="I29" s="520"/>
      <c r="J29" s="478"/>
      <c r="K29" s="277"/>
      <c r="L29" s="30">
        <v>4</v>
      </c>
      <c r="M29" s="29">
        <f t="shared" si="0"/>
        <v>1632</v>
      </c>
      <c r="N29" s="29"/>
      <c r="O29" s="29"/>
      <c r="P29" s="30"/>
      <c r="Q29" s="29"/>
      <c r="R29" s="29"/>
      <c r="S29" s="29"/>
      <c r="T29" s="29"/>
      <c r="U29" s="84"/>
      <c r="V29" s="277"/>
      <c r="W29" s="30"/>
      <c r="X29" s="30"/>
      <c r="Y29" s="29"/>
      <c r="Z29" s="29"/>
      <c r="AA29" s="30"/>
      <c r="AB29" s="29"/>
      <c r="AC29" s="29"/>
      <c r="AD29" s="29"/>
      <c r="AE29" s="29"/>
      <c r="AF29" s="278"/>
      <c r="AG29" s="277"/>
      <c r="AH29" s="30"/>
      <c r="AI29" s="30"/>
      <c r="AJ29" s="29"/>
      <c r="AK29" s="29"/>
      <c r="AL29" s="30"/>
      <c r="AM29" s="29"/>
      <c r="AN29" s="29"/>
      <c r="AO29" s="29"/>
      <c r="AP29" s="29"/>
      <c r="AQ29" s="278"/>
      <c r="AR29" s="277"/>
      <c r="AS29" s="30"/>
      <c r="AT29" s="30"/>
      <c r="AU29" s="29"/>
      <c r="AV29" s="29"/>
      <c r="AW29" s="30"/>
      <c r="AX29" s="29"/>
      <c r="AY29" s="29"/>
      <c r="AZ29" s="29"/>
      <c r="BA29" s="29"/>
      <c r="BB29" s="278"/>
      <c r="BC29" s="277"/>
      <c r="BD29" s="30"/>
      <c r="BE29" s="30"/>
      <c r="BF29" s="29"/>
      <c r="BG29" s="29"/>
      <c r="BH29" s="30"/>
      <c r="BI29" s="29"/>
      <c r="BJ29" s="29"/>
      <c r="BK29" s="29"/>
      <c r="BL29" s="29"/>
      <c r="BM29" s="278"/>
    </row>
    <row r="30" spans="1:65" ht="12.75">
      <c r="A30" s="511"/>
      <c r="B30" s="84"/>
      <c r="C30" s="245"/>
      <c r="D30" s="429"/>
      <c r="E30" s="429"/>
      <c r="F30" s="71" t="s">
        <v>205</v>
      </c>
      <c r="G30" s="425"/>
      <c r="H30" s="86"/>
      <c r="I30" s="520"/>
      <c r="J30" s="478"/>
      <c r="K30" s="277"/>
      <c r="L30" s="30">
        <v>6.5</v>
      </c>
      <c r="M30" s="29">
        <f t="shared" si="0"/>
        <v>2652</v>
      </c>
      <c r="N30" s="29"/>
      <c r="O30" s="29"/>
      <c r="P30" s="30"/>
      <c r="Q30" s="29"/>
      <c r="R30" s="29"/>
      <c r="S30" s="29"/>
      <c r="T30" s="29"/>
      <c r="U30" s="84"/>
      <c r="V30" s="277"/>
      <c r="W30" s="30"/>
      <c r="X30" s="30"/>
      <c r="Y30" s="29"/>
      <c r="Z30" s="29"/>
      <c r="AA30" s="30"/>
      <c r="AB30" s="29"/>
      <c r="AC30" s="29"/>
      <c r="AD30" s="29"/>
      <c r="AE30" s="29"/>
      <c r="AF30" s="278"/>
      <c r="AG30" s="277"/>
      <c r="AH30" s="30"/>
      <c r="AI30" s="30"/>
      <c r="AJ30" s="29"/>
      <c r="AK30" s="29"/>
      <c r="AL30" s="30"/>
      <c r="AM30" s="29"/>
      <c r="AN30" s="29"/>
      <c r="AO30" s="29"/>
      <c r="AP30" s="29"/>
      <c r="AQ30" s="278"/>
      <c r="AR30" s="277"/>
      <c r="AS30" s="30"/>
      <c r="AT30" s="30"/>
      <c r="AU30" s="29"/>
      <c r="AV30" s="29"/>
      <c r="AW30" s="30"/>
      <c r="AX30" s="29"/>
      <c r="AY30" s="29"/>
      <c r="AZ30" s="29"/>
      <c r="BA30" s="29"/>
      <c r="BB30" s="278"/>
      <c r="BC30" s="277"/>
      <c r="BD30" s="30"/>
      <c r="BE30" s="30"/>
      <c r="BF30" s="29"/>
      <c r="BG30" s="29"/>
      <c r="BH30" s="30"/>
      <c r="BI30" s="29"/>
      <c r="BJ30" s="29"/>
      <c r="BK30" s="29"/>
      <c r="BL30" s="29"/>
      <c r="BM30" s="278"/>
    </row>
    <row r="31" spans="1:65" ht="13.5" thickBot="1">
      <c r="A31" s="511"/>
      <c r="B31" s="84"/>
      <c r="C31" s="245"/>
      <c r="D31" s="438"/>
      <c r="E31" s="438"/>
      <c r="F31" s="85" t="s">
        <v>206</v>
      </c>
      <c r="G31" s="425"/>
      <c r="H31" s="86"/>
      <c r="I31" s="520"/>
      <c r="J31" s="478"/>
      <c r="K31" s="277"/>
      <c r="L31" s="30">
        <v>13</v>
      </c>
      <c r="M31" s="29">
        <f t="shared" si="0"/>
        <v>5304</v>
      </c>
      <c r="N31" s="29"/>
      <c r="O31" s="29"/>
      <c r="P31" s="30"/>
      <c r="Q31" s="29"/>
      <c r="R31" s="29"/>
      <c r="S31" s="29"/>
      <c r="T31" s="29"/>
      <c r="U31" s="84"/>
      <c r="V31" s="277"/>
      <c r="W31" s="30"/>
      <c r="X31" s="30"/>
      <c r="Y31" s="29"/>
      <c r="Z31" s="29"/>
      <c r="AA31" s="30"/>
      <c r="AB31" s="29"/>
      <c r="AC31" s="29"/>
      <c r="AD31" s="29"/>
      <c r="AE31" s="29"/>
      <c r="AF31" s="278"/>
      <c r="AG31" s="277"/>
      <c r="AH31" s="30"/>
      <c r="AI31" s="30"/>
      <c r="AJ31" s="29"/>
      <c r="AK31" s="29"/>
      <c r="AL31" s="30"/>
      <c r="AM31" s="29"/>
      <c r="AN31" s="29"/>
      <c r="AO31" s="29"/>
      <c r="AP31" s="29"/>
      <c r="AQ31" s="278"/>
      <c r="AR31" s="277"/>
      <c r="AS31" s="30"/>
      <c r="AT31" s="30"/>
      <c r="AU31" s="29"/>
      <c r="AV31" s="29"/>
      <c r="AW31" s="30"/>
      <c r="AX31" s="29"/>
      <c r="AY31" s="29"/>
      <c r="AZ31" s="29"/>
      <c r="BA31" s="29"/>
      <c r="BB31" s="278"/>
      <c r="BC31" s="277"/>
      <c r="BD31" s="30"/>
      <c r="BE31" s="30"/>
      <c r="BF31" s="29"/>
      <c r="BG31" s="29"/>
      <c r="BH31" s="30"/>
      <c r="BI31" s="29"/>
      <c r="BJ31" s="29"/>
      <c r="BK31" s="29"/>
      <c r="BL31" s="29"/>
      <c r="BM31" s="278"/>
    </row>
    <row r="32" spans="1:65" ht="13.5" thickBot="1">
      <c r="A32" s="511"/>
      <c r="B32" s="84"/>
      <c r="C32" s="246" t="s">
        <v>720</v>
      </c>
      <c r="D32" s="250" t="s">
        <v>168</v>
      </c>
      <c r="E32" s="250"/>
      <c r="F32" s="248"/>
      <c r="G32" s="249"/>
      <c r="H32" s="250"/>
      <c r="I32" s="251">
        <v>39569</v>
      </c>
      <c r="J32" s="256">
        <v>39813</v>
      </c>
      <c r="K32" s="277"/>
      <c r="L32" s="30">
        <f>4.25*5*2</f>
        <v>42.5</v>
      </c>
      <c r="M32" s="29">
        <f t="shared" si="0"/>
        <v>17340</v>
      </c>
      <c r="N32" s="29"/>
      <c r="O32" s="29"/>
      <c r="P32" s="30"/>
      <c r="Q32" s="29"/>
      <c r="R32" s="29"/>
      <c r="S32" s="29"/>
      <c r="T32" s="29"/>
      <c r="U32" s="84"/>
      <c r="V32" s="277"/>
      <c r="W32" s="30"/>
      <c r="X32" s="30"/>
      <c r="Y32" s="29"/>
      <c r="Z32" s="29"/>
      <c r="AA32" s="30"/>
      <c r="AB32" s="29"/>
      <c r="AC32" s="29"/>
      <c r="AD32" s="29"/>
      <c r="AE32" s="29"/>
      <c r="AF32" s="278"/>
      <c r="AG32" s="277"/>
      <c r="AH32" s="30"/>
      <c r="AI32" s="30"/>
      <c r="AJ32" s="29"/>
      <c r="AK32" s="29"/>
      <c r="AL32" s="30"/>
      <c r="AM32" s="29"/>
      <c r="AN32" s="29"/>
      <c r="AO32" s="29"/>
      <c r="AP32" s="29"/>
      <c r="AQ32" s="278"/>
      <c r="AR32" s="277"/>
      <c r="AS32" s="30"/>
      <c r="AT32" s="30"/>
      <c r="AU32" s="29"/>
      <c r="AV32" s="29"/>
      <c r="AW32" s="30"/>
      <c r="AX32" s="29"/>
      <c r="AY32" s="29"/>
      <c r="AZ32" s="29"/>
      <c r="BA32" s="29"/>
      <c r="BB32" s="278"/>
      <c r="BC32" s="277"/>
      <c r="BD32" s="30"/>
      <c r="BE32" s="30"/>
      <c r="BF32" s="29"/>
      <c r="BG32" s="29"/>
      <c r="BH32" s="30"/>
      <c r="BI32" s="29"/>
      <c r="BJ32" s="29"/>
      <c r="BK32" s="29"/>
      <c r="BL32" s="29"/>
      <c r="BM32" s="278"/>
    </row>
    <row r="33" spans="1:65" ht="12.75">
      <c r="A33" s="511"/>
      <c r="B33" s="29"/>
      <c r="C33" s="113"/>
      <c r="D33" s="103"/>
      <c r="E33" s="103"/>
      <c r="F33" s="88"/>
      <c r="G33" s="89"/>
      <c r="H33" s="103"/>
      <c r="I33" s="114"/>
      <c r="J33" s="257"/>
      <c r="K33" s="277"/>
      <c r="L33" s="29"/>
      <c r="M33" s="29">
        <f t="shared" si="0"/>
        <v>0</v>
      </c>
      <c r="N33" s="29"/>
      <c r="O33" s="29"/>
      <c r="P33" s="29"/>
      <c r="Q33" s="29"/>
      <c r="R33" s="29"/>
      <c r="S33" s="29"/>
      <c r="T33" s="29"/>
      <c r="U33" s="84"/>
      <c r="V33" s="277"/>
      <c r="W33" s="29"/>
      <c r="X33" s="29"/>
      <c r="Y33" s="29"/>
      <c r="Z33" s="29"/>
      <c r="AA33" s="29"/>
      <c r="AB33" s="29"/>
      <c r="AC33" s="29"/>
      <c r="AD33" s="29"/>
      <c r="AE33" s="29"/>
      <c r="AF33" s="278"/>
      <c r="AG33" s="277"/>
      <c r="AH33" s="29"/>
      <c r="AI33" s="29"/>
      <c r="AJ33" s="29"/>
      <c r="AK33" s="29"/>
      <c r="AL33" s="29"/>
      <c r="AM33" s="29"/>
      <c r="AN33" s="29"/>
      <c r="AO33" s="29"/>
      <c r="AP33" s="29"/>
      <c r="AQ33" s="278"/>
      <c r="AR33" s="277"/>
      <c r="AS33" s="29"/>
      <c r="AT33" s="29"/>
      <c r="AU33" s="29"/>
      <c r="AV33" s="29"/>
      <c r="AW33" s="29"/>
      <c r="AX33" s="29"/>
      <c r="AY33" s="29"/>
      <c r="AZ33" s="29"/>
      <c r="BA33" s="29"/>
      <c r="BB33" s="278"/>
      <c r="BC33" s="277"/>
      <c r="BD33" s="29"/>
      <c r="BE33" s="29"/>
      <c r="BF33" s="29"/>
      <c r="BG33" s="29"/>
      <c r="BH33" s="29"/>
      <c r="BI33" s="29"/>
      <c r="BJ33" s="29"/>
      <c r="BK33" s="29"/>
      <c r="BL33" s="29"/>
      <c r="BM33" s="278"/>
    </row>
    <row r="34" spans="1:65" ht="13.5" thickBot="1">
      <c r="A34" s="511"/>
      <c r="B34" s="29"/>
      <c r="C34" s="97"/>
      <c r="D34" s="86"/>
      <c r="E34" s="86"/>
      <c r="F34" s="85"/>
      <c r="G34" s="86"/>
      <c r="H34" s="86"/>
      <c r="I34" s="74"/>
      <c r="J34" s="258"/>
      <c r="K34" s="277"/>
      <c r="L34" s="29"/>
      <c r="M34" s="29">
        <f t="shared" si="0"/>
        <v>0</v>
      </c>
      <c r="N34" s="29"/>
      <c r="O34" s="29"/>
      <c r="P34" s="29"/>
      <c r="Q34" s="29"/>
      <c r="R34" s="29"/>
      <c r="S34" s="29"/>
      <c r="T34" s="29"/>
      <c r="U34" s="84"/>
      <c r="V34" s="277"/>
      <c r="W34" s="29"/>
      <c r="X34" s="29"/>
      <c r="Y34" s="29"/>
      <c r="Z34" s="29"/>
      <c r="AA34" s="29"/>
      <c r="AB34" s="29"/>
      <c r="AC34" s="29"/>
      <c r="AD34" s="29"/>
      <c r="AE34" s="29"/>
      <c r="AF34" s="278"/>
      <c r="AG34" s="277"/>
      <c r="AH34" s="29"/>
      <c r="AI34" s="29"/>
      <c r="AJ34" s="29"/>
      <c r="AK34" s="29"/>
      <c r="AL34" s="29"/>
      <c r="AM34" s="29"/>
      <c r="AN34" s="29"/>
      <c r="AO34" s="29"/>
      <c r="AP34" s="29"/>
      <c r="AQ34" s="278"/>
      <c r="AR34" s="277"/>
      <c r="AS34" s="29"/>
      <c r="AT34" s="29"/>
      <c r="AU34" s="29"/>
      <c r="AV34" s="29"/>
      <c r="AW34" s="29"/>
      <c r="AX34" s="29"/>
      <c r="AY34" s="29"/>
      <c r="AZ34" s="29"/>
      <c r="BA34" s="29"/>
      <c r="BB34" s="278"/>
      <c r="BC34" s="277"/>
      <c r="BD34" s="29"/>
      <c r="BE34" s="29"/>
      <c r="BF34" s="29"/>
      <c r="BG34" s="29"/>
      <c r="BH34" s="29"/>
      <c r="BI34" s="29"/>
      <c r="BJ34" s="29"/>
      <c r="BK34" s="29"/>
      <c r="BL34" s="29"/>
      <c r="BM34" s="278"/>
    </row>
    <row r="35" spans="1:65" ht="13.5" thickTop="1">
      <c r="A35" s="511"/>
      <c r="B35" s="84" t="s">
        <v>192</v>
      </c>
      <c r="C35" s="235" t="s">
        <v>207</v>
      </c>
      <c r="D35" s="238" t="s">
        <v>168</v>
      </c>
      <c r="E35" s="238"/>
      <c r="F35" s="237" t="s">
        <v>665</v>
      </c>
      <c r="G35" s="236" t="s">
        <v>197</v>
      </c>
      <c r="H35" s="238"/>
      <c r="I35" s="239">
        <v>39600</v>
      </c>
      <c r="J35" s="259">
        <v>39692</v>
      </c>
      <c r="K35" s="279">
        <f>'component cost estimation jens'!I4</f>
        <v>3000</v>
      </c>
      <c r="L35" s="29"/>
      <c r="M35" s="29">
        <f t="shared" si="0"/>
        <v>0</v>
      </c>
      <c r="N35" s="29"/>
      <c r="O35" s="29"/>
      <c r="P35" s="460" t="s">
        <v>679</v>
      </c>
      <c r="Q35" s="460"/>
      <c r="R35" s="29"/>
      <c r="S35" s="29"/>
      <c r="T35" s="29"/>
      <c r="U35" s="84"/>
      <c r="V35" s="279"/>
      <c r="W35" s="29"/>
      <c r="X35" s="29"/>
      <c r="Y35" s="29"/>
      <c r="Z35" s="29"/>
      <c r="AA35" s="75"/>
      <c r="AB35" s="75"/>
      <c r="AC35" s="29"/>
      <c r="AD35" s="29"/>
      <c r="AE35" s="29"/>
      <c r="AF35" s="278"/>
      <c r="AG35" s="279"/>
      <c r="AH35" s="29"/>
      <c r="AI35" s="29"/>
      <c r="AJ35" s="29"/>
      <c r="AK35" s="29"/>
      <c r="AL35" s="75"/>
      <c r="AM35" s="75"/>
      <c r="AN35" s="29"/>
      <c r="AO35" s="29"/>
      <c r="AP35" s="29"/>
      <c r="AQ35" s="278"/>
      <c r="AR35" s="279"/>
      <c r="AS35" s="29"/>
      <c r="AT35" s="29"/>
      <c r="AU35" s="29"/>
      <c r="AV35" s="29"/>
      <c r="AW35" s="75"/>
      <c r="AX35" s="75"/>
      <c r="AY35" s="29"/>
      <c r="AZ35" s="29"/>
      <c r="BA35" s="29"/>
      <c r="BB35" s="278"/>
      <c r="BC35" s="279"/>
      <c r="BD35" s="29"/>
      <c r="BE35" s="29"/>
      <c r="BF35" s="29"/>
      <c r="BG35" s="29"/>
      <c r="BH35" s="75"/>
      <c r="BI35" s="75"/>
      <c r="BJ35" s="29"/>
      <c r="BK35" s="29"/>
      <c r="BL35" s="29"/>
      <c r="BM35" s="278"/>
    </row>
    <row r="36" spans="1:65" ht="13.5" thickBot="1">
      <c r="A36" s="511"/>
      <c r="B36" s="84"/>
      <c r="C36" s="240"/>
      <c r="D36" s="243" t="s">
        <v>721</v>
      </c>
      <c r="E36" s="243" t="s">
        <v>722</v>
      </c>
      <c r="F36" s="242" t="s">
        <v>666</v>
      </c>
      <c r="G36" s="241"/>
      <c r="H36" s="243"/>
      <c r="I36" s="244"/>
      <c r="J36" s="260"/>
      <c r="K36" s="279">
        <v>1500</v>
      </c>
      <c r="L36" s="29"/>
      <c r="M36" s="29">
        <f t="shared" si="0"/>
        <v>0</v>
      </c>
      <c r="N36" s="29"/>
      <c r="O36" s="29"/>
      <c r="P36" s="460"/>
      <c r="Q36" s="460"/>
      <c r="R36" s="29"/>
      <c r="S36" s="29"/>
      <c r="T36" s="29"/>
      <c r="U36" s="84"/>
      <c r="V36" s="279"/>
      <c r="W36" s="29"/>
      <c r="X36" s="29"/>
      <c r="Y36" s="29"/>
      <c r="Z36" s="29"/>
      <c r="AA36" s="75"/>
      <c r="AB36" s="75"/>
      <c r="AC36" s="29"/>
      <c r="AD36" s="29"/>
      <c r="AE36" s="29"/>
      <c r="AF36" s="278"/>
      <c r="AG36" s="279"/>
      <c r="AH36" s="29"/>
      <c r="AI36" s="29"/>
      <c r="AJ36" s="29"/>
      <c r="AK36" s="29"/>
      <c r="AL36" s="75"/>
      <c r="AM36" s="75"/>
      <c r="AN36" s="29"/>
      <c r="AO36" s="29"/>
      <c r="AP36" s="29"/>
      <c r="AQ36" s="278"/>
      <c r="AR36" s="279"/>
      <c r="AS36" s="29"/>
      <c r="AT36" s="29"/>
      <c r="AU36" s="29"/>
      <c r="AV36" s="29"/>
      <c r="AW36" s="75"/>
      <c r="AX36" s="75"/>
      <c r="AY36" s="29"/>
      <c r="AZ36" s="29"/>
      <c r="BA36" s="29"/>
      <c r="BB36" s="278"/>
      <c r="BC36" s="279"/>
      <c r="BD36" s="29"/>
      <c r="BE36" s="29"/>
      <c r="BF36" s="29"/>
      <c r="BG36" s="29"/>
      <c r="BH36" s="75"/>
      <c r="BI36" s="75"/>
      <c r="BJ36" s="29"/>
      <c r="BK36" s="29"/>
      <c r="BL36" s="29"/>
      <c r="BM36" s="278"/>
    </row>
    <row r="37" spans="1:65" ht="13.5" thickTop="1">
      <c r="A37" s="511"/>
      <c r="B37" s="84"/>
      <c r="C37" s="90" t="s">
        <v>217</v>
      </c>
      <c r="D37" s="439" t="s">
        <v>168</v>
      </c>
      <c r="E37" s="439"/>
      <c r="F37" s="102" t="s">
        <v>209</v>
      </c>
      <c r="G37" s="514" t="s">
        <v>195</v>
      </c>
      <c r="H37" s="111"/>
      <c r="I37" s="518">
        <v>39569</v>
      </c>
      <c r="J37" s="473">
        <v>39692</v>
      </c>
      <c r="K37" s="277">
        <f>'component cost estimation jens'!I5</f>
        <v>4800</v>
      </c>
      <c r="L37" s="29"/>
      <c r="M37" s="29">
        <f aca="true" t="shared" si="1" ref="M37:M68">L37*M$2*8</f>
        <v>0</v>
      </c>
      <c r="N37" s="29"/>
      <c r="O37" s="29"/>
      <c r="P37" s="460"/>
      <c r="Q37" s="460"/>
      <c r="R37" s="29"/>
      <c r="S37" s="29"/>
      <c r="T37" s="29"/>
      <c r="U37" s="84"/>
      <c r="V37" s="277"/>
      <c r="W37" s="29"/>
      <c r="X37" s="29"/>
      <c r="Y37" s="29"/>
      <c r="Z37" s="29"/>
      <c r="AA37" s="75"/>
      <c r="AB37" s="75"/>
      <c r="AC37" s="29"/>
      <c r="AD37" s="29"/>
      <c r="AE37" s="29"/>
      <c r="AF37" s="278"/>
      <c r="AG37" s="277"/>
      <c r="AH37" s="29"/>
      <c r="AI37" s="29"/>
      <c r="AJ37" s="29"/>
      <c r="AK37" s="29"/>
      <c r="AL37" s="75"/>
      <c r="AM37" s="75"/>
      <c r="AN37" s="29"/>
      <c r="AO37" s="29"/>
      <c r="AP37" s="29"/>
      <c r="AQ37" s="278"/>
      <c r="AR37" s="277"/>
      <c r="AS37" s="29"/>
      <c r="AT37" s="29"/>
      <c r="AU37" s="29"/>
      <c r="AV37" s="29"/>
      <c r="AW37" s="75"/>
      <c r="AX37" s="75"/>
      <c r="AY37" s="29"/>
      <c r="AZ37" s="29"/>
      <c r="BA37" s="29"/>
      <c r="BB37" s="278"/>
      <c r="BC37" s="277"/>
      <c r="BD37" s="29"/>
      <c r="BE37" s="29"/>
      <c r="BF37" s="29"/>
      <c r="BG37" s="29"/>
      <c r="BH37" s="75"/>
      <c r="BI37" s="75"/>
      <c r="BJ37" s="29"/>
      <c r="BK37" s="29"/>
      <c r="BL37" s="29"/>
      <c r="BM37" s="278"/>
    </row>
    <row r="38" spans="1:65" ht="13.5" thickBot="1">
      <c r="A38" s="511"/>
      <c r="B38" s="84"/>
      <c r="C38" s="94"/>
      <c r="D38" s="445"/>
      <c r="E38" s="445"/>
      <c r="F38" s="104" t="s">
        <v>208</v>
      </c>
      <c r="G38" s="516"/>
      <c r="H38" s="96"/>
      <c r="I38" s="507"/>
      <c r="J38" s="474"/>
      <c r="K38" s="277">
        <f>'component cost estimation jens'!I6</f>
        <v>7500</v>
      </c>
      <c r="L38" s="29"/>
      <c r="M38" s="29">
        <f t="shared" si="1"/>
        <v>0</v>
      </c>
      <c r="N38" s="29"/>
      <c r="O38" s="29"/>
      <c r="P38" s="460"/>
      <c r="Q38" s="460"/>
      <c r="R38" s="29"/>
      <c r="S38" s="29"/>
      <c r="T38" s="29"/>
      <c r="U38" s="84"/>
      <c r="V38" s="277"/>
      <c r="W38" s="29"/>
      <c r="X38" s="29"/>
      <c r="Y38" s="29"/>
      <c r="Z38" s="29"/>
      <c r="AA38" s="75"/>
      <c r="AB38" s="75"/>
      <c r="AC38" s="29"/>
      <c r="AD38" s="29"/>
      <c r="AE38" s="29"/>
      <c r="AF38" s="278"/>
      <c r="AG38" s="277"/>
      <c r="AH38" s="29"/>
      <c r="AI38" s="29"/>
      <c r="AJ38" s="29"/>
      <c r="AK38" s="29"/>
      <c r="AL38" s="75"/>
      <c r="AM38" s="75"/>
      <c r="AN38" s="29"/>
      <c r="AO38" s="29"/>
      <c r="AP38" s="29"/>
      <c r="AQ38" s="278"/>
      <c r="AR38" s="277"/>
      <c r="AS38" s="29"/>
      <c r="AT38" s="29"/>
      <c r="AU38" s="29"/>
      <c r="AV38" s="29"/>
      <c r="AW38" s="75"/>
      <c r="AX38" s="75"/>
      <c r="AY38" s="29"/>
      <c r="AZ38" s="29"/>
      <c r="BA38" s="29"/>
      <c r="BB38" s="278"/>
      <c r="BC38" s="277"/>
      <c r="BD38" s="29"/>
      <c r="BE38" s="29"/>
      <c r="BF38" s="29"/>
      <c r="BG38" s="29"/>
      <c r="BH38" s="75"/>
      <c r="BI38" s="75"/>
      <c r="BJ38" s="29"/>
      <c r="BK38" s="29"/>
      <c r="BL38" s="29"/>
      <c r="BM38" s="278"/>
    </row>
    <row r="39" spans="1:65" ht="13.5" thickTop="1">
      <c r="A39" s="511"/>
      <c r="B39" s="84"/>
      <c r="C39" s="90" t="s">
        <v>216</v>
      </c>
      <c r="D39" s="439" t="s">
        <v>168</v>
      </c>
      <c r="E39" s="111"/>
      <c r="F39" s="102" t="s">
        <v>178</v>
      </c>
      <c r="G39" s="517" t="s">
        <v>196</v>
      </c>
      <c r="H39" s="111"/>
      <c r="I39" s="506">
        <v>39630</v>
      </c>
      <c r="J39" s="475">
        <v>39692</v>
      </c>
      <c r="K39" s="277">
        <f>'component cost estimation jens'!I7</f>
        <v>31480</v>
      </c>
      <c r="L39" s="29"/>
      <c r="M39" s="29">
        <f t="shared" si="1"/>
        <v>0</v>
      </c>
      <c r="N39" s="29"/>
      <c r="O39" s="29"/>
      <c r="P39" s="460"/>
      <c r="Q39" s="460"/>
      <c r="R39" s="29"/>
      <c r="S39" s="29"/>
      <c r="T39" s="29"/>
      <c r="U39" s="84"/>
      <c r="V39" s="277"/>
      <c r="W39" s="29"/>
      <c r="X39" s="29"/>
      <c r="Y39" s="29"/>
      <c r="Z39" s="29"/>
      <c r="AA39" s="75"/>
      <c r="AB39" s="75"/>
      <c r="AC39" s="29"/>
      <c r="AD39" s="29"/>
      <c r="AE39" s="29"/>
      <c r="AF39" s="278"/>
      <c r="AG39" s="277"/>
      <c r="AH39" s="29"/>
      <c r="AI39" s="29"/>
      <c r="AJ39" s="29"/>
      <c r="AK39" s="29"/>
      <c r="AL39" s="75"/>
      <c r="AM39" s="75"/>
      <c r="AN39" s="29"/>
      <c r="AO39" s="29"/>
      <c r="AP39" s="29"/>
      <c r="AQ39" s="278"/>
      <c r="AR39" s="277"/>
      <c r="AS39" s="29"/>
      <c r="AT39" s="29"/>
      <c r="AU39" s="29"/>
      <c r="AV39" s="29"/>
      <c r="AW39" s="75"/>
      <c r="AX39" s="75"/>
      <c r="AY39" s="29"/>
      <c r="AZ39" s="29"/>
      <c r="BA39" s="29"/>
      <c r="BB39" s="278"/>
      <c r="BC39" s="277"/>
      <c r="BD39" s="29"/>
      <c r="BE39" s="29"/>
      <c r="BF39" s="29"/>
      <c r="BG39" s="29"/>
      <c r="BH39" s="75"/>
      <c r="BI39" s="75"/>
      <c r="BJ39" s="29"/>
      <c r="BK39" s="29"/>
      <c r="BL39" s="29"/>
      <c r="BM39" s="278"/>
    </row>
    <row r="40" spans="1:65" ht="13.5" thickBot="1">
      <c r="A40" s="511"/>
      <c r="B40" s="84"/>
      <c r="C40" s="94"/>
      <c r="D40" s="445"/>
      <c r="E40" s="96"/>
      <c r="F40" s="104" t="s">
        <v>210</v>
      </c>
      <c r="G40" s="516"/>
      <c r="H40" s="96"/>
      <c r="I40" s="507"/>
      <c r="J40" s="474"/>
      <c r="K40" s="277">
        <f>'component cost estimation jens'!I9</f>
        <v>1000</v>
      </c>
      <c r="L40" s="29"/>
      <c r="M40" s="29">
        <f t="shared" si="1"/>
        <v>0</v>
      </c>
      <c r="N40" s="29"/>
      <c r="O40" s="29"/>
      <c r="P40" s="460"/>
      <c r="Q40" s="460"/>
      <c r="R40" s="29"/>
      <c r="S40" s="29"/>
      <c r="T40" s="29"/>
      <c r="U40" s="84"/>
      <c r="V40" s="277"/>
      <c r="W40" s="29"/>
      <c r="X40" s="29"/>
      <c r="Y40" s="29"/>
      <c r="Z40" s="29"/>
      <c r="AA40" s="75"/>
      <c r="AB40" s="75"/>
      <c r="AC40" s="29"/>
      <c r="AD40" s="29"/>
      <c r="AE40" s="29"/>
      <c r="AF40" s="278"/>
      <c r="AG40" s="277"/>
      <c r="AH40" s="29"/>
      <c r="AI40" s="29"/>
      <c r="AJ40" s="29"/>
      <c r="AK40" s="29"/>
      <c r="AL40" s="75"/>
      <c r="AM40" s="75"/>
      <c r="AN40" s="29"/>
      <c r="AO40" s="29"/>
      <c r="AP40" s="29"/>
      <c r="AQ40" s="278"/>
      <c r="AR40" s="277"/>
      <c r="AS40" s="29"/>
      <c r="AT40" s="29"/>
      <c r="AU40" s="29"/>
      <c r="AV40" s="29"/>
      <c r="AW40" s="75"/>
      <c r="AX40" s="75"/>
      <c r="AY40" s="29"/>
      <c r="AZ40" s="29"/>
      <c r="BA40" s="29"/>
      <c r="BB40" s="278"/>
      <c r="BC40" s="277"/>
      <c r="BD40" s="29"/>
      <c r="BE40" s="29"/>
      <c r="BF40" s="29"/>
      <c r="BG40" s="29"/>
      <c r="BH40" s="75"/>
      <c r="BI40" s="75"/>
      <c r="BJ40" s="29"/>
      <c r="BK40" s="29"/>
      <c r="BL40" s="29"/>
      <c r="BM40" s="278"/>
    </row>
    <row r="41" spans="1:65" ht="13.5" thickTop="1">
      <c r="A41" s="511"/>
      <c r="B41" s="84"/>
      <c r="C41" s="90" t="s">
        <v>218</v>
      </c>
      <c r="D41" s="439" t="s">
        <v>168</v>
      </c>
      <c r="E41" s="111"/>
      <c r="F41" s="102" t="s">
        <v>667</v>
      </c>
      <c r="G41" s="508" t="s">
        <v>180</v>
      </c>
      <c r="H41" s="111"/>
      <c r="I41" s="484">
        <v>39722</v>
      </c>
      <c r="J41" s="482">
        <v>39845</v>
      </c>
      <c r="K41" s="277">
        <f>'component cost estimation jens'!I8</f>
        <v>27440</v>
      </c>
      <c r="L41" s="29"/>
      <c r="M41" s="29">
        <f t="shared" si="1"/>
        <v>0</v>
      </c>
      <c r="N41" s="29"/>
      <c r="O41" s="29"/>
      <c r="P41" s="460"/>
      <c r="Q41" s="460"/>
      <c r="R41" s="29"/>
      <c r="S41" s="29"/>
      <c r="T41" s="29"/>
      <c r="U41" s="84"/>
      <c r="V41" s="277"/>
      <c r="W41" s="29"/>
      <c r="X41" s="29"/>
      <c r="Y41" s="29"/>
      <c r="Z41" s="29"/>
      <c r="AA41" s="75"/>
      <c r="AB41" s="75"/>
      <c r="AC41" s="29"/>
      <c r="AD41" s="29"/>
      <c r="AE41" s="29"/>
      <c r="AF41" s="278"/>
      <c r="AG41" s="277"/>
      <c r="AH41" s="29"/>
      <c r="AI41" s="29"/>
      <c r="AJ41" s="29"/>
      <c r="AK41" s="29"/>
      <c r="AL41" s="75"/>
      <c r="AM41" s="75"/>
      <c r="AN41" s="29"/>
      <c r="AO41" s="29"/>
      <c r="AP41" s="29"/>
      <c r="AQ41" s="278"/>
      <c r="AR41" s="277"/>
      <c r="AS41" s="29"/>
      <c r="AT41" s="29"/>
      <c r="AU41" s="29"/>
      <c r="AV41" s="29"/>
      <c r="AW41" s="75"/>
      <c r="AX41" s="75"/>
      <c r="AY41" s="29"/>
      <c r="AZ41" s="29"/>
      <c r="BA41" s="29"/>
      <c r="BB41" s="278"/>
      <c r="BC41" s="277"/>
      <c r="BD41" s="29"/>
      <c r="BE41" s="29"/>
      <c r="BF41" s="29"/>
      <c r="BG41" s="29"/>
      <c r="BH41" s="75"/>
      <c r="BI41" s="75"/>
      <c r="BJ41" s="29"/>
      <c r="BK41" s="29"/>
      <c r="BL41" s="29"/>
      <c r="BM41" s="278"/>
    </row>
    <row r="42" spans="1:65" ht="13.5" thickBot="1">
      <c r="A42" s="511"/>
      <c r="B42" s="84"/>
      <c r="C42" s="94"/>
      <c r="D42" s="445"/>
      <c r="E42" s="96"/>
      <c r="F42" s="104" t="s">
        <v>668</v>
      </c>
      <c r="G42" s="509"/>
      <c r="H42" s="96"/>
      <c r="I42" s="486"/>
      <c r="J42" s="481"/>
      <c r="K42" s="277">
        <f>'component cost estimation jens'!I10</f>
        <v>3000</v>
      </c>
      <c r="L42" s="29"/>
      <c r="M42" s="29">
        <f t="shared" si="1"/>
        <v>0</v>
      </c>
      <c r="N42" s="29"/>
      <c r="O42" s="29"/>
      <c r="P42" s="460"/>
      <c r="Q42" s="460"/>
      <c r="R42" s="29"/>
      <c r="S42" s="29"/>
      <c r="T42" s="29"/>
      <c r="U42" s="84"/>
      <c r="V42" s="277"/>
      <c r="W42" s="29"/>
      <c r="X42" s="29"/>
      <c r="Y42" s="29"/>
      <c r="Z42" s="29"/>
      <c r="AA42" s="75"/>
      <c r="AB42" s="75"/>
      <c r="AC42" s="29"/>
      <c r="AD42" s="29"/>
      <c r="AE42" s="29"/>
      <c r="AF42" s="278"/>
      <c r="AG42" s="277"/>
      <c r="AH42" s="29"/>
      <c r="AI42" s="29"/>
      <c r="AJ42" s="29"/>
      <c r="AK42" s="29"/>
      <c r="AL42" s="75"/>
      <c r="AM42" s="75"/>
      <c r="AN42" s="29"/>
      <c r="AO42" s="29"/>
      <c r="AP42" s="29"/>
      <c r="AQ42" s="278"/>
      <c r="AR42" s="277"/>
      <c r="AS42" s="29"/>
      <c r="AT42" s="29"/>
      <c r="AU42" s="29"/>
      <c r="AV42" s="29"/>
      <c r="AW42" s="75"/>
      <c r="AX42" s="75"/>
      <c r="AY42" s="29"/>
      <c r="AZ42" s="29"/>
      <c r="BA42" s="29"/>
      <c r="BB42" s="278"/>
      <c r="BC42" s="277"/>
      <c r="BD42" s="29"/>
      <c r="BE42" s="29"/>
      <c r="BF42" s="29"/>
      <c r="BG42" s="29"/>
      <c r="BH42" s="75"/>
      <c r="BI42" s="75"/>
      <c r="BJ42" s="29"/>
      <c r="BK42" s="29"/>
      <c r="BL42" s="29"/>
      <c r="BM42" s="278"/>
    </row>
    <row r="43" spans="1:65" ht="13.5" thickTop="1">
      <c r="A43" s="511"/>
      <c r="B43" s="84"/>
      <c r="C43" s="90" t="s">
        <v>145</v>
      </c>
      <c r="D43" s="439" t="s">
        <v>168</v>
      </c>
      <c r="E43" s="111"/>
      <c r="F43" s="102" t="s">
        <v>211</v>
      </c>
      <c r="G43" s="508" t="s">
        <v>190</v>
      </c>
      <c r="H43" s="111"/>
      <c r="I43" s="484">
        <v>39630</v>
      </c>
      <c r="J43" s="471">
        <v>39783</v>
      </c>
      <c r="K43" s="277">
        <v>500</v>
      </c>
      <c r="L43" s="29"/>
      <c r="M43" s="29">
        <f t="shared" si="1"/>
        <v>0</v>
      </c>
      <c r="N43" s="29"/>
      <c r="O43" s="29"/>
      <c r="P43" s="460"/>
      <c r="Q43" s="460"/>
      <c r="R43" s="29"/>
      <c r="S43" s="29"/>
      <c r="T43" s="29"/>
      <c r="U43" s="84"/>
      <c r="V43" s="277"/>
      <c r="W43" s="29"/>
      <c r="X43" s="29"/>
      <c r="Y43" s="29"/>
      <c r="Z43" s="29"/>
      <c r="AA43" s="75"/>
      <c r="AB43" s="75"/>
      <c r="AC43" s="29"/>
      <c r="AD43" s="29"/>
      <c r="AE43" s="29"/>
      <c r="AF43" s="278"/>
      <c r="AG43" s="277"/>
      <c r="AH43" s="29"/>
      <c r="AI43" s="29"/>
      <c r="AJ43" s="29"/>
      <c r="AK43" s="29"/>
      <c r="AL43" s="75"/>
      <c r="AM43" s="75"/>
      <c r="AN43" s="29"/>
      <c r="AO43" s="29"/>
      <c r="AP43" s="29"/>
      <c r="AQ43" s="278"/>
      <c r="AR43" s="277"/>
      <c r="AS43" s="29"/>
      <c r="AT43" s="29"/>
      <c r="AU43" s="29"/>
      <c r="AV43" s="29"/>
      <c r="AW43" s="75"/>
      <c r="AX43" s="75"/>
      <c r="AY43" s="29"/>
      <c r="AZ43" s="29"/>
      <c r="BA43" s="29"/>
      <c r="BB43" s="278"/>
      <c r="BC43" s="277"/>
      <c r="BD43" s="29"/>
      <c r="BE43" s="29"/>
      <c r="BF43" s="29"/>
      <c r="BG43" s="29"/>
      <c r="BH43" s="75"/>
      <c r="BI43" s="75"/>
      <c r="BJ43" s="29"/>
      <c r="BK43" s="29"/>
      <c r="BL43" s="29"/>
      <c r="BM43" s="278"/>
    </row>
    <row r="44" spans="1:65" ht="13.5" thickBot="1">
      <c r="A44" s="511"/>
      <c r="B44" s="84"/>
      <c r="C44" s="94"/>
      <c r="D44" s="445"/>
      <c r="E44" s="96"/>
      <c r="F44" s="104" t="s">
        <v>669</v>
      </c>
      <c r="G44" s="509"/>
      <c r="H44" s="96"/>
      <c r="I44" s="486"/>
      <c r="J44" s="470"/>
      <c r="K44" s="277">
        <f>'component cost estimation jens'!I11</f>
        <v>9600</v>
      </c>
      <c r="L44" s="29"/>
      <c r="M44" s="29">
        <f t="shared" si="1"/>
        <v>0</v>
      </c>
      <c r="N44" s="29"/>
      <c r="O44" s="29"/>
      <c r="P44" s="460"/>
      <c r="Q44" s="460"/>
      <c r="R44" s="29"/>
      <c r="S44" s="29"/>
      <c r="T44" s="29"/>
      <c r="U44" s="84"/>
      <c r="V44" s="277"/>
      <c r="W44" s="29"/>
      <c r="X44" s="29"/>
      <c r="Y44" s="29"/>
      <c r="Z44" s="29"/>
      <c r="AA44" s="75"/>
      <c r="AB44" s="75"/>
      <c r="AC44" s="29"/>
      <c r="AD44" s="29"/>
      <c r="AE44" s="29"/>
      <c r="AF44" s="278"/>
      <c r="AG44" s="277"/>
      <c r="AH44" s="29"/>
      <c r="AI44" s="29"/>
      <c r="AJ44" s="29"/>
      <c r="AK44" s="29"/>
      <c r="AL44" s="75"/>
      <c r="AM44" s="75"/>
      <c r="AN44" s="29"/>
      <c r="AO44" s="29"/>
      <c r="AP44" s="29"/>
      <c r="AQ44" s="278"/>
      <c r="AR44" s="277"/>
      <c r="AS44" s="29"/>
      <c r="AT44" s="29"/>
      <c r="AU44" s="29"/>
      <c r="AV44" s="29"/>
      <c r="AW44" s="75"/>
      <c r="AX44" s="75"/>
      <c r="AY44" s="29"/>
      <c r="AZ44" s="29"/>
      <c r="BA44" s="29"/>
      <c r="BB44" s="278"/>
      <c r="BC44" s="277"/>
      <c r="BD44" s="29"/>
      <c r="BE44" s="29"/>
      <c r="BF44" s="29"/>
      <c r="BG44" s="29"/>
      <c r="BH44" s="75"/>
      <c r="BI44" s="75"/>
      <c r="BJ44" s="29"/>
      <c r="BK44" s="29"/>
      <c r="BL44" s="29"/>
      <c r="BM44" s="278"/>
    </row>
    <row r="45" spans="1:65" ht="13.5" thickTop="1">
      <c r="A45" s="511"/>
      <c r="B45" s="84"/>
      <c r="C45" s="90" t="s">
        <v>212</v>
      </c>
      <c r="D45" s="439" t="s">
        <v>168</v>
      </c>
      <c r="E45" s="111"/>
      <c r="F45" s="102" t="s">
        <v>671</v>
      </c>
      <c r="G45" s="508" t="s">
        <v>309</v>
      </c>
      <c r="H45" s="111"/>
      <c r="I45" s="484">
        <v>39722</v>
      </c>
      <c r="J45" s="479">
        <v>39845</v>
      </c>
      <c r="K45" s="277">
        <f>'component cost estimation jens'!I13</f>
        <v>29750</v>
      </c>
      <c r="L45" s="29"/>
      <c r="M45" s="29">
        <f t="shared" si="1"/>
        <v>0</v>
      </c>
      <c r="N45" s="29"/>
      <c r="O45" s="29"/>
      <c r="P45" s="460"/>
      <c r="Q45" s="460"/>
      <c r="R45" s="29"/>
      <c r="S45" s="29"/>
      <c r="T45" s="29"/>
      <c r="U45" s="84"/>
      <c r="V45" s="277"/>
      <c r="W45" s="29"/>
      <c r="X45" s="29"/>
      <c r="Y45" s="29"/>
      <c r="Z45" s="29"/>
      <c r="AA45" s="75"/>
      <c r="AB45" s="75"/>
      <c r="AC45" s="29"/>
      <c r="AD45" s="29"/>
      <c r="AE45" s="29"/>
      <c r="AF45" s="278"/>
      <c r="AG45" s="277"/>
      <c r="AH45" s="29"/>
      <c r="AI45" s="29"/>
      <c r="AJ45" s="29"/>
      <c r="AK45" s="29"/>
      <c r="AL45" s="75"/>
      <c r="AM45" s="75"/>
      <c r="AN45" s="29"/>
      <c r="AO45" s="29"/>
      <c r="AP45" s="29"/>
      <c r="AQ45" s="278"/>
      <c r="AR45" s="277"/>
      <c r="AS45" s="29"/>
      <c r="AT45" s="29"/>
      <c r="AU45" s="29"/>
      <c r="AV45" s="29"/>
      <c r="AW45" s="75"/>
      <c r="AX45" s="75"/>
      <c r="AY45" s="29"/>
      <c r="AZ45" s="29"/>
      <c r="BA45" s="29"/>
      <c r="BB45" s="278"/>
      <c r="BC45" s="277"/>
      <c r="BD45" s="29"/>
      <c r="BE45" s="29"/>
      <c r="BF45" s="29"/>
      <c r="BG45" s="29"/>
      <c r="BH45" s="75"/>
      <c r="BI45" s="75"/>
      <c r="BJ45" s="29"/>
      <c r="BK45" s="29"/>
      <c r="BL45" s="29"/>
      <c r="BM45" s="278"/>
    </row>
    <row r="46" spans="1:65" ht="12.75">
      <c r="A46" s="511"/>
      <c r="B46" s="84"/>
      <c r="C46" s="93"/>
      <c r="D46" s="429"/>
      <c r="E46" s="75"/>
      <c r="F46" s="71" t="s">
        <v>672</v>
      </c>
      <c r="G46" s="460"/>
      <c r="H46" s="75"/>
      <c r="I46" s="485"/>
      <c r="J46" s="480"/>
      <c r="K46" s="277">
        <f>'component cost estimation jens'!I14</f>
        <v>63750</v>
      </c>
      <c r="L46" s="29"/>
      <c r="M46" s="29">
        <f t="shared" si="1"/>
        <v>0</v>
      </c>
      <c r="N46" s="29"/>
      <c r="O46" s="29"/>
      <c r="P46" s="460"/>
      <c r="Q46" s="460"/>
      <c r="R46" s="29"/>
      <c r="S46" s="29"/>
      <c r="T46" s="29"/>
      <c r="U46" s="84"/>
      <c r="V46" s="277"/>
      <c r="W46" s="29"/>
      <c r="X46" s="29"/>
      <c r="Y46" s="29"/>
      <c r="Z46" s="29"/>
      <c r="AA46" s="75"/>
      <c r="AB46" s="75"/>
      <c r="AC46" s="29"/>
      <c r="AD46" s="29"/>
      <c r="AE46" s="29"/>
      <c r="AF46" s="278"/>
      <c r="AG46" s="277"/>
      <c r="AH46" s="29"/>
      <c r="AI46" s="29"/>
      <c r="AJ46" s="29"/>
      <c r="AK46" s="29"/>
      <c r="AL46" s="75"/>
      <c r="AM46" s="75"/>
      <c r="AN46" s="29"/>
      <c r="AO46" s="29"/>
      <c r="AP46" s="29"/>
      <c r="AQ46" s="278"/>
      <c r="AR46" s="277"/>
      <c r="AS46" s="29"/>
      <c r="AT46" s="29"/>
      <c r="AU46" s="29"/>
      <c r="AV46" s="29"/>
      <c r="AW46" s="75"/>
      <c r="AX46" s="75"/>
      <c r="AY46" s="29"/>
      <c r="AZ46" s="29"/>
      <c r="BA46" s="29"/>
      <c r="BB46" s="278"/>
      <c r="BC46" s="277"/>
      <c r="BD46" s="29"/>
      <c r="BE46" s="29"/>
      <c r="BF46" s="29"/>
      <c r="BG46" s="29"/>
      <c r="BH46" s="75"/>
      <c r="BI46" s="75"/>
      <c r="BJ46" s="29"/>
      <c r="BK46" s="29"/>
      <c r="BL46" s="29"/>
      <c r="BM46" s="278"/>
    </row>
    <row r="47" spans="1:65" ht="12.75">
      <c r="A47" s="511"/>
      <c r="B47" s="84"/>
      <c r="C47" s="93"/>
      <c r="D47" s="429"/>
      <c r="E47" s="75"/>
      <c r="F47" s="71" t="s">
        <v>214</v>
      </c>
      <c r="G47" s="460"/>
      <c r="H47" s="75"/>
      <c r="I47" s="485"/>
      <c r="J47" s="480"/>
      <c r="K47" s="277">
        <f>'component cost estimation jens'!I15</f>
        <v>2000</v>
      </c>
      <c r="L47" s="29"/>
      <c r="M47" s="29">
        <f t="shared" si="1"/>
        <v>0</v>
      </c>
      <c r="N47" s="29"/>
      <c r="O47" s="29"/>
      <c r="P47" s="460"/>
      <c r="Q47" s="460"/>
      <c r="R47" s="29"/>
      <c r="S47" s="29"/>
      <c r="T47" s="29"/>
      <c r="U47" s="84"/>
      <c r="V47" s="277"/>
      <c r="W47" s="29"/>
      <c r="X47" s="29"/>
      <c r="Y47" s="29"/>
      <c r="Z47" s="29"/>
      <c r="AA47" s="75"/>
      <c r="AB47" s="75"/>
      <c r="AC47" s="29"/>
      <c r="AD47" s="29"/>
      <c r="AE47" s="29"/>
      <c r="AF47" s="278"/>
      <c r="AG47" s="277"/>
      <c r="AH47" s="29"/>
      <c r="AI47" s="29"/>
      <c r="AJ47" s="29"/>
      <c r="AK47" s="29"/>
      <c r="AL47" s="75"/>
      <c r="AM47" s="75"/>
      <c r="AN47" s="29"/>
      <c r="AO47" s="29"/>
      <c r="AP47" s="29"/>
      <c r="AQ47" s="278"/>
      <c r="AR47" s="277"/>
      <c r="AS47" s="29"/>
      <c r="AT47" s="29"/>
      <c r="AU47" s="29"/>
      <c r="AV47" s="29"/>
      <c r="AW47" s="75"/>
      <c r="AX47" s="75"/>
      <c r="AY47" s="29"/>
      <c r="AZ47" s="29"/>
      <c r="BA47" s="29"/>
      <c r="BB47" s="278"/>
      <c r="BC47" s="277"/>
      <c r="BD47" s="29"/>
      <c r="BE47" s="29"/>
      <c r="BF47" s="29"/>
      <c r="BG47" s="29"/>
      <c r="BH47" s="75"/>
      <c r="BI47" s="75"/>
      <c r="BJ47" s="29"/>
      <c r="BK47" s="29"/>
      <c r="BL47" s="29"/>
      <c r="BM47" s="278"/>
    </row>
    <row r="48" spans="1:65" ht="12.75">
      <c r="A48" s="511"/>
      <c r="B48" s="84"/>
      <c r="C48" s="93"/>
      <c r="D48" s="429"/>
      <c r="E48" s="75"/>
      <c r="F48" s="71" t="s">
        <v>215</v>
      </c>
      <c r="G48" s="460"/>
      <c r="H48" s="75"/>
      <c r="I48" s="485"/>
      <c r="J48" s="480"/>
      <c r="K48" s="277">
        <f>'component cost estimation jens'!I12</f>
        <v>2000</v>
      </c>
      <c r="L48" s="29"/>
      <c r="M48" s="29">
        <f t="shared" si="1"/>
        <v>0</v>
      </c>
      <c r="N48" s="29"/>
      <c r="O48" s="29"/>
      <c r="P48" s="460"/>
      <c r="Q48" s="460"/>
      <c r="R48" s="29"/>
      <c r="S48" s="29"/>
      <c r="T48" s="29"/>
      <c r="U48" s="84"/>
      <c r="V48" s="277"/>
      <c r="W48" s="29"/>
      <c r="X48" s="29"/>
      <c r="Y48" s="29"/>
      <c r="Z48" s="29"/>
      <c r="AA48" s="75"/>
      <c r="AB48" s="75"/>
      <c r="AC48" s="29"/>
      <c r="AD48" s="29"/>
      <c r="AE48" s="29"/>
      <c r="AF48" s="278"/>
      <c r="AG48" s="277"/>
      <c r="AH48" s="29"/>
      <c r="AI48" s="29"/>
      <c r="AJ48" s="29"/>
      <c r="AK48" s="29"/>
      <c r="AL48" s="75"/>
      <c r="AM48" s="75"/>
      <c r="AN48" s="29"/>
      <c r="AO48" s="29"/>
      <c r="AP48" s="29"/>
      <c r="AQ48" s="278"/>
      <c r="AR48" s="277"/>
      <c r="AS48" s="29"/>
      <c r="AT48" s="29"/>
      <c r="AU48" s="29"/>
      <c r="AV48" s="29"/>
      <c r="AW48" s="75"/>
      <c r="AX48" s="75"/>
      <c r="AY48" s="29"/>
      <c r="AZ48" s="29"/>
      <c r="BA48" s="29"/>
      <c r="BB48" s="278"/>
      <c r="BC48" s="277"/>
      <c r="BD48" s="29"/>
      <c r="BE48" s="29"/>
      <c r="BF48" s="29"/>
      <c r="BG48" s="29"/>
      <c r="BH48" s="75"/>
      <c r="BI48" s="75"/>
      <c r="BJ48" s="29"/>
      <c r="BK48" s="29"/>
      <c r="BL48" s="29"/>
      <c r="BM48" s="278"/>
    </row>
    <row r="49" spans="1:65" ht="13.5" thickBot="1">
      <c r="A49" s="511"/>
      <c r="B49" s="84"/>
      <c r="C49" s="94"/>
      <c r="D49" s="445"/>
      <c r="E49" s="96"/>
      <c r="F49" s="104" t="s">
        <v>227</v>
      </c>
      <c r="G49" s="509"/>
      <c r="H49" s="96"/>
      <c r="I49" s="486"/>
      <c r="J49" s="481"/>
      <c r="K49" s="277">
        <f>'component cost estimation jens'!I16</f>
        <v>56100</v>
      </c>
      <c r="L49" s="29"/>
      <c r="M49" s="29">
        <f t="shared" si="1"/>
        <v>0</v>
      </c>
      <c r="N49" s="29"/>
      <c r="O49" s="29"/>
      <c r="P49" s="75"/>
      <c r="Q49" s="75"/>
      <c r="R49" s="29"/>
      <c r="S49" s="29"/>
      <c r="T49" s="29"/>
      <c r="U49" s="84"/>
      <c r="V49" s="277"/>
      <c r="W49" s="29"/>
      <c r="X49" s="29"/>
      <c r="Y49" s="29"/>
      <c r="Z49" s="29"/>
      <c r="AA49" s="75"/>
      <c r="AB49" s="75"/>
      <c r="AC49" s="29"/>
      <c r="AD49" s="29"/>
      <c r="AE49" s="29"/>
      <c r="AF49" s="278"/>
      <c r="AG49" s="277"/>
      <c r="AH49" s="29"/>
      <c r="AI49" s="29"/>
      <c r="AJ49" s="29"/>
      <c r="AK49" s="29"/>
      <c r="AL49" s="75"/>
      <c r="AM49" s="75"/>
      <c r="AN49" s="29"/>
      <c r="AO49" s="29"/>
      <c r="AP49" s="29"/>
      <c r="AQ49" s="278"/>
      <c r="AR49" s="277"/>
      <c r="AS49" s="29"/>
      <c r="AT49" s="29"/>
      <c r="AU49" s="29"/>
      <c r="AV49" s="29"/>
      <c r="AW49" s="75"/>
      <c r="AX49" s="75"/>
      <c r="AY49" s="29"/>
      <c r="AZ49" s="29"/>
      <c r="BA49" s="29"/>
      <c r="BB49" s="278"/>
      <c r="BC49" s="277"/>
      <c r="BD49" s="29"/>
      <c r="BE49" s="29"/>
      <c r="BF49" s="29"/>
      <c r="BG49" s="29"/>
      <c r="BH49" s="75"/>
      <c r="BI49" s="75"/>
      <c r="BJ49" s="29"/>
      <c r="BK49" s="29"/>
      <c r="BL49" s="29"/>
      <c r="BM49" s="278"/>
    </row>
    <row r="50" spans="1:65" ht="13.5" thickTop="1">
      <c r="A50" s="511"/>
      <c r="B50" s="84"/>
      <c r="C50" s="90" t="s">
        <v>219</v>
      </c>
      <c r="D50" s="439" t="s">
        <v>168</v>
      </c>
      <c r="E50" s="111"/>
      <c r="F50" s="102" t="s">
        <v>673</v>
      </c>
      <c r="G50" s="508" t="s">
        <v>204</v>
      </c>
      <c r="H50" s="111"/>
      <c r="I50" s="502">
        <v>39814</v>
      </c>
      <c r="J50" s="482">
        <v>39904</v>
      </c>
      <c r="K50" s="277"/>
      <c r="L50" s="29"/>
      <c r="M50" s="29">
        <f t="shared" si="1"/>
        <v>0</v>
      </c>
      <c r="N50" s="29"/>
      <c r="O50" s="29"/>
      <c r="P50" s="75"/>
      <c r="Q50" s="75"/>
      <c r="R50" s="29"/>
      <c r="S50" s="29"/>
      <c r="T50" s="29"/>
      <c r="U50" s="84"/>
      <c r="V50" s="277">
        <f>'component cost estimation jens'!I17</f>
        <v>7800</v>
      </c>
      <c r="W50" s="29"/>
      <c r="X50" s="29"/>
      <c r="Y50" s="29"/>
      <c r="Z50" s="29"/>
      <c r="AA50" s="460" t="s">
        <v>679</v>
      </c>
      <c r="AB50" s="460">
        <v>0.2</v>
      </c>
      <c r="AC50" s="29"/>
      <c r="AD50" s="29"/>
      <c r="AE50" s="29"/>
      <c r="AF50" s="278"/>
      <c r="AG50" s="277"/>
      <c r="AH50" s="29"/>
      <c r="AI50" s="29"/>
      <c r="AJ50" s="29"/>
      <c r="AK50" s="29"/>
      <c r="AL50" s="460"/>
      <c r="AM50" s="460"/>
      <c r="AN50" s="29"/>
      <c r="AO50" s="29"/>
      <c r="AP50" s="29"/>
      <c r="AQ50" s="278"/>
      <c r="AR50" s="277">
        <f>'component cost estimation jens'!AE17</f>
        <v>0</v>
      </c>
      <c r="AS50" s="29"/>
      <c r="AT50" s="29"/>
      <c r="AU50" s="29"/>
      <c r="AV50" s="29"/>
      <c r="AW50" s="460" t="s">
        <v>679</v>
      </c>
      <c r="AX50" s="460">
        <v>0.2</v>
      </c>
      <c r="AY50" s="29"/>
      <c r="AZ50" s="29"/>
      <c r="BA50" s="29"/>
      <c r="BB50" s="278"/>
      <c r="BC50" s="277">
        <f>'component cost estimation jens'!AP17</f>
        <v>0</v>
      </c>
      <c r="BD50" s="29"/>
      <c r="BE50" s="29"/>
      <c r="BF50" s="29"/>
      <c r="BG50" s="29"/>
      <c r="BH50" s="460" t="s">
        <v>679</v>
      </c>
      <c r="BI50" s="460">
        <v>0.2</v>
      </c>
      <c r="BJ50" s="29"/>
      <c r="BK50" s="29"/>
      <c r="BL50" s="29"/>
      <c r="BM50" s="278"/>
    </row>
    <row r="51" spans="1:65" ht="12.75">
      <c r="A51" s="511"/>
      <c r="B51" s="84"/>
      <c r="C51" s="93"/>
      <c r="D51" s="429"/>
      <c r="E51" s="75"/>
      <c r="F51" s="71" t="s">
        <v>674</v>
      </c>
      <c r="G51" s="460"/>
      <c r="H51" s="75"/>
      <c r="I51" s="503"/>
      <c r="J51" s="480"/>
      <c r="K51" s="277"/>
      <c r="L51" s="29"/>
      <c r="M51" s="29">
        <f t="shared" si="1"/>
        <v>0</v>
      </c>
      <c r="N51" s="29"/>
      <c r="O51" s="29"/>
      <c r="P51" s="75"/>
      <c r="Q51" s="75"/>
      <c r="R51" s="29"/>
      <c r="S51" s="29"/>
      <c r="T51" s="29"/>
      <c r="U51" s="84"/>
      <c r="V51" s="277">
        <f>'component cost estimation jens'!I18</f>
        <v>19500</v>
      </c>
      <c r="W51" s="29"/>
      <c r="X51" s="29"/>
      <c r="Y51" s="29"/>
      <c r="Z51" s="29"/>
      <c r="AA51" s="460"/>
      <c r="AB51" s="460"/>
      <c r="AC51" s="29"/>
      <c r="AD51" s="29"/>
      <c r="AE51" s="29"/>
      <c r="AF51" s="278"/>
      <c r="AG51" s="277"/>
      <c r="AH51" s="29"/>
      <c r="AI51" s="29"/>
      <c r="AJ51" s="29"/>
      <c r="AK51" s="29"/>
      <c r="AL51" s="460"/>
      <c r="AM51" s="460"/>
      <c r="AN51" s="29"/>
      <c r="AO51" s="29"/>
      <c r="AP51" s="29"/>
      <c r="AQ51" s="278"/>
      <c r="AR51" s="277">
        <f>'component cost estimation jens'!AE18</f>
        <v>0</v>
      </c>
      <c r="AS51" s="29"/>
      <c r="AT51" s="29"/>
      <c r="AU51" s="29"/>
      <c r="AV51" s="29"/>
      <c r="AW51" s="460"/>
      <c r="AX51" s="460"/>
      <c r="AY51" s="29"/>
      <c r="AZ51" s="29"/>
      <c r="BA51" s="29"/>
      <c r="BB51" s="278"/>
      <c r="BC51" s="277">
        <f>'component cost estimation jens'!AP18</f>
        <v>0</v>
      </c>
      <c r="BD51" s="29"/>
      <c r="BE51" s="29"/>
      <c r="BF51" s="29"/>
      <c r="BG51" s="29"/>
      <c r="BH51" s="460"/>
      <c r="BI51" s="460"/>
      <c r="BJ51" s="29"/>
      <c r="BK51" s="29"/>
      <c r="BL51" s="29"/>
      <c r="BM51" s="278"/>
    </row>
    <row r="52" spans="1:65" ht="12.75">
      <c r="A52" s="512"/>
      <c r="B52" s="84"/>
      <c r="C52" s="93"/>
      <c r="D52" s="429"/>
      <c r="E52" s="75"/>
      <c r="F52" s="71" t="s">
        <v>62</v>
      </c>
      <c r="G52" s="460"/>
      <c r="H52" s="75"/>
      <c r="I52" s="503"/>
      <c r="J52" s="480"/>
      <c r="K52" s="277"/>
      <c r="L52" s="29"/>
      <c r="M52" s="29">
        <f t="shared" si="1"/>
        <v>0</v>
      </c>
      <c r="N52" s="29"/>
      <c r="O52" s="29"/>
      <c r="P52" s="75"/>
      <c r="Q52" s="75"/>
      <c r="R52" s="29"/>
      <c r="S52" s="29"/>
      <c r="T52" s="29"/>
      <c r="U52" s="84"/>
      <c r="V52" s="277">
        <f>'component cost estimation jens'!I20</f>
        <v>20000</v>
      </c>
      <c r="W52" s="29"/>
      <c r="X52" s="29"/>
      <c r="Y52" s="29"/>
      <c r="Z52" s="29"/>
      <c r="AA52" s="460"/>
      <c r="AB52" s="460"/>
      <c r="AC52" s="29"/>
      <c r="AD52" s="29"/>
      <c r="AE52" s="29"/>
      <c r="AF52" s="278"/>
      <c r="AG52" s="277"/>
      <c r="AH52" s="29"/>
      <c r="AI52" s="29"/>
      <c r="AJ52" s="29"/>
      <c r="AK52" s="29"/>
      <c r="AL52" s="460"/>
      <c r="AM52" s="460"/>
      <c r="AN52" s="29"/>
      <c r="AO52" s="29"/>
      <c r="AP52" s="29"/>
      <c r="AQ52" s="278"/>
      <c r="AR52" s="277">
        <f>'component cost estimation jens'!AE20</f>
        <v>0</v>
      </c>
      <c r="AS52" s="29"/>
      <c r="AT52" s="29"/>
      <c r="AU52" s="29"/>
      <c r="AV52" s="29"/>
      <c r="AW52" s="460"/>
      <c r="AX52" s="460"/>
      <c r="AY52" s="29"/>
      <c r="AZ52" s="29"/>
      <c r="BA52" s="29"/>
      <c r="BB52" s="278"/>
      <c r="BC52" s="277">
        <f>'component cost estimation jens'!AP20</f>
        <v>0</v>
      </c>
      <c r="BD52" s="29"/>
      <c r="BE52" s="29"/>
      <c r="BF52" s="29"/>
      <c r="BG52" s="29"/>
      <c r="BH52" s="460"/>
      <c r="BI52" s="460"/>
      <c r="BJ52" s="29"/>
      <c r="BK52" s="29"/>
      <c r="BL52" s="29"/>
      <c r="BM52" s="278"/>
    </row>
    <row r="53" spans="1:65" ht="12.75">
      <c r="A53" s="511"/>
      <c r="B53" s="84"/>
      <c r="C53" s="93"/>
      <c r="D53" s="429"/>
      <c r="E53" s="75"/>
      <c r="F53" s="71" t="s">
        <v>675</v>
      </c>
      <c r="G53" s="460"/>
      <c r="H53" s="75"/>
      <c r="I53" s="503"/>
      <c r="J53" s="480"/>
      <c r="K53" s="277"/>
      <c r="L53" s="29"/>
      <c r="M53" s="29">
        <f t="shared" si="1"/>
        <v>0</v>
      </c>
      <c r="N53" s="29"/>
      <c r="O53" s="29"/>
      <c r="P53" s="75"/>
      <c r="Q53" s="75"/>
      <c r="R53" s="29"/>
      <c r="S53" s="29"/>
      <c r="T53" s="29"/>
      <c r="U53" s="84"/>
      <c r="V53" s="277">
        <f>'component cost estimation jens'!I19</f>
        <v>750</v>
      </c>
      <c r="W53" s="29"/>
      <c r="X53" s="29"/>
      <c r="Y53" s="29"/>
      <c r="Z53" s="29"/>
      <c r="AA53" s="460"/>
      <c r="AB53" s="460"/>
      <c r="AC53" s="29"/>
      <c r="AD53" s="29"/>
      <c r="AE53" s="29"/>
      <c r="AF53" s="278"/>
      <c r="AG53" s="277"/>
      <c r="AH53" s="29"/>
      <c r="AI53" s="29"/>
      <c r="AJ53" s="29"/>
      <c r="AK53" s="29"/>
      <c r="AL53" s="460"/>
      <c r="AM53" s="460"/>
      <c r="AN53" s="29"/>
      <c r="AO53" s="29"/>
      <c r="AP53" s="29"/>
      <c r="AQ53" s="278"/>
      <c r="AR53" s="277">
        <f>'component cost estimation jens'!AE19</f>
        <v>0</v>
      </c>
      <c r="AS53" s="29"/>
      <c r="AT53" s="29"/>
      <c r="AU53" s="29"/>
      <c r="AV53" s="29"/>
      <c r="AW53" s="460"/>
      <c r="AX53" s="460"/>
      <c r="AY53" s="29"/>
      <c r="AZ53" s="29"/>
      <c r="BA53" s="29"/>
      <c r="BB53" s="278"/>
      <c r="BC53" s="277">
        <f>'component cost estimation jens'!AP19</f>
        <v>0</v>
      </c>
      <c r="BD53" s="29"/>
      <c r="BE53" s="29"/>
      <c r="BF53" s="29"/>
      <c r="BG53" s="29"/>
      <c r="BH53" s="460"/>
      <c r="BI53" s="460"/>
      <c r="BJ53" s="29"/>
      <c r="BK53" s="29"/>
      <c r="BL53" s="29"/>
      <c r="BM53" s="278"/>
    </row>
    <row r="54" spans="1:65" ht="12.75">
      <c r="A54" s="511"/>
      <c r="B54" s="84"/>
      <c r="C54" s="245"/>
      <c r="D54" s="429"/>
      <c r="E54" s="86"/>
      <c r="F54" s="85" t="s">
        <v>677</v>
      </c>
      <c r="G54" s="428"/>
      <c r="H54" s="86"/>
      <c r="I54" s="504"/>
      <c r="J54" s="483"/>
      <c r="K54" s="277"/>
      <c r="L54" s="29"/>
      <c r="M54" s="29">
        <f t="shared" si="1"/>
        <v>0</v>
      </c>
      <c r="N54" s="29"/>
      <c r="O54" s="29"/>
      <c r="P54" s="75"/>
      <c r="Q54" s="75"/>
      <c r="R54" s="29"/>
      <c r="S54" s="29"/>
      <c r="T54" s="29"/>
      <c r="U54" s="84"/>
      <c r="V54" s="277">
        <f>'component cost estimation jens'!I23</f>
        <v>2250</v>
      </c>
      <c r="W54" s="29"/>
      <c r="X54" s="29"/>
      <c r="Y54" s="29"/>
      <c r="Z54" s="29"/>
      <c r="AA54" s="460"/>
      <c r="AB54" s="460"/>
      <c r="AC54" s="29"/>
      <c r="AD54" s="29"/>
      <c r="AE54" s="29"/>
      <c r="AF54" s="278"/>
      <c r="AG54" s="277"/>
      <c r="AH54" s="29"/>
      <c r="AI54" s="29"/>
      <c r="AJ54" s="29"/>
      <c r="AK54" s="29"/>
      <c r="AL54" s="460"/>
      <c r="AM54" s="460"/>
      <c r="AN54" s="29"/>
      <c r="AO54" s="29"/>
      <c r="AP54" s="29"/>
      <c r="AQ54" s="278"/>
      <c r="AR54" s="277">
        <f>'component cost estimation jens'!AE23</f>
        <v>0</v>
      </c>
      <c r="AS54" s="29"/>
      <c r="AT54" s="29"/>
      <c r="AU54" s="29"/>
      <c r="AV54" s="29"/>
      <c r="AW54" s="460"/>
      <c r="AX54" s="460"/>
      <c r="AY54" s="29"/>
      <c r="AZ54" s="29"/>
      <c r="BA54" s="29"/>
      <c r="BB54" s="278"/>
      <c r="BC54" s="277">
        <f>'component cost estimation jens'!AP23</f>
        <v>0</v>
      </c>
      <c r="BD54" s="29"/>
      <c r="BE54" s="29"/>
      <c r="BF54" s="29"/>
      <c r="BG54" s="29"/>
      <c r="BH54" s="460"/>
      <c r="BI54" s="460"/>
      <c r="BJ54" s="29"/>
      <c r="BK54" s="29"/>
      <c r="BL54" s="29"/>
      <c r="BM54" s="278"/>
    </row>
    <row r="55" spans="1:65" ht="12.75">
      <c r="A55" s="511"/>
      <c r="B55" s="84"/>
      <c r="C55" s="245"/>
      <c r="D55" s="429"/>
      <c r="E55" s="86"/>
      <c r="F55" s="85" t="s">
        <v>358</v>
      </c>
      <c r="G55" s="428"/>
      <c r="H55" s="86"/>
      <c r="I55" s="504"/>
      <c r="J55" s="483"/>
      <c r="K55" s="277"/>
      <c r="L55" s="29"/>
      <c r="M55" s="29">
        <f t="shared" si="1"/>
        <v>0</v>
      </c>
      <c r="N55" s="29"/>
      <c r="O55" s="29"/>
      <c r="P55" s="75"/>
      <c r="Q55" s="75"/>
      <c r="R55" s="29"/>
      <c r="S55" s="29"/>
      <c r="T55" s="29"/>
      <c r="U55" s="84"/>
      <c r="V55" s="277">
        <f>'component cost estimation jens'!I21</f>
        <v>15000</v>
      </c>
      <c r="W55" s="29"/>
      <c r="X55" s="29"/>
      <c r="Y55" s="29"/>
      <c r="Z55" s="29"/>
      <c r="AA55" s="460"/>
      <c r="AB55" s="460"/>
      <c r="AC55" s="29"/>
      <c r="AD55" s="29"/>
      <c r="AE55" s="29"/>
      <c r="AF55" s="278"/>
      <c r="AG55" s="277"/>
      <c r="AH55" s="29"/>
      <c r="AI55" s="29"/>
      <c r="AJ55" s="29"/>
      <c r="AK55" s="29"/>
      <c r="AL55" s="460"/>
      <c r="AM55" s="460"/>
      <c r="AN55" s="29"/>
      <c r="AO55" s="29"/>
      <c r="AP55" s="29"/>
      <c r="AQ55" s="278"/>
      <c r="AR55" s="277">
        <f>'component cost estimation jens'!AE21</f>
        <v>0</v>
      </c>
      <c r="AS55" s="29"/>
      <c r="AT55" s="29"/>
      <c r="AU55" s="29"/>
      <c r="AV55" s="29"/>
      <c r="AW55" s="460"/>
      <c r="AX55" s="460"/>
      <c r="AY55" s="29"/>
      <c r="AZ55" s="29"/>
      <c r="BA55" s="29"/>
      <c r="BB55" s="278"/>
      <c r="BC55" s="277">
        <f>'component cost estimation jens'!AP21</f>
        <v>0</v>
      </c>
      <c r="BD55" s="29"/>
      <c r="BE55" s="29"/>
      <c r="BF55" s="29"/>
      <c r="BG55" s="29"/>
      <c r="BH55" s="460"/>
      <c r="BI55" s="460"/>
      <c r="BJ55" s="29"/>
      <c r="BK55" s="29"/>
      <c r="BL55" s="29"/>
      <c r="BM55" s="278"/>
    </row>
    <row r="56" spans="1:65" ht="13.5" thickBot="1">
      <c r="A56" s="511"/>
      <c r="B56" s="84"/>
      <c r="C56" s="94"/>
      <c r="D56" s="445"/>
      <c r="E56" s="96"/>
      <c r="F56" s="104" t="s">
        <v>676</v>
      </c>
      <c r="G56" s="509"/>
      <c r="H56" s="96"/>
      <c r="I56" s="505"/>
      <c r="J56" s="481"/>
      <c r="K56" s="277"/>
      <c r="L56" s="29"/>
      <c r="M56" s="29">
        <f t="shared" si="1"/>
        <v>0</v>
      </c>
      <c r="N56" s="29"/>
      <c r="O56" s="29"/>
      <c r="P56" s="75"/>
      <c r="Q56" s="75"/>
      <c r="R56" s="29"/>
      <c r="S56" s="29"/>
      <c r="T56" s="29"/>
      <c r="U56" s="84"/>
      <c r="V56" s="277">
        <f>'component cost estimation jens'!I20</f>
        <v>20000</v>
      </c>
      <c r="W56" s="29"/>
      <c r="X56" s="29"/>
      <c r="Y56" s="29"/>
      <c r="Z56" s="29"/>
      <c r="AA56" s="460"/>
      <c r="AB56" s="460"/>
      <c r="AC56" s="29"/>
      <c r="AD56" s="29"/>
      <c r="AE56" s="29"/>
      <c r="AF56" s="278"/>
      <c r="AG56" s="277"/>
      <c r="AH56" s="29"/>
      <c r="AI56" s="29"/>
      <c r="AJ56" s="29"/>
      <c r="AK56" s="29"/>
      <c r="AL56" s="460"/>
      <c r="AM56" s="460"/>
      <c r="AN56" s="29"/>
      <c r="AO56" s="29"/>
      <c r="AP56" s="29"/>
      <c r="AQ56" s="278"/>
      <c r="AR56" s="277">
        <f>'component cost estimation jens'!AE20</f>
        <v>0</v>
      </c>
      <c r="AS56" s="29"/>
      <c r="AT56" s="29"/>
      <c r="AU56" s="29"/>
      <c r="AV56" s="29"/>
      <c r="AW56" s="460"/>
      <c r="AX56" s="460"/>
      <c r="AY56" s="29"/>
      <c r="AZ56" s="29"/>
      <c r="BA56" s="29"/>
      <c r="BB56" s="278"/>
      <c r="BC56" s="277">
        <f>'component cost estimation jens'!AP20</f>
        <v>0</v>
      </c>
      <c r="BD56" s="29"/>
      <c r="BE56" s="29"/>
      <c r="BF56" s="29"/>
      <c r="BG56" s="29"/>
      <c r="BH56" s="460"/>
      <c r="BI56" s="460"/>
      <c r="BJ56" s="29"/>
      <c r="BK56" s="29"/>
      <c r="BL56" s="29"/>
      <c r="BM56" s="278"/>
    </row>
    <row r="57" spans="1:65" ht="14.25" thickBot="1" thickTop="1">
      <c r="A57" s="511"/>
      <c r="B57" s="29"/>
      <c r="C57" s="106"/>
      <c r="D57" s="108"/>
      <c r="E57" s="108"/>
      <c r="F57" s="107"/>
      <c r="G57" s="108"/>
      <c r="H57" s="108"/>
      <c r="I57" s="78"/>
      <c r="J57" s="265"/>
      <c r="K57" s="277"/>
      <c r="L57" s="29"/>
      <c r="M57" s="29">
        <f t="shared" si="1"/>
        <v>0</v>
      </c>
      <c r="N57" s="29"/>
      <c r="O57" s="29"/>
      <c r="P57" s="29"/>
      <c r="Q57" s="29"/>
      <c r="R57" s="29"/>
      <c r="S57" s="29"/>
      <c r="T57" s="29"/>
      <c r="U57" s="84"/>
      <c r="V57" s="277"/>
      <c r="W57" s="29"/>
      <c r="X57" s="29"/>
      <c r="Y57" s="29"/>
      <c r="Z57" s="29"/>
      <c r="AA57" s="29"/>
      <c r="AB57" s="29"/>
      <c r="AC57" s="29"/>
      <c r="AD57" s="29"/>
      <c r="AE57" s="29"/>
      <c r="AF57" s="278"/>
      <c r="AG57" s="277"/>
      <c r="AH57" s="29"/>
      <c r="AI57" s="29"/>
      <c r="AJ57" s="29"/>
      <c r="AK57" s="29"/>
      <c r="AL57" s="29"/>
      <c r="AM57" s="29"/>
      <c r="AN57" s="29"/>
      <c r="AO57" s="29"/>
      <c r="AP57" s="29"/>
      <c r="AQ57" s="278"/>
      <c r="AR57" s="277"/>
      <c r="AS57" s="29"/>
      <c r="AT57" s="29"/>
      <c r="AU57" s="29"/>
      <c r="AV57" s="29"/>
      <c r="AW57" s="29"/>
      <c r="AX57" s="29"/>
      <c r="AY57" s="29"/>
      <c r="AZ57" s="29"/>
      <c r="BA57" s="29"/>
      <c r="BB57" s="278"/>
      <c r="BC57" s="277"/>
      <c r="BD57" s="29"/>
      <c r="BE57" s="29"/>
      <c r="BF57" s="29"/>
      <c r="BG57" s="29"/>
      <c r="BH57" s="29"/>
      <c r="BI57" s="29"/>
      <c r="BJ57" s="29"/>
      <c r="BK57" s="29"/>
      <c r="BL57" s="29"/>
      <c r="BM57" s="278"/>
    </row>
    <row r="58" spans="1:65" ht="13.5" thickTop="1">
      <c r="A58" s="511"/>
      <c r="B58" s="84" t="s">
        <v>193</v>
      </c>
      <c r="C58" s="310" t="s">
        <v>179</v>
      </c>
      <c r="D58" s="111" t="s">
        <v>721</v>
      </c>
      <c r="E58" s="111" t="s">
        <v>722</v>
      </c>
      <c r="F58" s="102" t="s">
        <v>170</v>
      </c>
      <c r="G58" s="111" t="s">
        <v>307</v>
      </c>
      <c r="H58" s="111"/>
      <c r="I58" s="116">
        <v>39479</v>
      </c>
      <c r="J58" s="254">
        <v>39692</v>
      </c>
      <c r="K58" s="277">
        <v>0</v>
      </c>
      <c r="L58" s="29"/>
      <c r="M58" s="29">
        <f t="shared" si="1"/>
        <v>0</v>
      </c>
      <c r="N58" s="29">
        <v>0.4</v>
      </c>
      <c r="O58" s="29">
        <f>N58*100000</f>
        <v>40000</v>
      </c>
      <c r="P58" s="29"/>
      <c r="Q58" s="29"/>
      <c r="R58" s="29"/>
      <c r="S58" s="29"/>
      <c r="T58" s="29"/>
      <c r="U58" s="84"/>
      <c r="V58" s="277"/>
      <c r="W58" s="29"/>
      <c r="X58" s="29"/>
      <c r="Y58" s="29"/>
      <c r="Z58" s="29"/>
      <c r="AA58" s="29"/>
      <c r="AB58" s="29"/>
      <c r="AC58" s="29"/>
      <c r="AD58" s="29"/>
      <c r="AE58" s="29"/>
      <c r="AF58" s="278"/>
      <c r="AG58" s="277"/>
      <c r="AH58" s="29"/>
      <c r="AI58" s="29"/>
      <c r="AJ58" s="29"/>
      <c r="AK58" s="29"/>
      <c r="AL58" s="29"/>
      <c r="AM58" s="29"/>
      <c r="AN58" s="29"/>
      <c r="AO58" s="29"/>
      <c r="AP58" s="29"/>
      <c r="AQ58" s="278"/>
      <c r="AR58" s="277"/>
      <c r="AS58" s="29"/>
      <c r="AT58" s="29"/>
      <c r="AU58" s="29"/>
      <c r="AV58" s="29"/>
      <c r="AW58" s="29"/>
      <c r="AX58" s="29"/>
      <c r="AY58" s="29"/>
      <c r="AZ58" s="29"/>
      <c r="BA58" s="29"/>
      <c r="BB58" s="278"/>
      <c r="BC58" s="277"/>
      <c r="BD58" s="29"/>
      <c r="BE58" s="29"/>
      <c r="BF58" s="29"/>
      <c r="BG58" s="29"/>
      <c r="BH58" s="29"/>
      <c r="BI58" s="29"/>
      <c r="BJ58" s="29"/>
      <c r="BK58" s="29"/>
      <c r="BL58" s="29"/>
      <c r="BM58" s="278"/>
    </row>
    <row r="59" spans="1:65" ht="12.75">
      <c r="A59" s="511"/>
      <c r="B59" s="84"/>
      <c r="C59" s="93"/>
      <c r="D59" s="75" t="s">
        <v>723</v>
      </c>
      <c r="E59" s="75" t="s">
        <v>725</v>
      </c>
      <c r="F59" s="71" t="s">
        <v>171</v>
      </c>
      <c r="G59" s="75" t="s">
        <v>310</v>
      </c>
      <c r="H59" s="75"/>
      <c r="I59" s="79">
        <v>39600</v>
      </c>
      <c r="J59" s="252">
        <v>39692</v>
      </c>
      <c r="K59" s="277">
        <v>0</v>
      </c>
      <c r="L59" s="29"/>
      <c r="M59" s="29">
        <f t="shared" si="1"/>
        <v>0</v>
      </c>
      <c r="N59" s="29"/>
      <c r="O59" s="29"/>
      <c r="P59" s="29"/>
      <c r="Q59" s="29"/>
      <c r="R59" s="29"/>
      <c r="S59" s="29"/>
      <c r="T59" s="29"/>
      <c r="U59" s="84"/>
      <c r="V59" s="277"/>
      <c r="W59" s="29"/>
      <c r="X59" s="29"/>
      <c r="Y59" s="29"/>
      <c r="Z59" s="29"/>
      <c r="AA59" s="29"/>
      <c r="AB59" s="29"/>
      <c r="AC59" s="29"/>
      <c r="AD59" s="29"/>
      <c r="AE59" s="29"/>
      <c r="AF59" s="278"/>
      <c r="AG59" s="277"/>
      <c r="AH59" s="29"/>
      <c r="AI59" s="29"/>
      <c r="AJ59" s="29"/>
      <c r="AK59" s="29"/>
      <c r="AL59" s="29"/>
      <c r="AM59" s="29"/>
      <c r="AN59" s="29"/>
      <c r="AO59" s="29"/>
      <c r="AP59" s="29"/>
      <c r="AQ59" s="278"/>
      <c r="AR59" s="277"/>
      <c r="AS59" s="29"/>
      <c r="AT59" s="29"/>
      <c r="AU59" s="29"/>
      <c r="AV59" s="29"/>
      <c r="AW59" s="29"/>
      <c r="AX59" s="29"/>
      <c r="AY59" s="29"/>
      <c r="AZ59" s="29"/>
      <c r="BA59" s="29"/>
      <c r="BB59" s="278"/>
      <c r="BC59" s="277"/>
      <c r="BD59" s="29"/>
      <c r="BE59" s="29"/>
      <c r="BF59" s="29"/>
      <c r="BG59" s="29"/>
      <c r="BH59" s="29"/>
      <c r="BI59" s="29"/>
      <c r="BJ59" s="29"/>
      <c r="BK59" s="29"/>
      <c r="BL59" s="29"/>
      <c r="BM59" s="278"/>
    </row>
    <row r="60" spans="1:65" ht="12.75">
      <c r="A60" s="511"/>
      <c r="B60" s="84"/>
      <c r="C60" s="93"/>
      <c r="D60" s="75" t="s">
        <v>721</v>
      </c>
      <c r="E60" s="75" t="s">
        <v>722</v>
      </c>
      <c r="F60" s="71" t="s">
        <v>169</v>
      </c>
      <c r="G60" s="75" t="s">
        <v>307</v>
      </c>
      <c r="H60" s="75"/>
      <c r="I60" s="79">
        <v>39479</v>
      </c>
      <c r="J60" s="252">
        <v>39692</v>
      </c>
      <c r="K60" s="277">
        <v>0</v>
      </c>
      <c r="L60" s="29"/>
      <c r="M60" s="29">
        <f t="shared" si="1"/>
        <v>0</v>
      </c>
      <c r="N60" s="29"/>
      <c r="O60" s="29"/>
      <c r="P60" s="29"/>
      <c r="Q60" s="29"/>
      <c r="R60" s="29"/>
      <c r="S60" s="29"/>
      <c r="T60" s="29"/>
      <c r="U60" s="84"/>
      <c r="V60" s="277"/>
      <c r="W60" s="29"/>
      <c r="X60" s="29"/>
      <c r="Y60" s="29"/>
      <c r="Z60" s="29"/>
      <c r="AA60" s="29"/>
      <c r="AB60" s="29"/>
      <c r="AC60" s="29"/>
      <c r="AD60" s="29"/>
      <c r="AE60" s="29"/>
      <c r="AF60" s="278"/>
      <c r="AG60" s="277"/>
      <c r="AH60" s="29"/>
      <c r="AI60" s="29"/>
      <c r="AJ60" s="29"/>
      <c r="AK60" s="29"/>
      <c r="AL60" s="29"/>
      <c r="AM60" s="29"/>
      <c r="AN60" s="29"/>
      <c r="AO60" s="29"/>
      <c r="AP60" s="29"/>
      <c r="AQ60" s="278"/>
      <c r="AR60" s="277"/>
      <c r="AS60" s="29"/>
      <c r="AT60" s="29"/>
      <c r="AU60" s="29"/>
      <c r="AV60" s="29"/>
      <c r="AW60" s="29"/>
      <c r="AX60" s="29"/>
      <c r="AY60" s="29"/>
      <c r="AZ60" s="29"/>
      <c r="BA60" s="29"/>
      <c r="BB60" s="278"/>
      <c r="BC60" s="277"/>
      <c r="BD60" s="29"/>
      <c r="BE60" s="29"/>
      <c r="BF60" s="29"/>
      <c r="BG60" s="29"/>
      <c r="BH60" s="29"/>
      <c r="BI60" s="29"/>
      <c r="BJ60" s="29"/>
      <c r="BK60" s="29"/>
      <c r="BL60" s="29"/>
      <c r="BM60" s="278"/>
    </row>
    <row r="61" spans="1:65" ht="12.75">
      <c r="A61" s="511"/>
      <c r="B61" s="84"/>
      <c r="C61" s="93"/>
      <c r="D61" s="75" t="s">
        <v>721</v>
      </c>
      <c r="E61" s="75" t="s">
        <v>722</v>
      </c>
      <c r="F61" s="71" t="s">
        <v>172</v>
      </c>
      <c r="G61" s="75" t="s">
        <v>311</v>
      </c>
      <c r="H61" s="75"/>
      <c r="I61" s="79">
        <v>39539</v>
      </c>
      <c r="J61" s="252">
        <v>39692</v>
      </c>
      <c r="K61" s="277">
        <v>0</v>
      </c>
      <c r="L61" s="29"/>
      <c r="M61" s="29">
        <f t="shared" si="1"/>
        <v>0</v>
      </c>
      <c r="N61" s="29"/>
      <c r="O61" s="29"/>
      <c r="P61" s="29"/>
      <c r="Q61" s="29"/>
      <c r="R61" s="29"/>
      <c r="S61" s="29"/>
      <c r="T61" s="29"/>
      <c r="U61" s="84"/>
      <c r="V61" s="277"/>
      <c r="W61" s="29"/>
      <c r="X61" s="29"/>
      <c r="Y61" s="29"/>
      <c r="Z61" s="29"/>
      <c r="AA61" s="29"/>
      <c r="AB61" s="29"/>
      <c r="AC61" s="29"/>
      <c r="AD61" s="29"/>
      <c r="AE61" s="29"/>
      <c r="AF61" s="278"/>
      <c r="AG61" s="277"/>
      <c r="AH61" s="29"/>
      <c r="AI61" s="29"/>
      <c r="AJ61" s="29"/>
      <c r="AK61" s="29"/>
      <c r="AL61" s="29"/>
      <c r="AM61" s="29"/>
      <c r="AN61" s="29"/>
      <c r="AO61" s="29"/>
      <c r="AP61" s="29"/>
      <c r="AQ61" s="278"/>
      <c r="AR61" s="277"/>
      <c r="AS61" s="29"/>
      <c r="AT61" s="29"/>
      <c r="AU61" s="29"/>
      <c r="AV61" s="29"/>
      <c r="AW61" s="29"/>
      <c r="AX61" s="29"/>
      <c r="AY61" s="29"/>
      <c r="AZ61" s="29"/>
      <c r="BA61" s="29"/>
      <c r="BB61" s="278"/>
      <c r="BC61" s="277"/>
      <c r="BD61" s="29"/>
      <c r="BE61" s="29"/>
      <c r="BF61" s="29"/>
      <c r="BG61" s="29"/>
      <c r="BH61" s="29"/>
      <c r="BI61" s="29"/>
      <c r="BJ61" s="29"/>
      <c r="BK61" s="29"/>
      <c r="BL61" s="29"/>
      <c r="BM61" s="278"/>
    </row>
    <row r="62" spans="1:65" ht="12.75">
      <c r="A62" s="511"/>
      <c r="B62" s="84"/>
      <c r="C62" s="93"/>
      <c r="D62" s="75" t="s">
        <v>721</v>
      </c>
      <c r="E62" s="75" t="s">
        <v>722</v>
      </c>
      <c r="F62" s="71" t="s">
        <v>173</v>
      </c>
      <c r="G62" s="75" t="s">
        <v>166</v>
      </c>
      <c r="H62" s="75"/>
      <c r="I62" s="79">
        <v>39539</v>
      </c>
      <c r="J62" s="252">
        <v>39692</v>
      </c>
      <c r="K62" s="277">
        <v>10000</v>
      </c>
      <c r="L62" s="29"/>
      <c r="M62" s="29">
        <f t="shared" si="1"/>
        <v>0</v>
      </c>
      <c r="N62" s="29"/>
      <c r="O62" s="29"/>
      <c r="P62" s="29"/>
      <c r="Q62" s="29"/>
      <c r="R62" s="29"/>
      <c r="S62" s="29"/>
      <c r="T62" s="29"/>
      <c r="U62" s="84"/>
      <c r="V62" s="277"/>
      <c r="W62" s="29"/>
      <c r="X62" s="29"/>
      <c r="Y62" s="29"/>
      <c r="Z62" s="29"/>
      <c r="AA62" s="29"/>
      <c r="AB62" s="29"/>
      <c r="AC62" s="29"/>
      <c r="AD62" s="29"/>
      <c r="AE62" s="29"/>
      <c r="AF62" s="278"/>
      <c r="AG62" s="277"/>
      <c r="AH62" s="29"/>
      <c r="AI62" s="29"/>
      <c r="AJ62" s="29"/>
      <c r="AK62" s="29"/>
      <c r="AL62" s="29"/>
      <c r="AM62" s="29"/>
      <c r="AN62" s="29"/>
      <c r="AO62" s="29"/>
      <c r="AP62" s="29"/>
      <c r="AQ62" s="278"/>
      <c r="AR62" s="277"/>
      <c r="AS62" s="29"/>
      <c r="AT62" s="29"/>
      <c r="AU62" s="29"/>
      <c r="AV62" s="29"/>
      <c r="AW62" s="29"/>
      <c r="AX62" s="29"/>
      <c r="AY62" s="29"/>
      <c r="AZ62" s="29"/>
      <c r="BA62" s="29"/>
      <c r="BB62" s="278"/>
      <c r="BC62" s="277"/>
      <c r="BD62" s="29"/>
      <c r="BE62" s="29"/>
      <c r="BF62" s="29"/>
      <c r="BG62" s="29"/>
      <c r="BH62" s="29"/>
      <c r="BI62" s="29"/>
      <c r="BJ62" s="29"/>
      <c r="BK62" s="29"/>
      <c r="BL62" s="29"/>
      <c r="BM62" s="278"/>
    </row>
    <row r="63" spans="1:65" ht="12.75">
      <c r="A63" s="511"/>
      <c r="B63" s="84"/>
      <c r="C63" s="93"/>
      <c r="D63" s="75" t="s">
        <v>721</v>
      </c>
      <c r="E63" s="75" t="s">
        <v>722</v>
      </c>
      <c r="F63" s="71" t="s">
        <v>174</v>
      </c>
      <c r="G63" s="75" t="s">
        <v>308</v>
      </c>
      <c r="H63" s="75"/>
      <c r="I63" s="79">
        <v>39539</v>
      </c>
      <c r="J63" s="252">
        <v>39692</v>
      </c>
      <c r="K63" s="277">
        <v>20000</v>
      </c>
      <c r="L63" s="29"/>
      <c r="M63" s="29">
        <f t="shared" si="1"/>
        <v>0</v>
      </c>
      <c r="N63" s="29"/>
      <c r="O63" s="29"/>
      <c r="P63" s="29"/>
      <c r="Q63" s="29"/>
      <c r="R63" s="29"/>
      <c r="S63" s="29"/>
      <c r="T63" s="29"/>
      <c r="U63" s="84"/>
      <c r="V63" s="277"/>
      <c r="W63" s="29"/>
      <c r="X63" s="29"/>
      <c r="Y63" s="29"/>
      <c r="Z63" s="29"/>
      <c r="AA63" s="29"/>
      <c r="AB63" s="29"/>
      <c r="AC63" s="29"/>
      <c r="AD63" s="29"/>
      <c r="AE63" s="29"/>
      <c r="AF63" s="278"/>
      <c r="AG63" s="277"/>
      <c r="AH63" s="29"/>
      <c r="AI63" s="29"/>
      <c r="AJ63" s="29"/>
      <c r="AK63" s="29"/>
      <c r="AL63" s="29"/>
      <c r="AM63" s="29"/>
      <c r="AN63" s="29"/>
      <c r="AO63" s="29"/>
      <c r="AP63" s="29"/>
      <c r="AQ63" s="278"/>
      <c r="AR63" s="277"/>
      <c r="AS63" s="29"/>
      <c r="AT63" s="29"/>
      <c r="AU63" s="29"/>
      <c r="AV63" s="29"/>
      <c r="AW63" s="29"/>
      <c r="AX63" s="29"/>
      <c r="AY63" s="29"/>
      <c r="AZ63" s="29"/>
      <c r="BA63" s="29"/>
      <c r="BB63" s="278"/>
      <c r="BC63" s="277"/>
      <c r="BD63" s="29"/>
      <c r="BE63" s="29"/>
      <c r="BF63" s="29"/>
      <c r="BG63" s="29"/>
      <c r="BH63" s="29"/>
      <c r="BI63" s="29"/>
      <c r="BJ63" s="29"/>
      <c r="BK63" s="29"/>
      <c r="BL63" s="29"/>
      <c r="BM63" s="278"/>
    </row>
    <row r="64" spans="1:65" ht="12.75">
      <c r="A64" s="511"/>
      <c r="B64" s="84"/>
      <c r="C64" s="93"/>
      <c r="D64" s="75" t="s">
        <v>721</v>
      </c>
      <c r="E64" s="75" t="s">
        <v>722</v>
      </c>
      <c r="F64" s="71" t="s">
        <v>175</v>
      </c>
      <c r="G64" s="75" t="s">
        <v>166</v>
      </c>
      <c r="H64" s="75"/>
      <c r="I64" s="79">
        <v>39539</v>
      </c>
      <c r="J64" s="252">
        <v>39692</v>
      </c>
      <c r="K64" s="277">
        <v>5000</v>
      </c>
      <c r="L64" s="29"/>
      <c r="M64" s="29">
        <f t="shared" si="1"/>
        <v>0</v>
      </c>
      <c r="N64" s="29"/>
      <c r="O64" s="29"/>
      <c r="P64" s="29"/>
      <c r="Q64" s="29"/>
      <c r="R64" s="29"/>
      <c r="S64" s="29"/>
      <c r="T64" s="29"/>
      <c r="U64" s="84"/>
      <c r="V64" s="277"/>
      <c r="W64" s="29"/>
      <c r="X64" s="29"/>
      <c r="Y64" s="29"/>
      <c r="Z64" s="29"/>
      <c r="AA64" s="29"/>
      <c r="AB64" s="29"/>
      <c r="AC64" s="29"/>
      <c r="AD64" s="29"/>
      <c r="AE64" s="29"/>
      <c r="AF64" s="278"/>
      <c r="AG64" s="277"/>
      <c r="AH64" s="29"/>
      <c r="AI64" s="29"/>
      <c r="AJ64" s="29"/>
      <c r="AK64" s="29"/>
      <c r="AL64" s="29"/>
      <c r="AM64" s="29"/>
      <c r="AN64" s="29"/>
      <c r="AO64" s="29"/>
      <c r="AP64" s="29"/>
      <c r="AQ64" s="278"/>
      <c r="AR64" s="277"/>
      <c r="AS64" s="29"/>
      <c r="AT64" s="29"/>
      <c r="AU64" s="29"/>
      <c r="AV64" s="29"/>
      <c r="AW64" s="29"/>
      <c r="AX64" s="29"/>
      <c r="AY64" s="29"/>
      <c r="AZ64" s="29"/>
      <c r="BA64" s="29"/>
      <c r="BB64" s="278"/>
      <c r="BC64" s="277"/>
      <c r="BD64" s="29"/>
      <c r="BE64" s="29"/>
      <c r="BF64" s="29"/>
      <c r="BG64" s="29"/>
      <c r="BH64" s="29"/>
      <c r="BI64" s="29"/>
      <c r="BJ64" s="29"/>
      <c r="BK64" s="29"/>
      <c r="BL64" s="29"/>
      <c r="BM64" s="278"/>
    </row>
    <row r="65" spans="1:65" ht="12.75">
      <c r="A65" s="511"/>
      <c r="B65" s="84"/>
      <c r="C65" s="93"/>
      <c r="D65" s="75" t="s">
        <v>721</v>
      </c>
      <c r="E65" s="75" t="s">
        <v>722</v>
      </c>
      <c r="F65" s="71" t="s">
        <v>176</v>
      </c>
      <c r="G65" s="75" t="s">
        <v>312</v>
      </c>
      <c r="H65" s="75"/>
      <c r="I65" s="79">
        <v>39539</v>
      </c>
      <c r="J65" s="252">
        <v>39692</v>
      </c>
      <c r="K65" s="277">
        <v>0</v>
      </c>
      <c r="L65" s="29"/>
      <c r="M65" s="29">
        <f t="shared" si="1"/>
        <v>0</v>
      </c>
      <c r="N65" s="29"/>
      <c r="O65" s="29"/>
      <c r="P65" s="29"/>
      <c r="Q65" s="29"/>
      <c r="R65" s="29"/>
      <c r="S65" s="29"/>
      <c r="T65" s="29"/>
      <c r="U65" s="84"/>
      <c r="V65" s="277"/>
      <c r="W65" s="29"/>
      <c r="X65" s="29"/>
      <c r="Y65" s="29"/>
      <c r="Z65" s="29"/>
      <c r="AA65" s="29"/>
      <c r="AB65" s="29"/>
      <c r="AC65" s="29"/>
      <c r="AD65" s="29"/>
      <c r="AE65" s="29"/>
      <c r="AF65" s="278"/>
      <c r="AG65" s="277"/>
      <c r="AH65" s="29"/>
      <c r="AI65" s="29"/>
      <c r="AJ65" s="29"/>
      <c r="AK65" s="29"/>
      <c r="AL65" s="29"/>
      <c r="AM65" s="29"/>
      <c r="AN65" s="29"/>
      <c r="AO65" s="29"/>
      <c r="AP65" s="29"/>
      <c r="AQ65" s="278"/>
      <c r="AR65" s="277"/>
      <c r="AS65" s="29"/>
      <c r="AT65" s="29"/>
      <c r="AU65" s="29"/>
      <c r="AV65" s="29"/>
      <c r="AW65" s="29"/>
      <c r="AX65" s="29"/>
      <c r="AY65" s="29"/>
      <c r="AZ65" s="29"/>
      <c r="BA65" s="29"/>
      <c r="BB65" s="278"/>
      <c r="BC65" s="277"/>
      <c r="BD65" s="29"/>
      <c r="BE65" s="29"/>
      <c r="BF65" s="29"/>
      <c r="BG65" s="29"/>
      <c r="BH65" s="29"/>
      <c r="BI65" s="29"/>
      <c r="BJ65" s="29"/>
      <c r="BK65" s="29"/>
      <c r="BL65" s="29"/>
      <c r="BM65" s="278"/>
    </row>
    <row r="66" spans="1:65" ht="12.75">
      <c r="A66" s="511"/>
      <c r="B66" s="84"/>
      <c r="C66" s="93"/>
      <c r="D66" s="75" t="s">
        <v>721</v>
      </c>
      <c r="E66" s="75" t="s">
        <v>722</v>
      </c>
      <c r="F66" s="71" t="s">
        <v>181</v>
      </c>
      <c r="G66" s="76" t="s">
        <v>196</v>
      </c>
      <c r="H66" s="75"/>
      <c r="I66" s="79">
        <v>39539</v>
      </c>
      <c r="J66" s="252">
        <v>39692</v>
      </c>
      <c r="K66" s="277">
        <v>25000</v>
      </c>
      <c r="L66" s="29"/>
      <c r="M66" s="29">
        <f t="shared" si="1"/>
        <v>0</v>
      </c>
      <c r="N66" s="29"/>
      <c r="O66" s="29"/>
      <c r="P66" s="29"/>
      <c r="Q66" s="29"/>
      <c r="R66" s="29"/>
      <c r="S66" s="29"/>
      <c r="T66" s="29"/>
      <c r="U66" s="84"/>
      <c r="V66" s="277"/>
      <c r="W66" s="29"/>
      <c r="X66" s="29"/>
      <c r="Y66" s="29"/>
      <c r="Z66" s="29"/>
      <c r="AA66" s="29"/>
      <c r="AB66" s="29"/>
      <c r="AC66" s="29"/>
      <c r="AD66" s="29"/>
      <c r="AE66" s="29"/>
      <c r="AF66" s="278"/>
      <c r="AG66" s="277"/>
      <c r="AH66" s="29"/>
      <c r="AI66" s="29"/>
      <c r="AJ66" s="29"/>
      <c r="AK66" s="29"/>
      <c r="AL66" s="29"/>
      <c r="AM66" s="29"/>
      <c r="AN66" s="29"/>
      <c r="AO66" s="29"/>
      <c r="AP66" s="29"/>
      <c r="AQ66" s="278"/>
      <c r="AR66" s="277"/>
      <c r="AS66" s="29"/>
      <c r="AT66" s="29"/>
      <c r="AU66" s="29"/>
      <c r="AV66" s="29"/>
      <c r="AW66" s="29"/>
      <c r="AX66" s="29"/>
      <c r="AY66" s="29"/>
      <c r="AZ66" s="29"/>
      <c r="BA66" s="29"/>
      <c r="BB66" s="278"/>
      <c r="BC66" s="277"/>
      <c r="BD66" s="29"/>
      <c r="BE66" s="29"/>
      <c r="BF66" s="29"/>
      <c r="BG66" s="29"/>
      <c r="BH66" s="29"/>
      <c r="BI66" s="29"/>
      <c r="BJ66" s="29"/>
      <c r="BK66" s="29"/>
      <c r="BL66" s="29"/>
      <c r="BM66" s="278"/>
    </row>
    <row r="67" spans="1:65" ht="12.75">
      <c r="A67" s="511"/>
      <c r="B67" s="84"/>
      <c r="C67" s="93"/>
      <c r="D67" s="75" t="s">
        <v>721</v>
      </c>
      <c r="E67" s="75" t="s">
        <v>722</v>
      </c>
      <c r="F67" s="71" t="s">
        <v>88</v>
      </c>
      <c r="G67" s="75" t="s">
        <v>313</v>
      </c>
      <c r="H67" s="75"/>
      <c r="I67" s="79">
        <v>39722</v>
      </c>
      <c r="J67" s="263">
        <v>39814</v>
      </c>
      <c r="K67" s="277">
        <v>20000</v>
      </c>
      <c r="L67" s="29"/>
      <c r="M67" s="29">
        <f t="shared" si="1"/>
        <v>0</v>
      </c>
      <c r="N67" s="29"/>
      <c r="O67" s="29"/>
      <c r="P67" s="29"/>
      <c r="Q67" s="29"/>
      <c r="R67" s="29"/>
      <c r="S67" s="29"/>
      <c r="T67" s="29"/>
      <c r="U67" s="84"/>
      <c r="V67" s="277"/>
      <c r="W67" s="29"/>
      <c r="X67" s="29"/>
      <c r="Y67" s="29"/>
      <c r="Z67" s="29"/>
      <c r="AA67" s="29"/>
      <c r="AB67" s="29"/>
      <c r="AC67" s="29"/>
      <c r="AD67" s="29"/>
      <c r="AE67" s="29"/>
      <c r="AF67" s="278"/>
      <c r="AG67" s="277"/>
      <c r="AH67" s="29"/>
      <c r="AI67" s="29"/>
      <c r="AJ67" s="29"/>
      <c r="AK67" s="29"/>
      <c r="AL67" s="29"/>
      <c r="AM67" s="29"/>
      <c r="AN67" s="29"/>
      <c r="AO67" s="29"/>
      <c r="AP67" s="29"/>
      <c r="AQ67" s="278"/>
      <c r="AR67" s="277"/>
      <c r="AS67" s="29"/>
      <c r="AT67" s="29"/>
      <c r="AU67" s="29"/>
      <c r="AV67" s="29"/>
      <c r="AW67" s="29"/>
      <c r="AX67" s="29"/>
      <c r="AY67" s="29"/>
      <c r="AZ67" s="29"/>
      <c r="BA67" s="29"/>
      <c r="BB67" s="278"/>
      <c r="BC67" s="277"/>
      <c r="BD67" s="29"/>
      <c r="BE67" s="29"/>
      <c r="BF67" s="29"/>
      <c r="BG67" s="29"/>
      <c r="BH67" s="29"/>
      <c r="BI67" s="29"/>
      <c r="BJ67" s="29"/>
      <c r="BK67" s="29"/>
      <c r="BL67" s="29"/>
      <c r="BM67" s="278"/>
    </row>
    <row r="68" spans="1:65" ht="12.75">
      <c r="A68" s="511"/>
      <c r="B68" s="84"/>
      <c r="C68" s="93"/>
      <c r="D68" s="75" t="s">
        <v>721</v>
      </c>
      <c r="E68" s="75" t="s">
        <v>722</v>
      </c>
      <c r="F68" s="71" t="s">
        <v>186</v>
      </c>
      <c r="G68" s="75"/>
      <c r="H68" s="75"/>
      <c r="I68" s="79">
        <v>39722</v>
      </c>
      <c r="J68" s="263">
        <v>39814</v>
      </c>
      <c r="K68" s="277">
        <v>2000</v>
      </c>
      <c r="L68" s="29"/>
      <c r="M68" s="29">
        <f t="shared" si="1"/>
        <v>0</v>
      </c>
      <c r="N68" s="29"/>
      <c r="O68" s="29"/>
      <c r="P68" s="29"/>
      <c r="Q68" s="29"/>
      <c r="R68" s="29"/>
      <c r="S68" s="29"/>
      <c r="T68" s="29"/>
      <c r="U68" s="84"/>
      <c r="V68" s="277"/>
      <c r="W68" s="29"/>
      <c r="X68" s="29"/>
      <c r="Y68" s="29"/>
      <c r="Z68" s="29"/>
      <c r="AA68" s="29"/>
      <c r="AB68" s="29"/>
      <c r="AC68" s="29"/>
      <c r="AD68" s="29"/>
      <c r="AE68" s="29"/>
      <c r="AF68" s="278"/>
      <c r="AG68" s="277"/>
      <c r="AH68" s="29"/>
      <c r="AI68" s="29"/>
      <c r="AJ68" s="29"/>
      <c r="AK68" s="29"/>
      <c r="AL68" s="29"/>
      <c r="AM68" s="29"/>
      <c r="AN68" s="29"/>
      <c r="AO68" s="29"/>
      <c r="AP68" s="29"/>
      <c r="AQ68" s="278"/>
      <c r="AR68" s="277"/>
      <c r="AS68" s="29"/>
      <c r="AT68" s="29"/>
      <c r="AU68" s="29"/>
      <c r="AV68" s="29"/>
      <c r="AW68" s="29"/>
      <c r="AX68" s="29"/>
      <c r="AY68" s="29"/>
      <c r="AZ68" s="29"/>
      <c r="BA68" s="29"/>
      <c r="BB68" s="278"/>
      <c r="BC68" s="277"/>
      <c r="BD68" s="29"/>
      <c r="BE68" s="29"/>
      <c r="BF68" s="29"/>
      <c r="BG68" s="29"/>
      <c r="BH68" s="29"/>
      <c r="BI68" s="29"/>
      <c r="BJ68" s="29"/>
      <c r="BK68" s="29"/>
      <c r="BL68" s="29"/>
      <c r="BM68" s="278"/>
    </row>
    <row r="69" spans="1:65" ht="12.75">
      <c r="A69" s="511"/>
      <c r="B69" s="84"/>
      <c r="C69" s="93"/>
      <c r="D69" s="75" t="s">
        <v>721</v>
      </c>
      <c r="E69" s="75" t="s">
        <v>722</v>
      </c>
      <c r="F69" s="71" t="s">
        <v>187</v>
      </c>
      <c r="G69" s="75"/>
      <c r="H69" s="75"/>
      <c r="I69" s="79">
        <v>39722</v>
      </c>
      <c r="J69" s="263">
        <v>39814</v>
      </c>
      <c r="K69" s="277">
        <v>2500</v>
      </c>
      <c r="L69" s="29"/>
      <c r="M69" s="29">
        <f aca="true" t="shared" si="2" ref="M69:M75">L69*M$2*8</f>
        <v>0</v>
      </c>
      <c r="N69" s="29"/>
      <c r="O69" s="29"/>
      <c r="P69" s="29"/>
      <c r="Q69" s="29"/>
      <c r="R69" s="29"/>
      <c r="S69" s="29"/>
      <c r="T69" s="29"/>
      <c r="U69" s="84"/>
      <c r="V69" s="277"/>
      <c r="W69" s="29"/>
      <c r="X69" s="29"/>
      <c r="Y69" s="29"/>
      <c r="Z69" s="29"/>
      <c r="AA69" s="29"/>
      <c r="AB69" s="29"/>
      <c r="AC69" s="29"/>
      <c r="AD69" s="29"/>
      <c r="AE69" s="29"/>
      <c r="AF69" s="278"/>
      <c r="AG69" s="277"/>
      <c r="AH69" s="29"/>
      <c r="AI69" s="29"/>
      <c r="AJ69" s="29"/>
      <c r="AK69" s="29"/>
      <c r="AL69" s="29"/>
      <c r="AM69" s="29"/>
      <c r="AN69" s="29"/>
      <c r="AO69" s="29"/>
      <c r="AP69" s="29"/>
      <c r="AQ69" s="278"/>
      <c r="AR69" s="277"/>
      <c r="AS69" s="29"/>
      <c r="AT69" s="29"/>
      <c r="AU69" s="29"/>
      <c r="AV69" s="29"/>
      <c r="AW69" s="29"/>
      <c r="AX69" s="29"/>
      <c r="AY69" s="29"/>
      <c r="AZ69" s="29"/>
      <c r="BA69" s="29"/>
      <c r="BB69" s="278"/>
      <c r="BC69" s="277"/>
      <c r="BD69" s="29"/>
      <c r="BE69" s="29"/>
      <c r="BF69" s="29"/>
      <c r="BG69" s="29"/>
      <c r="BH69" s="29"/>
      <c r="BI69" s="29"/>
      <c r="BJ69" s="29"/>
      <c r="BK69" s="29"/>
      <c r="BL69" s="29"/>
      <c r="BM69" s="278"/>
    </row>
    <row r="70" spans="1:65" ht="12.75">
      <c r="A70" s="511"/>
      <c r="B70" s="84"/>
      <c r="C70" s="117"/>
      <c r="D70" s="75" t="s">
        <v>721</v>
      </c>
      <c r="E70" s="75" t="s">
        <v>722</v>
      </c>
      <c r="F70" s="71" t="s">
        <v>220</v>
      </c>
      <c r="G70" s="75"/>
      <c r="H70" s="75"/>
      <c r="I70" s="79">
        <v>39722</v>
      </c>
      <c r="J70" s="263">
        <v>39814</v>
      </c>
      <c r="K70" s="277">
        <v>2000</v>
      </c>
      <c r="L70" s="29"/>
      <c r="M70" s="29">
        <f t="shared" si="2"/>
        <v>0</v>
      </c>
      <c r="N70" s="29"/>
      <c r="O70" s="29"/>
      <c r="P70" s="29"/>
      <c r="Q70" s="29"/>
      <c r="R70" s="29"/>
      <c r="S70" s="29"/>
      <c r="T70" s="29"/>
      <c r="U70" s="84"/>
      <c r="V70" s="277"/>
      <c r="W70" s="29"/>
      <c r="X70" s="29"/>
      <c r="Y70" s="29"/>
      <c r="Z70" s="29"/>
      <c r="AA70" s="29"/>
      <c r="AB70" s="29"/>
      <c r="AC70" s="29"/>
      <c r="AD70" s="29"/>
      <c r="AE70" s="29"/>
      <c r="AF70" s="278"/>
      <c r="AG70" s="277"/>
      <c r="AH70" s="29"/>
      <c r="AI70" s="29"/>
      <c r="AJ70" s="29"/>
      <c r="AK70" s="29"/>
      <c r="AL70" s="29"/>
      <c r="AM70" s="29"/>
      <c r="AN70" s="29"/>
      <c r="AO70" s="29"/>
      <c r="AP70" s="29"/>
      <c r="AQ70" s="278"/>
      <c r="AR70" s="277"/>
      <c r="AS70" s="29"/>
      <c r="AT70" s="29"/>
      <c r="AU70" s="29"/>
      <c r="AV70" s="29"/>
      <c r="AW70" s="29"/>
      <c r="AX70" s="29"/>
      <c r="AY70" s="29"/>
      <c r="AZ70" s="29"/>
      <c r="BA70" s="29"/>
      <c r="BB70" s="278"/>
      <c r="BC70" s="277"/>
      <c r="BD70" s="29"/>
      <c r="BE70" s="29"/>
      <c r="BF70" s="29"/>
      <c r="BG70" s="29"/>
      <c r="BH70" s="29"/>
      <c r="BI70" s="29"/>
      <c r="BJ70" s="29"/>
      <c r="BK70" s="29"/>
      <c r="BL70" s="29"/>
      <c r="BM70" s="278"/>
    </row>
    <row r="71" spans="1:65" ht="12.75">
      <c r="A71" s="511"/>
      <c r="B71" s="84"/>
      <c r="C71" s="139"/>
      <c r="D71" s="86" t="s">
        <v>721</v>
      </c>
      <c r="E71" s="75" t="s">
        <v>722</v>
      </c>
      <c r="F71" s="85" t="s">
        <v>691</v>
      </c>
      <c r="G71" s="86"/>
      <c r="H71" s="86"/>
      <c r="I71" s="230">
        <v>39814</v>
      </c>
      <c r="J71" s="264">
        <v>39965</v>
      </c>
      <c r="K71" s="277"/>
      <c r="L71" s="29"/>
      <c r="M71" s="29">
        <f t="shared" si="2"/>
        <v>0</v>
      </c>
      <c r="N71" s="29"/>
      <c r="O71" s="29"/>
      <c r="P71" s="29"/>
      <c r="Q71" s="29"/>
      <c r="R71" s="29"/>
      <c r="S71" s="29"/>
      <c r="T71" s="29"/>
      <c r="U71" s="84"/>
      <c r="V71" s="277">
        <v>10000</v>
      </c>
      <c r="W71" s="29"/>
      <c r="X71" s="29"/>
      <c r="Y71" s="29">
        <v>0.1</v>
      </c>
      <c r="Z71" s="29">
        <f>Y71*100000</f>
        <v>10000</v>
      </c>
      <c r="AA71" s="29"/>
      <c r="AB71" s="29"/>
      <c r="AC71" s="29"/>
      <c r="AD71" s="29"/>
      <c r="AE71" s="29"/>
      <c r="AF71" s="278"/>
      <c r="AG71" s="277"/>
      <c r="AH71" s="29"/>
      <c r="AI71" s="29"/>
      <c r="AJ71" s="29"/>
      <c r="AK71" s="29"/>
      <c r="AL71" s="29"/>
      <c r="AM71" s="29"/>
      <c r="AN71" s="29"/>
      <c r="AO71" s="29"/>
      <c r="AP71" s="29"/>
      <c r="AQ71" s="278"/>
      <c r="AR71" s="277"/>
      <c r="AS71" s="29"/>
      <c r="AT71" s="29"/>
      <c r="AU71" s="29"/>
      <c r="AV71" s="29"/>
      <c r="AW71" s="29"/>
      <c r="AX71" s="29"/>
      <c r="AY71" s="29"/>
      <c r="AZ71" s="29"/>
      <c r="BA71" s="29"/>
      <c r="BB71" s="278"/>
      <c r="BC71" s="277"/>
      <c r="BD71" s="29"/>
      <c r="BE71" s="29"/>
      <c r="BF71" s="29"/>
      <c r="BG71" s="29"/>
      <c r="BH71" s="29"/>
      <c r="BI71" s="29"/>
      <c r="BJ71" s="29"/>
      <c r="BK71" s="29"/>
      <c r="BL71" s="29"/>
      <c r="BM71" s="278"/>
    </row>
    <row r="72" spans="1:65" ht="13.5" thickBot="1">
      <c r="A72" s="511"/>
      <c r="B72" s="84"/>
      <c r="C72" s="139"/>
      <c r="D72" s="86" t="s">
        <v>721</v>
      </c>
      <c r="E72" s="75" t="s">
        <v>722</v>
      </c>
      <c r="F72" s="85" t="s">
        <v>86</v>
      </c>
      <c r="G72" s="86"/>
      <c r="H72" s="86"/>
      <c r="I72" s="80">
        <v>39722</v>
      </c>
      <c r="J72" s="264">
        <v>39814</v>
      </c>
      <c r="K72" s="277">
        <v>5000</v>
      </c>
      <c r="L72" s="29"/>
      <c r="M72" s="29">
        <f t="shared" si="2"/>
        <v>0</v>
      </c>
      <c r="N72" s="29"/>
      <c r="O72" s="29"/>
      <c r="P72" s="29"/>
      <c r="Q72" s="29"/>
      <c r="R72" s="29"/>
      <c r="S72" s="29"/>
      <c r="T72" s="29"/>
      <c r="U72" s="84"/>
      <c r="V72" s="277"/>
      <c r="W72" s="29"/>
      <c r="X72" s="29"/>
      <c r="Y72" s="29"/>
      <c r="Z72" s="29"/>
      <c r="AA72" s="29"/>
      <c r="AB72" s="29"/>
      <c r="AC72" s="29"/>
      <c r="AD72" s="29"/>
      <c r="AE72" s="29"/>
      <c r="AF72" s="278"/>
      <c r="AG72" s="277"/>
      <c r="AH72" s="29"/>
      <c r="AI72" s="29"/>
      <c r="AJ72" s="29"/>
      <c r="AK72" s="29"/>
      <c r="AL72" s="29"/>
      <c r="AM72" s="29"/>
      <c r="AN72" s="29"/>
      <c r="AO72" s="29"/>
      <c r="AP72" s="29"/>
      <c r="AQ72" s="278"/>
      <c r="AR72" s="277"/>
      <c r="AS72" s="29"/>
      <c r="AT72" s="29"/>
      <c r="AU72" s="29"/>
      <c r="AV72" s="29"/>
      <c r="AW72" s="29"/>
      <c r="AX72" s="29"/>
      <c r="AY72" s="29"/>
      <c r="AZ72" s="29"/>
      <c r="BA72" s="29"/>
      <c r="BB72" s="278"/>
      <c r="BC72" s="277"/>
      <c r="BD72" s="29"/>
      <c r="BE72" s="29"/>
      <c r="BF72" s="29"/>
      <c r="BG72" s="29"/>
      <c r="BH72" s="29"/>
      <c r="BI72" s="29"/>
      <c r="BJ72" s="29"/>
      <c r="BK72" s="29"/>
      <c r="BL72" s="29"/>
      <c r="BM72" s="278"/>
    </row>
    <row r="73" spans="1:65" ht="13.5" thickTop="1">
      <c r="A73" s="511"/>
      <c r="B73" s="84"/>
      <c r="C73" s="90"/>
      <c r="D73" s="439" t="s">
        <v>724</v>
      </c>
      <c r="E73" s="428" t="s">
        <v>725</v>
      </c>
      <c r="F73" s="102" t="s">
        <v>188</v>
      </c>
      <c r="G73" s="111"/>
      <c r="H73" s="111"/>
      <c r="I73" s="116">
        <v>39722</v>
      </c>
      <c r="J73" s="261">
        <v>39814</v>
      </c>
      <c r="K73" s="277">
        <v>15000</v>
      </c>
      <c r="L73" s="29"/>
      <c r="M73" s="29">
        <f t="shared" si="2"/>
        <v>0</v>
      </c>
      <c r="N73" s="29"/>
      <c r="O73" s="29"/>
      <c r="P73" s="29"/>
      <c r="Q73" s="29"/>
      <c r="R73" s="29"/>
      <c r="S73" s="29"/>
      <c r="T73" s="29"/>
      <c r="U73" s="84"/>
      <c r="V73" s="277"/>
      <c r="W73" s="29"/>
      <c r="X73" s="29"/>
      <c r="Y73" s="29"/>
      <c r="Z73" s="29"/>
      <c r="AA73" s="29"/>
      <c r="AB73" s="29"/>
      <c r="AC73" s="29"/>
      <c r="AD73" s="29"/>
      <c r="AE73" s="29"/>
      <c r="AF73" s="278"/>
      <c r="AG73" s="277"/>
      <c r="AH73" s="29"/>
      <c r="AI73" s="29"/>
      <c r="AJ73" s="29"/>
      <c r="AK73" s="29"/>
      <c r="AL73" s="29"/>
      <c r="AM73" s="29"/>
      <c r="AN73" s="29"/>
      <c r="AO73" s="29"/>
      <c r="AP73" s="29"/>
      <c r="AQ73" s="278"/>
      <c r="AR73" s="277"/>
      <c r="AS73" s="29"/>
      <c r="AT73" s="29"/>
      <c r="AU73" s="29"/>
      <c r="AV73" s="29"/>
      <c r="AW73" s="29"/>
      <c r="AX73" s="29"/>
      <c r="AY73" s="29"/>
      <c r="AZ73" s="29"/>
      <c r="BA73" s="29"/>
      <c r="BB73" s="278"/>
      <c r="BC73" s="277"/>
      <c r="BD73" s="29"/>
      <c r="BE73" s="29"/>
      <c r="BF73" s="29"/>
      <c r="BG73" s="29"/>
      <c r="BH73" s="29"/>
      <c r="BI73" s="29"/>
      <c r="BJ73" s="29"/>
      <c r="BK73" s="29"/>
      <c r="BL73" s="29"/>
      <c r="BM73" s="278"/>
    </row>
    <row r="74" spans="1:65" ht="13.5" thickBot="1">
      <c r="A74" s="511"/>
      <c r="B74" s="84"/>
      <c r="C74" s="94"/>
      <c r="D74" s="445"/>
      <c r="E74" s="445"/>
      <c r="F74" s="104" t="s">
        <v>189</v>
      </c>
      <c r="G74" s="96"/>
      <c r="H74" s="96"/>
      <c r="I74" s="128">
        <v>39722</v>
      </c>
      <c r="J74" s="262">
        <v>39814</v>
      </c>
      <c r="K74" s="277"/>
      <c r="L74" s="29"/>
      <c r="M74" s="29">
        <f t="shared" si="2"/>
        <v>0</v>
      </c>
      <c r="N74" s="29">
        <v>0.16</v>
      </c>
      <c r="O74" s="29">
        <f>N74*O$2</f>
        <v>17600</v>
      </c>
      <c r="P74" s="29"/>
      <c r="Q74" s="29"/>
      <c r="R74" s="29"/>
      <c r="S74" s="29"/>
      <c r="T74" s="29"/>
      <c r="U74" s="84"/>
      <c r="V74" s="277"/>
      <c r="W74" s="29"/>
      <c r="X74" s="29"/>
      <c r="Y74" s="29"/>
      <c r="Z74" s="29"/>
      <c r="AA74" s="29"/>
      <c r="AB74" s="29"/>
      <c r="AC74" s="29"/>
      <c r="AD74" s="29"/>
      <c r="AE74" s="29"/>
      <c r="AF74" s="278"/>
      <c r="AG74" s="277"/>
      <c r="AH74" s="29"/>
      <c r="AI74" s="29"/>
      <c r="AJ74" s="29"/>
      <c r="AK74" s="29"/>
      <c r="AL74" s="29"/>
      <c r="AM74" s="29"/>
      <c r="AN74" s="29"/>
      <c r="AO74" s="29"/>
      <c r="AP74" s="29"/>
      <c r="AQ74" s="278"/>
      <c r="AR74" s="277"/>
      <c r="AS74" s="29"/>
      <c r="AT74" s="29"/>
      <c r="AU74" s="29"/>
      <c r="AV74" s="29"/>
      <c r="AW74" s="29"/>
      <c r="AX74" s="29"/>
      <c r="AY74" s="29"/>
      <c r="AZ74" s="29"/>
      <c r="BA74" s="29"/>
      <c r="BB74" s="278"/>
      <c r="BC74" s="277"/>
      <c r="BD74" s="29"/>
      <c r="BE74" s="29"/>
      <c r="BF74" s="29"/>
      <c r="BG74" s="29"/>
      <c r="BH74" s="29"/>
      <c r="BI74" s="29"/>
      <c r="BJ74" s="29"/>
      <c r="BK74" s="29"/>
      <c r="BL74" s="29"/>
      <c r="BM74" s="278"/>
    </row>
    <row r="75" spans="1:65" ht="14.25" thickBot="1" thickTop="1">
      <c r="A75" s="511"/>
      <c r="B75" s="29"/>
      <c r="C75" s="118"/>
      <c r="D75" s="108"/>
      <c r="E75" s="108"/>
      <c r="F75" s="107"/>
      <c r="G75" s="108" t="s">
        <v>308</v>
      </c>
      <c r="H75" s="108"/>
      <c r="I75" s="78"/>
      <c r="J75" s="265"/>
      <c r="K75" s="277"/>
      <c r="L75" s="29"/>
      <c r="M75" s="29">
        <f t="shared" si="2"/>
        <v>0</v>
      </c>
      <c r="N75" s="29"/>
      <c r="O75" s="29">
        <f>N75*O$2</f>
        <v>0</v>
      </c>
      <c r="P75" s="29"/>
      <c r="Q75" s="29"/>
      <c r="R75" s="29"/>
      <c r="S75" s="29"/>
      <c r="T75" s="29"/>
      <c r="U75" s="84"/>
      <c r="V75" s="277"/>
      <c r="W75" s="29"/>
      <c r="X75" s="29"/>
      <c r="Y75" s="29"/>
      <c r="Z75" s="29"/>
      <c r="AA75" s="29"/>
      <c r="AB75" s="29"/>
      <c r="AC75" s="29"/>
      <c r="AD75" s="29"/>
      <c r="AE75" s="29"/>
      <c r="AF75" s="278"/>
      <c r="AG75" s="277"/>
      <c r="AH75" s="29"/>
      <c r="AI75" s="29"/>
      <c r="AJ75" s="29"/>
      <c r="AK75" s="29"/>
      <c r="AL75" s="29"/>
      <c r="AM75" s="29"/>
      <c r="AN75" s="29"/>
      <c r="AO75" s="29"/>
      <c r="AP75" s="29"/>
      <c r="AQ75" s="278"/>
      <c r="AR75" s="277"/>
      <c r="AS75" s="29"/>
      <c r="AT75" s="29"/>
      <c r="AU75" s="29"/>
      <c r="AV75" s="29"/>
      <c r="AW75" s="29"/>
      <c r="AX75" s="29"/>
      <c r="AY75" s="29"/>
      <c r="AZ75" s="29"/>
      <c r="BA75" s="29"/>
      <c r="BB75" s="278"/>
      <c r="BC75" s="277"/>
      <c r="BD75" s="29"/>
      <c r="BE75" s="29"/>
      <c r="BF75" s="29"/>
      <c r="BG75" s="29"/>
      <c r="BH75" s="29"/>
      <c r="BI75" s="29"/>
      <c r="BJ75" s="29"/>
      <c r="BK75" s="29"/>
      <c r="BL75" s="29"/>
      <c r="BM75" s="278"/>
    </row>
    <row r="76" spans="1:65" ht="13.5" thickTop="1">
      <c r="A76" s="511"/>
      <c r="B76" s="84" t="s">
        <v>194</v>
      </c>
      <c r="C76" s="90" t="s">
        <v>228</v>
      </c>
      <c r="D76" s="439" t="s">
        <v>721</v>
      </c>
      <c r="E76" s="439" t="s">
        <v>722</v>
      </c>
      <c r="F76" s="102" t="s">
        <v>180</v>
      </c>
      <c r="G76" s="111"/>
      <c r="H76" s="111"/>
      <c r="I76" s="487">
        <v>39692</v>
      </c>
      <c r="J76" s="466">
        <v>39753</v>
      </c>
      <c r="K76" s="277"/>
      <c r="L76" s="29"/>
      <c r="M76" s="29">
        <f aca="true" t="shared" si="3" ref="M76:M91">L76*M$2*8</f>
        <v>0</v>
      </c>
      <c r="N76" s="425">
        <v>0.16</v>
      </c>
      <c r="O76" s="425">
        <f>N76*O$2</f>
        <v>17600</v>
      </c>
      <c r="P76" s="425" t="s">
        <v>743</v>
      </c>
      <c r="Q76" s="425">
        <v>0.16</v>
      </c>
      <c r="R76" s="425"/>
      <c r="S76" s="29"/>
      <c r="T76" s="29"/>
      <c r="U76" s="84"/>
      <c r="V76" s="277"/>
      <c r="W76" s="29"/>
      <c r="X76" s="29"/>
      <c r="Y76" s="29"/>
      <c r="Z76" s="29"/>
      <c r="AA76" s="29"/>
      <c r="AB76" s="29"/>
      <c r="AC76" s="29"/>
      <c r="AD76" s="29"/>
      <c r="AE76" s="29"/>
      <c r="AF76" s="278"/>
      <c r="AG76" s="277"/>
      <c r="AH76" s="29"/>
      <c r="AI76" s="29"/>
      <c r="AJ76" s="29"/>
      <c r="AK76" s="29"/>
      <c r="AL76" s="29"/>
      <c r="AM76" s="29"/>
      <c r="AN76" s="29"/>
      <c r="AO76" s="29"/>
      <c r="AP76" s="29"/>
      <c r="AQ76" s="278"/>
      <c r="AR76" s="277"/>
      <c r="AS76" s="29"/>
      <c r="AT76" s="29"/>
      <c r="AU76" s="29"/>
      <c r="AV76" s="29"/>
      <c r="AW76" s="29"/>
      <c r="AX76" s="29"/>
      <c r="AY76" s="29"/>
      <c r="AZ76" s="29"/>
      <c r="BA76" s="29"/>
      <c r="BB76" s="278"/>
      <c r="BC76" s="277"/>
      <c r="BD76" s="29"/>
      <c r="BE76" s="29"/>
      <c r="BF76" s="29"/>
      <c r="BG76" s="29"/>
      <c r="BH76" s="29"/>
      <c r="BI76" s="29"/>
      <c r="BJ76" s="29"/>
      <c r="BK76" s="29"/>
      <c r="BL76" s="29"/>
      <c r="BM76" s="278"/>
    </row>
    <row r="77" spans="1:65" ht="12.75">
      <c r="A77" s="511"/>
      <c r="B77" s="84"/>
      <c r="C77" s="93"/>
      <c r="D77" s="429"/>
      <c r="E77" s="429"/>
      <c r="F77" s="71" t="s">
        <v>182</v>
      </c>
      <c r="G77" s="75"/>
      <c r="H77" s="75"/>
      <c r="I77" s="488"/>
      <c r="J77" s="467"/>
      <c r="K77" s="277"/>
      <c r="L77" s="29"/>
      <c r="M77" s="29">
        <f t="shared" si="3"/>
        <v>0</v>
      </c>
      <c r="N77" s="426"/>
      <c r="O77" s="426"/>
      <c r="P77" s="426"/>
      <c r="Q77" s="426"/>
      <c r="R77" s="426"/>
      <c r="S77" s="29"/>
      <c r="T77" s="29"/>
      <c r="U77" s="84"/>
      <c r="V77" s="277"/>
      <c r="W77" s="29"/>
      <c r="X77" s="29"/>
      <c r="Y77" s="29"/>
      <c r="Z77" s="29"/>
      <c r="AA77" s="29"/>
      <c r="AB77" s="29"/>
      <c r="AC77" s="29"/>
      <c r="AD77" s="29"/>
      <c r="AE77" s="29"/>
      <c r="AF77" s="278"/>
      <c r="AG77" s="277"/>
      <c r="AH77" s="29"/>
      <c r="AI77" s="29"/>
      <c r="AJ77" s="29"/>
      <c r="AK77" s="29"/>
      <c r="AL77" s="29"/>
      <c r="AM77" s="29"/>
      <c r="AN77" s="29"/>
      <c r="AO77" s="29"/>
      <c r="AP77" s="29"/>
      <c r="AQ77" s="278"/>
      <c r="AR77" s="277"/>
      <c r="AS77" s="29"/>
      <c r="AT77" s="29"/>
      <c r="AU77" s="29"/>
      <c r="AV77" s="29"/>
      <c r="AW77" s="29"/>
      <c r="AX77" s="29"/>
      <c r="AY77" s="29"/>
      <c r="AZ77" s="29"/>
      <c r="BA77" s="29"/>
      <c r="BB77" s="278"/>
      <c r="BC77" s="277"/>
      <c r="BD77" s="29"/>
      <c r="BE77" s="29"/>
      <c r="BF77" s="29"/>
      <c r="BG77" s="29"/>
      <c r="BH77" s="29"/>
      <c r="BI77" s="29"/>
      <c r="BJ77" s="29"/>
      <c r="BK77" s="29"/>
      <c r="BL77" s="29"/>
      <c r="BM77" s="278"/>
    </row>
    <row r="78" spans="1:65" ht="12.75">
      <c r="A78" s="511"/>
      <c r="B78" s="84"/>
      <c r="C78" s="93"/>
      <c r="D78" s="429"/>
      <c r="E78" s="429"/>
      <c r="F78" s="71" t="s">
        <v>63</v>
      </c>
      <c r="G78" s="75"/>
      <c r="H78" s="75"/>
      <c r="I78" s="488"/>
      <c r="J78" s="467"/>
      <c r="K78" s="277"/>
      <c r="L78" s="29"/>
      <c r="M78" s="29">
        <f t="shared" si="3"/>
        <v>0</v>
      </c>
      <c r="N78" s="426"/>
      <c r="O78" s="426"/>
      <c r="P78" s="426"/>
      <c r="Q78" s="426"/>
      <c r="R78" s="426"/>
      <c r="S78" s="29"/>
      <c r="T78" s="29"/>
      <c r="U78" s="84"/>
      <c r="V78" s="277"/>
      <c r="W78" s="29"/>
      <c r="X78" s="29"/>
      <c r="Y78" s="29"/>
      <c r="Z78" s="29"/>
      <c r="AA78" s="29"/>
      <c r="AB78" s="29"/>
      <c r="AC78" s="29"/>
      <c r="AD78" s="29"/>
      <c r="AE78" s="29"/>
      <c r="AF78" s="278"/>
      <c r="AG78" s="277"/>
      <c r="AH78" s="29"/>
      <c r="AI78" s="29"/>
      <c r="AJ78" s="29"/>
      <c r="AK78" s="29"/>
      <c r="AL78" s="29"/>
      <c r="AM78" s="29"/>
      <c r="AN78" s="29"/>
      <c r="AO78" s="29"/>
      <c r="AP78" s="29"/>
      <c r="AQ78" s="278"/>
      <c r="AR78" s="277"/>
      <c r="AS78" s="29"/>
      <c r="AT78" s="29"/>
      <c r="AU78" s="29"/>
      <c r="AV78" s="29"/>
      <c r="AW78" s="29"/>
      <c r="AX78" s="29"/>
      <c r="AY78" s="29"/>
      <c r="AZ78" s="29"/>
      <c r="BA78" s="29"/>
      <c r="BB78" s="278"/>
      <c r="BC78" s="277"/>
      <c r="BD78" s="29"/>
      <c r="BE78" s="29"/>
      <c r="BF78" s="29"/>
      <c r="BG78" s="29"/>
      <c r="BH78" s="29"/>
      <c r="BI78" s="29"/>
      <c r="BJ78" s="29"/>
      <c r="BK78" s="29"/>
      <c r="BL78" s="29"/>
      <c r="BM78" s="278"/>
    </row>
    <row r="79" spans="1:65" ht="12.75">
      <c r="A79" s="511"/>
      <c r="B79" s="84"/>
      <c r="C79" s="93"/>
      <c r="D79" s="429"/>
      <c r="E79" s="429"/>
      <c r="F79" s="71" t="s">
        <v>222</v>
      </c>
      <c r="G79" s="75"/>
      <c r="H79" s="75"/>
      <c r="I79" s="488"/>
      <c r="J79" s="467"/>
      <c r="K79" s="277"/>
      <c r="L79" s="29"/>
      <c r="M79" s="29">
        <f t="shared" si="3"/>
        <v>0</v>
      </c>
      <c r="N79" s="426"/>
      <c r="O79" s="426"/>
      <c r="P79" s="426"/>
      <c r="Q79" s="426"/>
      <c r="R79" s="426"/>
      <c r="S79" s="29"/>
      <c r="T79" s="29"/>
      <c r="U79" s="84"/>
      <c r="V79" s="277"/>
      <c r="W79" s="29"/>
      <c r="X79" s="29"/>
      <c r="Y79" s="29"/>
      <c r="Z79" s="29"/>
      <c r="AA79" s="29"/>
      <c r="AB79" s="29"/>
      <c r="AC79" s="29"/>
      <c r="AD79" s="29"/>
      <c r="AE79" s="29"/>
      <c r="AF79" s="278"/>
      <c r="AG79" s="277"/>
      <c r="AH79" s="29"/>
      <c r="AI79" s="29"/>
      <c r="AJ79" s="29"/>
      <c r="AK79" s="29"/>
      <c r="AL79" s="29"/>
      <c r="AM79" s="29"/>
      <c r="AN79" s="29"/>
      <c r="AO79" s="29"/>
      <c r="AP79" s="29"/>
      <c r="AQ79" s="278"/>
      <c r="AR79" s="277"/>
      <c r="AS79" s="29"/>
      <c r="AT79" s="29"/>
      <c r="AU79" s="29"/>
      <c r="AV79" s="29"/>
      <c r="AW79" s="29"/>
      <c r="AX79" s="29"/>
      <c r="AY79" s="29"/>
      <c r="AZ79" s="29"/>
      <c r="BA79" s="29"/>
      <c r="BB79" s="278"/>
      <c r="BC79" s="277"/>
      <c r="BD79" s="29"/>
      <c r="BE79" s="29"/>
      <c r="BF79" s="29"/>
      <c r="BG79" s="29"/>
      <c r="BH79" s="29"/>
      <c r="BI79" s="29"/>
      <c r="BJ79" s="29"/>
      <c r="BK79" s="29"/>
      <c r="BL79" s="29"/>
      <c r="BM79" s="278"/>
    </row>
    <row r="80" spans="1:65" ht="12.75">
      <c r="A80" s="511"/>
      <c r="B80" s="84"/>
      <c r="C80" s="93"/>
      <c r="D80" s="429"/>
      <c r="E80" s="429"/>
      <c r="F80" s="71" t="s">
        <v>221</v>
      </c>
      <c r="G80" s="75"/>
      <c r="H80" s="75"/>
      <c r="I80" s="488"/>
      <c r="J80" s="467"/>
      <c r="K80" s="277"/>
      <c r="L80" s="29"/>
      <c r="M80" s="29">
        <f t="shared" si="3"/>
        <v>0</v>
      </c>
      <c r="N80" s="426"/>
      <c r="O80" s="426"/>
      <c r="P80" s="426"/>
      <c r="Q80" s="426"/>
      <c r="R80" s="426"/>
      <c r="S80" s="29"/>
      <c r="T80" s="29"/>
      <c r="U80" s="84"/>
      <c r="V80" s="277"/>
      <c r="W80" s="29"/>
      <c r="X80" s="29"/>
      <c r="Y80" s="29"/>
      <c r="Z80" s="29"/>
      <c r="AA80" s="29"/>
      <c r="AB80" s="29"/>
      <c r="AC80" s="29"/>
      <c r="AD80" s="29"/>
      <c r="AE80" s="29"/>
      <c r="AF80" s="278"/>
      <c r="AG80" s="277"/>
      <c r="AH80" s="29"/>
      <c r="AI80" s="29"/>
      <c r="AJ80" s="29"/>
      <c r="AK80" s="29"/>
      <c r="AL80" s="29"/>
      <c r="AM80" s="29"/>
      <c r="AN80" s="29"/>
      <c r="AO80" s="29"/>
      <c r="AP80" s="29"/>
      <c r="AQ80" s="278"/>
      <c r="AR80" s="277"/>
      <c r="AS80" s="29"/>
      <c r="AT80" s="29"/>
      <c r="AU80" s="29"/>
      <c r="AV80" s="29"/>
      <c r="AW80" s="29"/>
      <c r="AX80" s="29"/>
      <c r="AY80" s="29"/>
      <c r="AZ80" s="29"/>
      <c r="BA80" s="29"/>
      <c r="BB80" s="278"/>
      <c r="BC80" s="277"/>
      <c r="BD80" s="29"/>
      <c r="BE80" s="29"/>
      <c r="BF80" s="29"/>
      <c r="BG80" s="29"/>
      <c r="BH80" s="29"/>
      <c r="BI80" s="29"/>
      <c r="BJ80" s="29"/>
      <c r="BK80" s="29"/>
      <c r="BL80" s="29"/>
      <c r="BM80" s="278"/>
    </row>
    <row r="81" spans="1:65" ht="12.75">
      <c r="A81" s="511"/>
      <c r="B81" s="84"/>
      <c r="C81" s="93"/>
      <c r="D81" s="429"/>
      <c r="E81" s="429"/>
      <c r="F81" s="71" t="s">
        <v>224</v>
      </c>
      <c r="G81" s="75"/>
      <c r="H81" s="75"/>
      <c r="I81" s="489"/>
      <c r="J81" s="468"/>
      <c r="K81" s="277"/>
      <c r="L81" s="29"/>
      <c r="M81" s="29">
        <f t="shared" si="3"/>
        <v>0</v>
      </c>
      <c r="N81" s="427"/>
      <c r="O81" s="427"/>
      <c r="P81" s="427"/>
      <c r="Q81" s="427"/>
      <c r="R81" s="427"/>
      <c r="S81" s="29"/>
      <c r="T81" s="29"/>
      <c r="U81" s="84"/>
      <c r="V81" s="277"/>
      <c r="W81" s="29"/>
      <c r="X81" s="29"/>
      <c r="Y81" s="29"/>
      <c r="Z81" s="29"/>
      <c r="AA81" s="29"/>
      <c r="AB81" s="29"/>
      <c r="AC81" s="29"/>
      <c r="AD81" s="29"/>
      <c r="AE81" s="29"/>
      <c r="AF81" s="278"/>
      <c r="AG81" s="277"/>
      <c r="AH81" s="29"/>
      <c r="AI81" s="29"/>
      <c r="AJ81" s="29"/>
      <c r="AK81" s="29"/>
      <c r="AL81" s="29"/>
      <c r="AM81" s="29"/>
      <c r="AN81" s="29"/>
      <c r="AO81" s="29"/>
      <c r="AP81" s="29"/>
      <c r="AQ81" s="278"/>
      <c r="AR81" s="277"/>
      <c r="AS81" s="29"/>
      <c r="AT81" s="29"/>
      <c r="AU81" s="29"/>
      <c r="AV81" s="29"/>
      <c r="AW81" s="29"/>
      <c r="AX81" s="29"/>
      <c r="AY81" s="29"/>
      <c r="AZ81" s="29"/>
      <c r="BA81" s="29"/>
      <c r="BB81" s="278"/>
      <c r="BC81" s="277"/>
      <c r="BD81" s="29"/>
      <c r="BE81" s="29"/>
      <c r="BF81" s="29"/>
      <c r="BG81" s="29"/>
      <c r="BH81" s="29"/>
      <c r="BI81" s="29"/>
      <c r="BJ81" s="29"/>
      <c r="BK81" s="29"/>
      <c r="BL81" s="29"/>
      <c r="BM81" s="278"/>
    </row>
    <row r="82" spans="1:65" ht="12.75">
      <c r="A82" s="511"/>
      <c r="B82" s="84"/>
      <c r="C82" s="93" t="s">
        <v>183</v>
      </c>
      <c r="D82" s="429"/>
      <c r="E82" s="429"/>
      <c r="F82" s="71" t="s">
        <v>184</v>
      </c>
      <c r="G82" s="75"/>
      <c r="H82" s="75"/>
      <c r="I82" s="526">
        <v>39753</v>
      </c>
      <c r="J82" s="483">
        <v>39814</v>
      </c>
      <c r="K82" s="277"/>
      <c r="L82" s="29"/>
      <c r="M82" s="29">
        <f t="shared" si="3"/>
        <v>0</v>
      </c>
      <c r="N82" s="425">
        <v>0.16</v>
      </c>
      <c r="O82" s="425">
        <f>N82*O$2</f>
        <v>17600</v>
      </c>
      <c r="P82" s="425" t="s">
        <v>745</v>
      </c>
      <c r="Q82" s="425">
        <v>0.16</v>
      </c>
      <c r="R82" s="425"/>
      <c r="S82" s="29"/>
      <c r="T82" s="29"/>
      <c r="U82" s="84"/>
      <c r="V82" s="277"/>
      <c r="W82" s="29"/>
      <c r="X82" s="29"/>
      <c r="Y82" s="29"/>
      <c r="Z82" s="29"/>
      <c r="AA82" s="29"/>
      <c r="AB82" s="29"/>
      <c r="AC82" s="29"/>
      <c r="AD82" s="29"/>
      <c r="AE82" s="29"/>
      <c r="AF82" s="278"/>
      <c r="AG82" s="277"/>
      <c r="AH82" s="29"/>
      <c r="AI82" s="29"/>
      <c r="AJ82" s="29"/>
      <c r="AK82" s="29"/>
      <c r="AL82" s="29"/>
      <c r="AM82" s="29"/>
      <c r="AN82" s="29"/>
      <c r="AO82" s="29"/>
      <c r="AP82" s="29"/>
      <c r="AQ82" s="278"/>
      <c r="AR82" s="277"/>
      <c r="AS82" s="29"/>
      <c r="AT82" s="29"/>
      <c r="AU82" s="29"/>
      <c r="AV82" s="29"/>
      <c r="AW82" s="29"/>
      <c r="AX82" s="29"/>
      <c r="AY82" s="29"/>
      <c r="AZ82" s="29"/>
      <c r="BA82" s="29"/>
      <c r="BB82" s="278"/>
      <c r="BC82" s="277"/>
      <c r="BD82" s="29"/>
      <c r="BE82" s="29"/>
      <c r="BF82" s="29"/>
      <c r="BG82" s="29"/>
      <c r="BH82" s="29"/>
      <c r="BI82" s="29"/>
      <c r="BJ82" s="29"/>
      <c r="BK82" s="29"/>
      <c r="BL82" s="29"/>
      <c r="BM82" s="278"/>
    </row>
    <row r="83" spans="1:65" ht="12.75">
      <c r="A83" s="511"/>
      <c r="B83" s="84"/>
      <c r="C83" s="93"/>
      <c r="D83" s="429"/>
      <c r="E83" s="429"/>
      <c r="F83" s="71" t="s">
        <v>185</v>
      </c>
      <c r="G83" s="75"/>
      <c r="H83" s="75"/>
      <c r="I83" s="488"/>
      <c r="J83" s="533"/>
      <c r="K83" s="277"/>
      <c r="L83" s="29"/>
      <c r="M83" s="29">
        <f t="shared" si="3"/>
        <v>0</v>
      </c>
      <c r="N83" s="426"/>
      <c r="O83" s="426"/>
      <c r="P83" s="426"/>
      <c r="Q83" s="426"/>
      <c r="R83" s="426"/>
      <c r="S83" s="29"/>
      <c r="T83" s="29"/>
      <c r="U83" s="84"/>
      <c r="V83" s="277"/>
      <c r="W83" s="29"/>
      <c r="X83" s="29"/>
      <c r="Y83" s="29"/>
      <c r="Z83" s="29"/>
      <c r="AA83" s="29"/>
      <c r="AB83" s="29"/>
      <c r="AC83" s="29"/>
      <c r="AD83" s="29"/>
      <c r="AE83" s="29"/>
      <c r="AF83" s="278"/>
      <c r="AG83" s="277"/>
      <c r="AH83" s="29"/>
      <c r="AI83" s="29"/>
      <c r="AJ83" s="29"/>
      <c r="AK83" s="29"/>
      <c r="AL83" s="29"/>
      <c r="AM83" s="29"/>
      <c r="AN83" s="29"/>
      <c r="AO83" s="29"/>
      <c r="AP83" s="29"/>
      <c r="AQ83" s="278"/>
      <c r="AR83" s="277"/>
      <c r="AS83" s="29"/>
      <c r="AT83" s="29"/>
      <c r="AU83" s="29"/>
      <c r="AV83" s="29"/>
      <c r="AW83" s="29"/>
      <c r="AX83" s="29"/>
      <c r="AY83" s="29"/>
      <c r="AZ83" s="29"/>
      <c r="BA83" s="29"/>
      <c r="BB83" s="278"/>
      <c r="BC83" s="277"/>
      <c r="BD83" s="29"/>
      <c r="BE83" s="29"/>
      <c r="BF83" s="29"/>
      <c r="BG83" s="29"/>
      <c r="BH83" s="29"/>
      <c r="BI83" s="29"/>
      <c r="BJ83" s="29"/>
      <c r="BK83" s="29"/>
      <c r="BL83" s="29"/>
      <c r="BM83" s="278"/>
    </row>
    <row r="84" spans="1:65" ht="12.75">
      <c r="A84" s="511"/>
      <c r="B84" s="84"/>
      <c r="C84" s="93"/>
      <c r="D84" s="429"/>
      <c r="E84" s="429"/>
      <c r="F84" s="71" t="s">
        <v>63</v>
      </c>
      <c r="G84" s="75"/>
      <c r="H84" s="75"/>
      <c r="I84" s="488"/>
      <c r="J84" s="533"/>
      <c r="K84" s="277"/>
      <c r="L84" s="29"/>
      <c r="M84" s="29">
        <f t="shared" si="3"/>
        <v>0</v>
      </c>
      <c r="N84" s="426"/>
      <c r="O84" s="426"/>
      <c r="P84" s="426"/>
      <c r="Q84" s="426"/>
      <c r="R84" s="426"/>
      <c r="S84" s="29"/>
      <c r="T84" s="29"/>
      <c r="U84" s="84"/>
      <c r="V84" s="277"/>
      <c r="W84" s="29"/>
      <c r="X84" s="29"/>
      <c r="Y84" s="29"/>
      <c r="Z84" s="29"/>
      <c r="AA84" s="29"/>
      <c r="AB84" s="29"/>
      <c r="AC84" s="29"/>
      <c r="AD84" s="29"/>
      <c r="AE84" s="29"/>
      <c r="AF84" s="278"/>
      <c r="AG84" s="277"/>
      <c r="AH84" s="29"/>
      <c r="AI84" s="29"/>
      <c r="AJ84" s="29"/>
      <c r="AK84" s="29"/>
      <c r="AL84" s="29"/>
      <c r="AM84" s="29"/>
      <c r="AN84" s="29"/>
      <c r="AO84" s="29"/>
      <c r="AP84" s="29"/>
      <c r="AQ84" s="278"/>
      <c r="AR84" s="277"/>
      <c r="AS84" s="29"/>
      <c r="AT84" s="29"/>
      <c r="AU84" s="29"/>
      <c r="AV84" s="29"/>
      <c r="AW84" s="29"/>
      <c r="AX84" s="29"/>
      <c r="AY84" s="29"/>
      <c r="AZ84" s="29"/>
      <c r="BA84" s="29"/>
      <c r="BB84" s="278"/>
      <c r="BC84" s="277"/>
      <c r="BD84" s="29"/>
      <c r="BE84" s="29"/>
      <c r="BF84" s="29"/>
      <c r="BG84" s="29"/>
      <c r="BH84" s="29"/>
      <c r="BI84" s="29"/>
      <c r="BJ84" s="29"/>
      <c r="BK84" s="29"/>
      <c r="BL84" s="29"/>
      <c r="BM84" s="278"/>
    </row>
    <row r="85" spans="1:65" ht="12.75">
      <c r="A85" s="511"/>
      <c r="B85" s="84"/>
      <c r="C85" s="93"/>
      <c r="D85" s="429"/>
      <c r="E85" s="429"/>
      <c r="F85" s="71" t="s">
        <v>223</v>
      </c>
      <c r="G85" s="75"/>
      <c r="H85" s="75"/>
      <c r="I85" s="488"/>
      <c r="J85" s="533"/>
      <c r="K85" s="277"/>
      <c r="L85" s="29"/>
      <c r="M85" s="29">
        <f t="shared" si="3"/>
        <v>0</v>
      </c>
      <c r="N85" s="426"/>
      <c r="O85" s="426"/>
      <c r="P85" s="426"/>
      <c r="Q85" s="426"/>
      <c r="R85" s="426"/>
      <c r="S85" s="29"/>
      <c r="T85" s="29"/>
      <c r="U85" s="84"/>
      <c r="V85" s="277"/>
      <c r="W85" s="29"/>
      <c r="X85" s="29"/>
      <c r="Y85" s="29"/>
      <c r="Z85" s="29"/>
      <c r="AA85" s="29"/>
      <c r="AB85" s="29"/>
      <c r="AC85" s="29"/>
      <c r="AD85" s="29"/>
      <c r="AE85" s="29"/>
      <c r="AF85" s="278"/>
      <c r="AG85" s="277"/>
      <c r="AH85" s="29"/>
      <c r="AI85" s="29"/>
      <c r="AJ85" s="29"/>
      <c r="AK85" s="29"/>
      <c r="AL85" s="29"/>
      <c r="AM85" s="29"/>
      <c r="AN85" s="29"/>
      <c r="AO85" s="29"/>
      <c r="AP85" s="29"/>
      <c r="AQ85" s="278"/>
      <c r="AR85" s="277"/>
      <c r="AS85" s="29"/>
      <c r="AT85" s="29"/>
      <c r="AU85" s="29"/>
      <c r="AV85" s="29"/>
      <c r="AW85" s="29"/>
      <c r="AX85" s="29"/>
      <c r="AY85" s="29"/>
      <c r="AZ85" s="29"/>
      <c r="BA85" s="29"/>
      <c r="BB85" s="278"/>
      <c r="BC85" s="277"/>
      <c r="BD85" s="29"/>
      <c r="BE85" s="29"/>
      <c r="BF85" s="29"/>
      <c r="BG85" s="29"/>
      <c r="BH85" s="29"/>
      <c r="BI85" s="29"/>
      <c r="BJ85" s="29"/>
      <c r="BK85" s="29"/>
      <c r="BL85" s="29"/>
      <c r="BM85" s="278"/>
    </row>
    <row r="86" spans="1:65" ht="12.75">
      <c r="A86" s="511"/>
      <c r="B86" s="84"/>
      <c r="C86" s="93" t="s">
        <v>87</v>
      </c>
      <c r="D86" s="429"/>
      <c r="E86" s="429"/>
      <c r="F86" s="71" t="s">
        <v>225</v>
      </c>
      <c r="G86" s="75"/>
      <c r="H86" s="75"/>
      <c r="I86" s="489"/>
      <c r="J86" s="534"/>
      <c r="K86" s="277"/>
      <c r="L86" s="29"/>
      <c r="M86" s="29">
        <f t="shared" si="3"/>
        <v>0</v>
      </c>
      <c r="N86" s="427"/>
      <c r="O86" s="427"/>
      <c r="P86" s="427"/>
      <c r="Q86" s="427"/>
      <c r="R86" s="427"/>
      <c r="S86" s="29"/>
      <c r="T86" s="29"/>
      <c r="U86" s="84"/>
      <c r="V86" s="277"/>
      <c r="W86" s="29"/>
      <c r="X86" s="29"/>
      <c r="Y86" s="29"/>
      <c r="Z86" s="29"/>
      <c r="AA86" s="29"/>
      <c r="AB86" s="29"/>
      <c r="AC86" s="29"/>
      <c r="AD86" s="29"/>
      <c r="AE86" s="29"/>
      <c r="AF86" s="278"/>
      <c r="AG86" s="277"/>
      <c r="AH86" s="29"/>
      <c r="AI86" s="29"/>
      <c r="AJ86" s="29"/>
      <c r="AK86" s="29"/>
      <c r="AL86" s="29"/>
      <c r="AM86" s="29"/>
      <c r="AN86" s="29"/>
      <c r="AO86" s="29"/>
      <c r="AP86" s="29"/>
      <c r="AQ86" s="278"/>
      <c r="AR86" s="277"/>
      <c r="AS86" s="29"/>
      <c r="AT86" s="29"/>
      <c r="AU86" s="29"/>
      <c r="AV86" s="29"/>
      <c r="AW86" s="29"/>
      <c r="AX86" s="29"/>
      <c r="AY86" s="29"/>
      <c r="AZ86" s="29"/>
      <c r="BA86" s="29"/>
      <c r="BB86" s="278"/>
      <c r="BC86" s="277"/>
      <c r="BD86" s="29"/>
      <c r="BE86" s="29"/>
      <c r="BF86" s="29"/>
      <c r="BG86" s="29"/>
      <c r="BH86" s="29"/>
      <c r="BI86" s="29"/>
      <c r="BJ86" s="29"/>
      <c r="BK86" s="29"/>
      <c r="BL86" s="29"/>
      <c r="BM86" s="278"/>
    </row>
    <row r="87" spans="1:65" ht="12.75">
      <c r="A87" s="511"/>
      <c r="B87" s="84"/>
      <c r="C87" s="93"/>
      <c r="D87" s="429"/>
      <c r="E87" s="429"/>
      <c r="F87" s="93" t="s">
        <v>73</v>
      </c>
      <c r="G87" s="75"/>
      <c r="H87" s="75"/>
      <c r="I87" s="82">
        <v>39814</v>
      </c>
      <c r="J87" s="263">
        <v>39845</v>
      </c>
      <c r="K87" s="277"/>
      <c r="L87" s="29"/>
      <c r="M87" s="290">
        <f t="shared" si="3"/>
        <v>0</v>
      </c>
      <c r="N87" s="290"/>
      <c r="O87" s="290"/>
      <c r="P87" s="290"/>
      <c r="Q87" s="290"/>
      <c r="R87" s="290"/>
      <c r="S87" s="29"/>
      <c r="T87" s="29"/>
      <c r="U87" s="84"/>
      <c r="V87" s="277"/>
      <c r="W87" s="29"/>
      <c r="X87" s="29"/>
      <c r="Y87" s="425">
        <v>0.4</v>
      </c>
      <c r="Z87" s="425">
        <f>Y87*Z$2</f>
        <v>44880</v>
      </c>
      <c r="AA87" s="425" t="s">
        <v>745</v>
      </c>
      <c r="AB87" s="425">
        <v>0.32</v>
      </c>
      <c r="AC87" s="425"/>
      <c r="AD87" s="29"/>
      <c r="AE87" s="29"/>
      <c r="AF87" s="278"/>
      <c r="AG87" s="277"/>
      <c r="AH87" s="29"/>
      <c r="AI87" s="29"/>
      <c r="AJ87" s="29"/>
      <c r="AK87" s="29"/>
      <c r="AL87" s="29"/>
      <c r="AM87" s="29"/>
      <c r="AN87" s="29"/>
      <c r="AO87" s="29"/>
      <c r="AP87" s="29"/>
      <c r="AQ87" s="278"/>
      <c r="AR87" s="277"/>
      <c r="AS87" s="29"/>
      <c r="AT87" s="29"/>
      <c r="AU87" s="29"/>
      <c r="AV87" s="29"/>
      <c r="AW87" s="29"/>
      <c r="AX87" s="29"/>
      <c r="AY87" s="29"/>
      <c r="AZ87" s="29"/>
      <c r="BA87" s="29"/>
      <c r="BB87" s="278"/>
      <c r="BC87" s="277"/>
      <c r="BD87" s="29"/>
      <c r="BE87" s="29"/>
      <c r="BF87" s="29"/>
      <c r="BG87" s="29"/>
      <c r="BH87" s="29"/>
      <c r="BI87" s="29"/>
      <c r="BJ87" s="29"/>
      <c r="BK87" s="29"/>
      <c r="BL87" s="29"/>
      <c r="BM87" s="278"/>
    </row>
    <row r="88" spans="1:65" ht="12.75">
      <c r="A88" s="511"/>
      <c r="B88" s="84"/>
      <c r="C88" s="93"/>
      <c r="D88" s="429"/>
      <c r="E88" s="429"/>
      <c r="F88" s="93" t="s">
        <v>751</v>
      </c>
      <c r="G88" s="75"/>
      <c r="H88" s="75"/>
      <c r="I88" s="82">
        <v>39814</v>
      </c>
      <c r="J88" s="263">
        <v>39934</v>
      </c>
      <c r="K88" s="277"/>
      <c r="L88" s="29"/>
      <c r="M88" s="290"/>
      <c r="N88" s="290"/>
      <c r="O88" s="290"/>
      <c r="P88" s="290"/>
      <c r="Q88" s="290"/>
      <c r="R88" s="290"/>
      <c r="S88" s="29"/>
      <c r="T88" s="29"/>
      <c r="U88" s="84"/>
      <c r="V88" s="331">
        <f>'component cost estimation jens'!I21</f>
        <v>15000</v>
      </c>
      <c r="W88" s="29"/>
      <c r="X88" s="29"/>
      <c r="Y88" s="426"/>
      <c r="Z88" s="426"/>
      <c r="AA88" s="426"/>
      <c r="AB88" s="426"/>
      <c r="AC88" s="426"/>
      <c r="AD88" s="29"/>
      <c r="AE88" s="29"/>
      <c r="AF88" s="278"/>
      <c r="AG88" s="277"/>
      <c r="AH88" s="29"/>
      <c r="AI88" s="29"/>
      <c r="AJ88" s="29"/>
      <c r="AK88" s="29"/>
      <c r="AL88" s="29"/>
      <c r="AM88" s="29"/>
      <c r="AN88" s="29"/>
      <c r="AO88" s="29"/>
      <c r="AP88" s="29"/>
      <c r="AQ88" s="278"/>
      <c r="AR88" s="277"/>
      <c r="AS88" s="29"/>
      <c r="AT88" s="29"/>
      <c r="AU88" s="29"/>
      <c r="AV88" s="29"/>
      <c r="AW88" s="29"/>
      <c r="AX88" s="29"/>
      <c r="AY88" s="29"/>
      <c r="AZ88" s="29"/>
      <c r="BA88" s="29"/>
      <c r="BB88" s="278"/>
      <c r="BC88" s="277"/>
      <c r="BD88" s="29"/>
      <c r="BE88" s="29"/>
      <c r="BF88" s="29"/>
      <c r="BG88" s="29"/>
      <c r="BH88" s="29"/>
      <c r="BI88" s="29"/>
      <c r="BJ88" s="29"/>
      <c r="BK88" s="29"/>
      <c r="BL88" s="29"/>
      <c r="BM88" s="278"/>
    </row>
    <row r="89" spans="1:65" ht="12.75">
      <c r="A89" s="511"/>
      <c r="B89" s="84"/>
      <c r="C89" s="93"/>
      <c r="D89" s="430"/>
      <c r="E89" s="430"/>
      <c r="F89" s="93" t="s">
        <v>746</v>
      </c>
      <c r="G89" s="75"/>
      <c r="H89" s="75"/>
      <c r="I89" s="82">
        <v>39845</v>
      </c>
      <c r="J89" s="263">
        <v>39873</v>
      </c>
      <c r="K89" s="277"/>
      <c r="L89" s="29"/>
      <c r="M89" s="290">
        <f t="shared" si="3"/>
        <v>0</v>
      </c>
      <c r="N89" s="290"/>
      <c r="O89" s="290"/>
      <c r="P89" s="290"/>
      <c r="Q89" s="290"/>
      <c r="R89" s="290"/>
      <c r="S89" s="29"/>
      <c r="T89" s="29"/>
      <c r="U89" s="84"/>
      <c r="V89" s="277"/>
      <c r="W89" s="29"/>
      <c r="X89" s="29"/>
      <c r="Y89" s="426"/>
      <c r="Z89" s="426"/>
      <c r="AA89" s="426"/>
      <c r="AB89" s="426"/>
      <c r="AC89" s="426"/>
      <c r="AD89" s="29"/>
      <c r="AE89" s="29"/>
      <c r="AF89" s="278"/>
      <c r="AG89" s="277"/>
      <c r="AH89" s="29"/>
      <c r="AI89" s="29"/>
      <c r="AJ89" s="29"/>
      <c r="AK89" s="29"/>
      <c r="AL89" s="29"/>
      <c r="AM89" s="29"/>
      <c r="AN89" s="29"/>
      <c r="AO89" s="29"/>
      <c r="AP89" s="29"/>
      <c r="AQ89" s="278"/>
      <c r="AR89" s="277"/>
      <c r="AS89" s="29"/>
      <c r="AT89" s="29"/>
      <c r="AU89" s="29"/>
      <c r="AV89" s="29"/>
      <c r="AW89" s="29"/>
      <c r="AX89" s="29"/>
      <c r="AY89" s="29"/>
      <c r="AZ89" s="29"/>
      <c r="BA89" s="29"/>
      <c r="BB89" s="278"/>
      <c r="BC89" s="277"/>
      <c r="BD89" s="29"/>
      <c r="BE89" s="29"/>
      <c r="BF89" s="29"/>
      <c r="BG89" s="29"/>
      <c r="BH89" s="29"/>
      <c r="BI89" s="29"/>
      <c r="BJ89" s="29"/>
      <c r="BK89" s="29"/>
      <c r="BL89" s="29"/>
      <c r="BM89" s="278"/>
    </row>
    <row r="90" spans="1:65" ht="12.75">
      <c r="A90" s="511"/>
      <c r="B90" s="84"/>
      <c r="C90" s="93" t="s">
        <v>226</v>
      </c>
      <c r="D90" s="428" t="s">
        <v>723</v>
      </c>
      <c r="E90" s="428" t="s">
        <v>725</v>
      </c>
      <c r="F90" s="93" t="s">
        <v>291</v>
      </c>
      <c r="G90" s="75"/>
      <c r="H90" s="75"/>
      <c r="I90" s="82">
        <v>39845</v>
      </c>
      <c r="J90" s="263">
        <v>39873</v>
      </c>
      <c r="K90" s="277"/>
      <c r="L90" s="29"/>
      <c r="M90" s="290">
        <f t="shared" si="3"/>
        <v>0</v>
      </c>
      <c r="N90" s="290"/>
      <c r="O90" s="290"/>
      <c r="P90" s="290"/>
      <c r="Q90" s="290"/>
      <c r="R90" s="290"/>
      <c r="S90" s="29"/>
      <c r="T90" s="29"/>
      <c r="U90" s="84"/>
      <c r="V90" s="277"/>
      <c r="W90" s="29"/>
      <c r="X90" s="29"/>
      <c r="Y90" s="326">
        <v>0.04</v>
      </c>
      <c r="Z90" s="326"/>
      <c r="AA90" s="326" t="s">
        <v>745</v>
      </c>
      <c r="AB90" s="326">
        <v>0.04</v>
      </c>
      <c r="AC90" s="427"/>
      <c r="AD90" s="29"/>
      <c r="AE90" s="29"/>
      <c r="AF90" s="278"/>
      <c r="AG90" s="277"/>
      <c r="AH90" s="29"/>
      <c r="AI90" s="29"/>
      <c r="AJ90" s="29"/>
      <c r="AK90" s="29"/>
      <c r="AL90" s="29"/>
      <c r="AM90" s="29"/>
      <c r="AN90" s="29"/>
      <c r="AO90" s="29"/>
      <c r="AP90" s="29"/>
      <c r="AQ90" s="278"/>
      <c r="AR90" s="277"/>
      <c r="AS90" s="29"/>
      <c r="AT90" s="29"/>
      <c r="AU90" s="29"/>
      <c r="AV90" s="29"/>
      <c r="AW90" s="29"/>
      <c r="AX90" s="29"/>
      <c r="AY90" s="29"/>
      <c r="AZ90" s="29"/>
      <c r="BA90" s="29"/>
      <c r="BB90" s="278"/>
      <c r="BC90" s="277"/>
      <c r="BD90" s="29"/>
      <c r="BE90" s="29"/>
      <c r="BF90" s="29"/>
      <c r="BG90" s="29"/>
      <c r="BH90" s="29"/>
      <c r="BI90" s="29"/>
      <c r="BJ90" s="29"/>
      <c r="BK90" s="29"/>
      <c r="BL90" s="29"/>
      <c r="BM90" s="278"/>
    </row>
    <row r="91" spans="1:65" ht="12.75">
      <c r="A91" s="511"/>
      <c r="B91" s="84"/>
      <c r="C91" s="93"/>
      <c r="D91" s="429"/>
      <c r="E91" s="429"/>
      <c r="F91" s="93" t="s">
        <v>226</v>
      </c>
      <c r="G91" s="75"/>
      <c r="H91" s="75"/>
      <c r="I91" s="82">
        <v>39873</v>
      </c>
      <c r="J91" s="263">
        <v>39934</v>
      </c>
      <c r="K91" s="277"/>
      <c r="L91" s="29"/>
      <c r="M91" s="29">
        <f t="shared" si="3"/>
        <v>0</v>
      </c>
      <c r="N91" s="29"/>
      <c r="O91" s="29">
        <f aca="true" t="shared" si="4" ref="O91:O96">N91*O$2</f>
        <v>0</v>
      </c>
      <c r="P91" s="29"/>
      <c r="Q91" s="29"/>
      <c r="R91" s="29"/>
      <c r="S91" s="29"/>
      <c r="T91" s="29"/>
      <c r="U91" s="84"/>
      <c r="V91" s="277"/>
      <c r="W91" s="29"/>
      <c r="X91" s="29"/>
      <c r="Y91" s="29">
        <v>0.08</v>
      </c>
      <c r="Z91" s="29"/>
      <c r="AA91" s="326" t="s">
        <v>745</v>
      </c>
      <c r="AB91" s="29">
        <v>0.04</v>
      </c>
      <c r="AC91" s="29"/>
      <c r="AD91" s="29"/>
      <c r="AE91" s="29"/>
      <c r="AF91" s="278"/>
      <c r="AG91" s="277"/>
      <c r="AH91" s="29"/>
      <c r="AI91" s="29"/>
      <c r="AJ91" s="29"/>
      <c r="AK91" s="29"/>
      <c r="AL91" s="29"/>
      <c r="AM91" s="29"/>
      <c r="AN91" s="29"/>
      <c r="AO91" s="29"/>
      <c r="AP91" s="29"/>
      <c r="AQ91" s="278"/>
      <c r="AR91" s="277"/>
      <c r="AS91" s="29"/>
      <c r="AT91" s="29"/>
      <c r="AU91" s="29"/>
      <c r="AV91" s="29"/>
      <c r="AW91" s="29"/>
      <c r="AX91" s="29"/>
      <c r="AY91" s="29"/>
      <c r="AZ91" s="29"/>
      <c r="BA91" s="29"/>
      <c r="BB91" s="278"/>
      <c r="BC91" s="277"/>
      <c r="BD91" s="29"/>
      <c r="BE91" s="29"/>
      <c r="BF91" s="29"/>
      <c r="BG91" s="29"/>
      <c r="BH91" s="29"/>
      <c r="BI91" s="29"/>
      <c r="BJ91" s="29"/>
      <c r="BK91" s="29"/>
      <c r="BL91" s="29"/>
      <c r="BM91" s="278"/>
    </row>
    <row r="92" spans="1:65" ht="12.75">
      <c r="A92" s="511"/>
      <c r="B92" s="84"/>
      <c r="C92" s="119"/>
      <c r="D92" s="429"/>
      <c r="E92" s="429"/>
      <c r="F92" s="119" t="s">
        <v>59</v>
      </c>
      <c r="G92" s="75"/>
      <c r="H92" s="75"/>
      <c r="I92" s="82">
        <v>39814</v>
      </c>
      <c r="J92" s="263">
        <v>39934</v>
      </c>
      <c r="K92" s="277"/>
      <c r="L92" s="29"/>
      <c r="M92" s="29">
        <f aca="true" t="shared" si="5" ref="M92:M97">L92*M$2*8</f>
        <v>0</v>
      </c>
      <c r="N92" s="29"/>
      <c r="O92" s="29">
        <f t="shared" si="4"/>
        <v>0</v>
      </c>
      <c r="P92" s="29"/>
      <c r="Q92" s="29"/>
      <c r="R92" s="29"/>
      <c r="S92" s="29"/>
      <c r="T92" s="29"/>
      <c r="U92" s="84"/>
      <c r="V92" s="277">
        <v>40000</v>
      </c>
      <c r="W92" s="29"/>
      <c r="X92" s="29"/>
      <c r="Y92" s="29"/>
      <c r="Z92" s="29"/>
      <c r="AA92" s="29"/>
      <c r="AB92" s="29"/>
      <c r="AC92" s="29"/>
      <c r="AD92" s="29"/>
      <c r="AE92" s="29"/>
      <c r="AF92" s="278"/>
      <c r="AG92" s="277"/>
      <c r="AH92" s="29"/>
      <c r="AI92" s="29"/>
      <c r="AJ92" s="29"/>
      <c r="AK92" s="29"/>
      <c r="AL92" s="29"/>
      <c r="AM92" s="29"/>
      <c r="AN92" s="29"/>
      <c r="AO92" s="29"/>
      <c r="AP92" s="29"/>
      <c r="AQ92" s="278"/>
      <c r="AR92" s="277"/>
      <c r="AS92" s="29"/>
      <c r="AT92" s="29"/>
      <c r="AU92" s="29"/>
      <c r="AV92" s="29"/>
      <c r="AW92" s="29"/>
      <c r="AX92" s="29"/>
      <c r="AY92" s="29"/>
      <c r="AZ92" s="29"/>
      <c r="BA92" s="29"/>
      <c r="BB92" s="278"/>
      <c r="BC92" s="277"/>
      <c r="BD92" s="29"/>
      <c r="BE92" s="29"/>
      <c r="BF92" s="29"/>
      <c r="BG92" s="29"/>
      <c r="BH92" s="29"/>
      <c r="BI92" s="29"/>
      <c r="BJ92" s="29"/>
      <c r="BK92" s="29"/>
      <c r="BL92" s="29"/>
      <c r="BM92" s="278"/>
    </row>
    <row r="93" spans="1:65" ht="12.75">
      <c r="A93" s="511"/>
      <c r="B93" s="84"/>
      <c r="C93" s="93"/>
      <c r="D93" s="429"/>
      <c r="E93" s="429"/>
      <c r="F93" s="93" t="s">
        <v>229</v>
      </c>
      <c r="G93" s="75"/>
      <c r="H93" s="75"/>
      <c r="I93" s="79">
        <v>39722</v>
      </c>
      <c r="J93" s="263">
        <v>39934</v>
      </c>
      <c r="K93" s="277"/>
      <c r="L93" s="29"/>
      <c r="M93" s="29">
        <f t="shared" si="5"/>
        <v>0</v>
      </c>
      <c r="N93" s="29"/>
      <c r="O93" s="29">
        <f t="shared" si="4"/>
        <v>0</v>
      </c>
      <c r="P93" s="29"/>
      <c r="Q93" s="29"/>
      <c r="R93" s="29"/>
      <c r="S93" s="29"/>
      <c r="T93" s="29"/>
      <c r="U93" s="84"/>
      <c r="V93" s="277"/>
      <c r="W93" s="29"/>
      <c r="X93" s="29"/>
      <c r="Y93" s="29"/>
      <c r="Z93" s="29"/>
      <c r="AA93" s="29" t="s">
        <v>747</v>
      </c>
      <c r="AB93" s="29">
        <v>0.08</v>
      </c>
      <c r="AC93" s="29"/>
      <c r="AD93" s="29"/>
      <c r="AE93" s="29"/>
      <c r="AF93" s="278"/>
      <c r="AG93" s="277"/>
      <c r="AH93" s="29"/>
      <c r="AI93" s="29"/>
      <c r="AJ93" s="29"/>
      <c r="AK93" s="29"/>
      <c r="AL93" s="29"/>
      <c r="AM93" s="29"/>
      <c r="AN93" s="29"/>
      <c r="AO93" s="29"/>
      <c r="AP93" s="29"/>
      <c r="AQ93" s="278"/>
      <c r="AR93" s="277"/>
      <c r="AS93" s="29"/>
      <c r="AT93" s="29"/>
      <c r="AU93" s="29"/>
      <c r="AV93" s="29"/>
      <c r="AW93" s="29"/>
      <c r="AX93" s="29"/>
      <c r="AY93" s="29"/>
      <c r="AZ93" s="29"/>
      <c r="BA93" s="29"/>
      <c r="BB93" s="278"/>
      <c r="BC93" s="277"/>
      <c r="BD93" s="29"/>
      <c r="BE93" s="29"/>
      <c r="BF93" s="29"/>
      <c r="BG93" s="29"/>
      <c r="BH93" s="29"/>
      <c r="BI93" s="29"/>
      <c r="BJ93" s="29"/>
      <c r="BK93" s="29"/>
      <c r="BL93" s="29"/>
      <c r="BM93" s="278"/>
    </row>
    <row r="94" spans="1:65" ht="13.5" thickBot="1">
      <c r="A94" s="511"/>
      <c r="B94" s="84"/>
      <c r="C94" s="120"/>
      <c r="D94" s="445"/>
      <c r="E94" s="445"/>
      <c r="F94" s="120" t="s">
        <v>234</v>
      </c>
      <c r="G94" s="96"/>
      <c r="H94" s="96"/>
      <c r="I94" s="121">
        <v>39934</v>
      </c>
      <c r="J94" s="262">
        <v>39965</v>
      </c>
      <c r="K94" s="277"/>
      <c r="L94" s="29"/>
      <c r="M94" s="29">
        <f t="shared" si="5"/>
        <v>0</v>
      </c>
      <c r="N94" s="29"/>
      <c r="O94" s="29">
        <f t="shared" si="4"/>
        <v>0</v>
      </c>
      <c r="P94" s="29"/>
      <c r="Q94" s="29"/>
      <c r="R94" s="29"/>
      <c r="S94" s="29"/>
      <c r="T94" s="29"/>
      <c r="U94" s="84"/>
      <c r="V94" s="277"/>
      <c r="W94" s="29"/>
      <c r="X94" s="29"/>
      <c r="Y94" s="29"/>
      <c r="Z94" s="29"/>
      <c r="AA94" s="29" t="s">
        <v>745</v>
      </c>
      <c r="AB94" s="29">
        <v>0.04</v>
      </c>
      <c r="AC94" s="29"/>
      <c r="AD94" s="29"/>
      <c r="AE94" s="29"/>
      <c r="AF94" s="278"/>
      <c r="AG94" s="277"/>
      <c r="AH94" s="29"/>
      <c r="AI94" s="29"/>
      <c r="AJ94" s="29"/>
      <c r="AK94" s="29"/>
      <c r="AL94" s="29"/>
      <c r="AM94" s="29"/>
      <c r="AN94" s="29"/>
      <c r="AO94" s="29"/>
      <c r="AP94" s="29"/>
      <c r="AQ94" s="278"/>
      <c r="AR94" s="277"/>
      <c r="AS94" s="29"/>
      <c r="AT94" s="29"/>
      <c r="AU94" s="29"/>
      <c r="AV94" s="29"/>
      <c r="AW94" s="29"/>
      <c r="AX94" s="29"/>
      <c r="AY94" s="29"/>
      <c r="AZ94" s="29"/>
      <c r="BA94" s="29"/>
      <c r="BB94" s="278"/>
      <c r="BC94" s="277"/>
      <c r="BD94" s="29"/>
      <c r="BE94" s="29"/>
      <c r="BF94" s="29"/>
      <c r="BG94" s="29"/>
      <c r="BH94" s="29"/>
      <c r="BI94" s="29"/>
      <c r="BJ94" s="29"/>
      <c r="BK94" s="29"/>
      <c r="BL94" s="29"/>
      <c r="BM94" s="278"/>
    </row>
    <row r="95" spans="1:65" ht="14.25" thickBot="1" thickTop="1">
      <c r="A95" s="511"/>
      <c r="B95" s="29"/>
      <c r="C95" s="106"/>
      <c r="D95" s="108"/>
      <c r="E95" s="108"/>
      <c r="F95" s="107"/>
      <c r="G95" s="108"/>
      <c r="H95" s="108"/>
      <c r="I95" s="78"/>
      <c r="J95" s="265"/>
      <c r="K95" s="277"/>
      <c r="L95" s="29"/>
      <c r="M95" s="29">
        <f t="shared" si="5"/>
        <v>0</v>
      </c>
      <c r="N95" s="29"/>
      <c r="O95" s="29">
        <f t="shared" si="4"/>
        <v>0</v>
      </c>
      <c r="P95" s="29"/>
      <c r="Q95" s="29"/>
      <c r="R95" s="29"/>
      <c r="S95" s="29"/>
      <c r="T95" s="29"/>
      <c r="U95" s="84"/>
      <c r="V95" s="277"/>
      <c r="W95" s="29"/>
      <c r="X95" s="29"/>
      <c r="Y95" s="29"/>
      <c r="Z95" s="29"/>
      <c r="AA95" s="29"/>
      <c r="AB95" s="29"/>
      <c r="AC95" s="29"/>
      <c r="AD95" s="29"/>
      <c r="AE95" s="29"/>
      <c r="AF95" s="278"/>
      <c r="AG95" s="277"/>
      <c r="AH95" s="29"/>
      <c r="AI95" s="29"/>
      <c r="AJ95" s="29"/>
      <c r="AK95" s="29"/>
      <c r="AL95" s="29"/>
      <c r="AM95" s="29"/>
      <c r="AN95" s="29"/>
      <c r="AO95" s="29"/>
      <c r="AP95" s="29"/>
      <c r="AQ95" s="278"/>
      <c r="AR95" s="277"/>
      <c r="AS95" s="29"/>
      <c r="AT95" s="29"/>
      <c r="AU95" s="29"/>
      <c r="AV95" s="29"/>
      <c r="AW95" s="29"/>
      <c r="AX95" s="29"/>
      <c r="AY95" s="29"/>
      <c r="AZ95" s="29"/>
      <c r="BA95" s="29"/>
      <c r="BB95" s="278"/>
      <c r="BC95" s="277"/>
      <c r="BD95" s="29"/>
      <c r="BE95" s="29"/>
      <c r="BF95" s="29"/>
      <c r="BG95" s="29"/>
      <c r="BH95" s="29"/>
      <c r="BI95" s="29"/>
      <c r="BJ95" s="29"/>
      <c r="BK95" s="29"/>
      <c r="BL95" s="29"/>
      <c r="BM95" s="278"/>
    </row>
    <row r="96" spans="1:65" ht="14.25" thickBot="1" thickTop="1">
      <c r="A96" s="543" t="s">
        <v>231</v>
      </c>
      <c r="B96" s="83" t="s">
        <v>235</v>
      </c>
      <c r="C96" s="311" t="s">
        <v>232</v>
      </c>
      <c r="D96" s="109" t="s">
        <v>726</v>
      </c>
      <c r="E96" s="109" t="s">
        <v>727</v>
      </c>
      <c r="F96" s="100"/>
      <c r="G96" s="109" t="s">
        <v>307</v>
      </c>
      <c r="H96" s="109"/>
      <c r="I96" s="122">
        <v>39479</v>
      </c>
      <c r="J96" s="283">
        <v>40452</v>
      </c>
      <c r="K96" s="277"/>
      <c r="L96" s="29">
        <v>60</v>
      </c>
      <c r="M96" s="29">
        <f t="shared" si="5"/>
        <v>24480</v>
      </c>
      <c r="N96" s="29"/>
      <c r="O96" s="29">
        <f t="shared" si="4"/>
        <v>0</v>
      </c>
      <c r="P96" s="30"/>
      <c r="Q96" s="29"/>
      <c r="R96" s="29"/>
      <c r="S96" s="29"/>
      <c r="T96" s="29"/>
      <c r="U96" s="84"/>
      <c r="V96" s="277"/>
      <c r="W96" s="29">
        <v>80</v>
      </c>
      <c r="X96" s="29">
        <f>W96*8*51</f>
        <v>32640</v>
      </c>
      <c r="Y96" s="29"/>
      <c r="Z96" s="29"/>
      <c r="AA96" s="30"/>
      <c r="AB96" s="29"/>
      <c r="AC96" s="29"/>
      <c r="AD96" s="29"/>
      <c r="AE96" s="29"/>
      <c r="AF96" s="278"/>
      <c r="AG96" s="277"/>
      <c r="AH96" s="29">
        <v>90</v>
      </c>
      <c r="AI96" s="29">
        <f>AH96*8*51</f>
        <v>36720</v>
      </c>
      <c r="AJ96" s="29"/>
      <c r="AK96" s="29"/>
      <c r="AL96" s="30"/>
      <c r="AM96" s="29"/>
      <c r="AN96" s="29"/>
      <c r="AO96" s="29"/>
      <c r="AP96" s="29"/>
      <c r="AQ96" s="278"/>
      <c r="AR96" s="277"/>
      <c r="AS96" s="29">
        <v>60</v>
      </c>
      <c r="AT96" s="29">
        <f>AS96*8*51</f>
        <v>24480</v>
      </c>
      <c r="AU96" s="29"/>
      <c r="AV96" s="29"/>
      <c r="AW96" s="30"/>
      <c r="AX96" s="29"/>
      <c r="AY96" s="29"/>
      <c r="AZ96" s="29"/>
      <c r="BA96" s="29"/>
      <c r="BB96" s="278"/>
      <c r="BC96" s="277"/>
      <c r="BD96" s="29">
        <v>60</v>
      </c>
      <c r="BE96" s="29">
        <f>BD96*8*51</f>
        <v>24480</v>
      </c>
      <c r="BF96" s="29"/>
      <c r="BG96" s="29"/>
      <c r="BH96" s="30"/>
      <c r="BI96" s="29"/>
      <c r="BJ96" s="29"/>
      <c r="BK96" s="29"/>
      <c r="BL96" s="29"/>
      <c r="BM96" s="278"/>
    </row>
    <row r="97" spans="1:65" ht="14.25" thickBot="1" thickTop="1">
      <c r="A97" s="544"/>
      <c r="B97" s="29"/>
      <c r="C97" s="106"/>
      <c r="D97" s="108"/>
      <c r="E97" s="108"/>
      <c r="F97" s="107"/>
      <c r="G97" s="108"/>
      <c r="H97" s="108"/>
      <c r="I97" s="78"/>
      <c r="J97" s="265"/>
      <c r="K97" s="277"/>
      <c r="L97" s="29"/>
      <c r="M97" s="29">
        <f t="shared" si="5"/>
        <v>0</v>
      </c>
      <c r="N97" s="29"/>
      <c r="O97" s="29"/>
      <c r="P97" s="29"/>
      <c r="Q97" s="29"/>
      <c r="R97" s="29"/>
      <c r="S97" s="29"/>
      <c r="T97" s="29"/>
      <c r="U97" s="84"/>
      <c r="V97" s="277"/>
      <c r="W97" s="29"/>
      <c r="X97" s="29"/>
      <c r="Y97" s="29"/>
      <c r="Z97" s="29"/>
      <c r="AA97" s="29"/>
      <c r="AB97" s="29"/>
      <c r="AC97" s="29"/>
      <c r="AD97" s="29"/>
      <c r="AE97" s="29"/>
      <c r="AF97" s="278"/>
      <c r="AG97" s="277"/>
      <c r="AH97" s="29"/>
      <c r="AI97" s="29"/>
      <c r="AJ97" s="29"/>
      <c r="AK97" s="29"/>
      <c r="AL97" s="29"/>
      <c r="AM97" s="29"/>
      <c r="AN97" s="29"/>
      <c r="AO97" s="29"/>
      <c r="AP97" s="29"/>
      <c r="AQ97" s="278"/>
      <c r="AR97" s="277"/>
      <c r="AS97" s="29"/>
      <c r="AT97" s="29"/>
      <c r="AU97" s="29"/>
      <c r="AV97" s="29"/>
      <c r="AW97" s="29"/>
      <c r="AX97" s="29"/>
      <c r="AY97" s="29"/>
      <c r="AZ97" s="29"/>
      <c r="BA97" s="29"/>
      <c r="BB97" s="278"/>
      <c r="BC97" s="277"/>
      <c r="BD97" s="29"/>
      <c r="BE97" s="29"/>
      <c r="BF97" s="29"/>
      <c r="BG97" s="29"/>
      <c r="BH97" s="29"/>
      <c r="BI97" s="29"/>
      <c r="BJ97" s="29"/>
      <c r="BK97" s="29"/>
      <c r="BL97" s="29"/>
      <c r="BM97" s="278"/>
    </row>
    <row r="98" spans="1:65" ht="13.5" thickTop="1">
      <c r="A98" s="544"/>
      <c r="B98" s="83"/>
      <c r="C98" s="312" t="s">
        <v>233</v>
      </c>
      <c r="D98" s="455" t="s">
        <v>728</v>
      </c>
      <c r="E98" s="455" t="s">
        <v>729</v>
      </c>
      <c r="F98" s="91" t="s">
        <v>236</v>
      </c>
      <c r="G98" s="92" t="s">
        <v>314</v>
      </c>
      <c r="H98" s="92"/>
      <c r="I98" s="527">
        <v>39692</v>
      </c>
      <c r="J98" s="530">
        <v>40087</v>
      </c>
      <c r="K98" s="461"/>
      <c r="L98" s="428">
        <f>3.5*4.25*5</f>
        <v>74.375</v>
      </c>
      <c r="M98" s="428">
        <f>L98*8*M$2</f>
        <v>30345</v>
      </c>
      <c r="N98" s="29"/>
      <c r="O98" s="29"/>
      <c r="P98" s="29"/>
      <c r="Q98" s="29"/>
      <c r="R98" s="29"/>
      <c r="S98" s="29"/>
      <c r="T98" s="428">
        <v>0.5</v>
      </c>
      <c r="U98" s="464">
        <f>T98*60000</f>
        <v>30000</v>
      </c>
      <c r="V98" s="461">
        <v>48000</v>
      </c>
      <c r="W98" s="428">
        <f>(10*2-3.5)*4.25*5*2</f>
        <v>701.25</v>
      </c>
      <c r="X98" s="428">
        <f>W98*8*51</f>
        <v>286110</v>
      </c>
      <c r="Y98" s="29"/>
      <c r="Z98" s="29"/>
      <c r="AA98" s="425" t="s">
        <v>747</v>
      </c>
      <c r="AB98" s="425">
        <v>1</v>
      </c>
      <c r="AC98" s="29"/>
      <c r="AD98" s="29"/>
      <c r="AE98" s="29"/>
      <c r="AF98" s="278"/>
      <c r="AG98" s="277"/>
      <c r="AH98" s="428">
        <f>(4)*4.25*5*2</f>
        <v>170</v>
      </c>
      <c r="AI98" s="425">
        <f>AH98*AI2</f>
        <v>9020.268</v>
      </c>
      <c r="AJ98" s="29"/>
      <c r="AK98" s="29"/>
      <c r="AL98" s="425" t="s">
        <v>747</v>
      </c>
      <c r="AM98" s="425">
        <v>0.5</v>
      </c>
      <c r="AN98" s="29"/>
      <c r="AO98" s="29"/>
      <c r="AP98" s="29"/>
      <c r="AQ98" s="278"/>
      <c r="AR98" s="277"/>
      <c r="AS98" s="29"/>
      <c r="AT98" s="29"/>
      <c r="AU98" s="29"/>
      <c r="AV98" s="29"/>
      <c r="AW98" s="29"/>
      <c r="AX98" s="29"/>
      <c r="AY98" s="29"/>
      <c r="AZ98" s="29"/>
      <c r="BA98" s="29"/>
      <c r="BB98" s="278"/>
      <c r="BC98" s="277"/>
      <c r="BD98" s="29"/>
      <c r="BE98" s="29"/>
      <c r="BF98" s="29"/>
      <c r="BG98" s="29"/>
      <c r="BH98" s="29"/>
      <c r="BI98" s="29"/>
      <c r="BJ98" s="29"/>
      <c r="BK98" s="29"/>
      <c r="BL98" s="29"/>
      <c r="BM98" s="278"/>
    </row>
    <row r="99" spans="1:65" ht="12.75">
      <c r="A99" s="544"/>
      <c r="B99" s="84"/>
      <c r="C99" s="93"/>
      <c r="D99" s="429"/>
      <c r="E99" s="429"/>
      <c r="F99" s="72" t="s">
        <v>237</v>
      </c>
      <c r="G99" s="73" t="s">
        <v>315</v>
      </c>
      <c r="H99" s="73"/>
      <c r="I99" s="528"/>
      <c r="J99" s="531"/>
      <c r="K99" s="462"/>
      <c r="L99" s="429"/>
      <c r="M99" s="429"/>
      <c r="N99" s="29"/>
      <c r="O99" s="29"/>
      <c r="P99" s="29"/>
      <c r="Q99" s="29"/>
      <c r="R99" s="29"/>
      <c r="S99" s="29"/>
      <c r="T99" s="429"/>
      <c r="U99" s="447"/>
      <c r="V99" s="462"/>
      <c r="W99" s="429"/>
      <c r="X99" s="429"/>
      <c r="Y99" s="29"/>
      <c r="Z99" s="29"/>
      <c r="AA99" s="426"/>
      <c r="AB99" s="426"/>
      <c r="AC99" s="29"/>
      <c r="AD99" s="29"/>
      <c r="AE99" s="29"/>
      <c r="AF99" s="278"/>
      <c r="AG99" s="277"/>
      <c r="AH99" s="429"/>
      <c r="AI99" s="426"/>
      <c r="AJ99" s="29"/>
      <c r="AK99" s="29"/>
      <c r="AL99" s="426"/>
      <c r="AM99" s="426"/>
      <c r="AN99" s="29"/>
      <c r="AO99" s="29"/>
      <c r="AP99" s="29"/>
      <c r="AQ99" s="278"/>
      <c r="AR99" s="277"/>
      <c r="AS99" s="29"/>
      <c r="AT99" s="29"/>
      <c r="AU99" s="29"/>
      <c r="AV99" s="29"/>
      <c r="AW99" s="29"/>
      <c r="AX99" s="29"/>
      <c r="AY99" s="29"/>
      <c r="AZ99" s="29"/>
      <c r="BA99" s="29"/>
      <c r="BB99" s="278"/>
      <c r="BC99" s="277"/>
      <c r="BD99" s="29"/>
      <c r="BE99" s="29"/>
      <c r="BF99" s="29"/>
      <c r="BG99" s="29"/>
      <c r="BH99" s="29"/>
      <c r="BI99" s="29"/>
      <c r="BJ99" s="29"/>
      <c r="BK99" s="29"/>
      <c r="BL99" s="29"/>
      <c r="BM99" s="278"/>
    </row>
    <row r="100" spans="1:65" ht="12.75">
      <c r="A100" s="544"/>
      <c r="B100" s="84"/>
      <c r="C100" s="93"/>
      <c r="D100" s="429"/>
      <c r="E100" s="429"/>
      <c r="F100" s="72" t="s">
        <v>238</v>
      </c>
      <c r="G100" s="73" t="s">
        <v>307</v>
      </c>
      <c r="H100" s="73"/>
      <c r="I100" s="528"/>
      <c r="J100" s="531"/>
      <c r="K100" s="462"/>
      <c r="L100" s="429"/>
      <c r="M100" s="429"/>
      <c r="N100" s="29"/>
      <c r="O100" s="29"/>
      <c r="P100" s="29"/>
      <c r="Q100" s="29"/>
      <c r="R100" s="29"/>
      <c r="S100" s="29"/>
      <c r="T100" s="429"/>
      <c r="U100" s="447"/>
      <c r="V100" s="462"/>
      <c r="W100" s="429"/>
      <c r="X100" s="429"/>
      <c r="Y100" s="29"/>
      <c r="Z100" s="29"/>
      <c r="AA100" s="426"/>
      <c r="AB100" s="426"/>
      <c r="AC100" s="29"/>
      <c r="AD100" s="29"/>
      <c r="AE100" s="29"/>
      <c r="AF100" s="278"/>
      <c r="AG100" s="277"/>
      <c r="AH100" s="429"/>
      <c r="AI100" s="426"/>
      <c r="AJ100" s="29"/>
      <c r="AK100" s="29"/>
      <c r="AL100" s="426"/>
      <c r="AM100" s="426"/>
      <c r="AN100" s="29"/>
      <c r="AO100" s="29"/>
      <c r="AP100" s="29"/>
      <c r="AQ100" s="278"/>
      <c r="AR100" s="277"/>
      <c r="AS100" s="29"/>
      <c r="AT100" s="29"/>
      <c r="AU100" s="29"/>
      <c r="AV100" s="29"/>
      <c r="AW100" s="29"/>
      <c r="AX100" s="29"/>
      <c r="AY100" s="29"/>
      <c r="AZ100" s="29"/>
      <c r="BA100" s="29"/>
      <c r="BB100" s="278"/>
      <c r="BC100" s="277"/>
      <c r="BD100" s="29"/>
      <c r="BE100" s="29"/>
      <c r="BF100" s="29"/>
      <c r="BG100" s="29"/>
      <c r="BH100" s="29"/>
      <c r="BI100" s="29"/>
      <c r="BJ100" s="29"/>
      <c r="BK100" s="29"/>
      <c r="BL100" s="29"/>
      <c r="BM100" s="278"/>
    </row>
    <row r="101" spans="1:65" ht="12.75">
      <c r="A101" s="544"/>
      <c r="B101" s="84"/>
      <c r="C101" s="93"/>
      <c r="D101" s="429"/>
      <c r="E101" s="429"/>
      <c r="F101" s="72" t="s">
        <v>239</v>
      </c>
      <c r="G101" s="73" t="s">
        <v>307</v>
      </c>
      <c r="H101" s="73"/>
      <c r="I101" s="528"/>
      <c r="J101" s="531"/>
      <c r="K101" s="462"/>
      <c r="L101" s="429"/>
      <c r="M101" s="429"/>
      <c r="N101" s="29"/>
      <c r="O101" s="29"/>
      <c r="P101" s="29"/>
      <c r="Q101" s="29"/>
      <c r="R101" s="29"/>
      <c r="S101" s="29"/>
      <c r="T101" s="429"/>
      <c r="U101" s="447"/>
      <c r="V101" s="462"/>
      <c r="W101" s="429"/>
      <c r="X101" s="429"/>
      <c r="Y101" s="29"/>
      <c r="Z101" s="29"/>
      <c r="AA101" s="426"/>
      <c r="AB101" s="426"/>
      <c r="AC101" s="29"/>
      <c r="AD101" s="29"/>
      <c r="AE101" s="29"/>
      <c r="AF101" s="278"/>
      <c r="AG101" s="277"/>
      <c r="AH101" s="429"/>
      <c r="AI101" s="426"/>
      <c r="AJ101" s="29"/>
      <c r="AK101" s="29"/>
      <c r="AL101" s="426"/>
      <c r="AM101" s="426"/>
      <c r="AN101" s="29"/>
      <c r="AO101" s="29"/>
      <c r="AP101" s="29"/>
      <c r="AQ101" s="278"/>
      <c r="AR101" s="277"/>
      <c r="AS101" s="29"/>
      <c r="AT101" s="29"/>
      <c r="AU101" s="29"/>
      <c r="AV101" s="29"/>
      <c r="AW101" s="29"/>
      <c r="AX101" s="29"/>
      <c r="AY101" s="29"/>
      <c r="AZ101" s="29"/>
      <c r="BA101" s="29"/>
      <c r="BB101" s="278"/>
      <c r="BC101" s="277"/>
      <c r="BD101" s="29"/>
      <c r="BE101" s="29"/>
      <c r="BF101" s="29"/>
      <c r="BG101" s="29"/>
      <c r="BH101" s="29"/>
      <c r="BI101" s="29"/>
      <c r="BJ101" s="29"/>
      <c r="BK101" s="29"/>
      <c r="BL101" s="29"/>
      <c r="BM101" s="278"/>
    </row>
    <row r="102" spans="1:65" ht="13.5" thickBot="1">
      <c r="A102" s="544"/>
      <c r="B102" s="84"/>
      <c r="C102" s="94"/>
      <c r="D102" s="445"/>
      <c r="E102" s="445"/>
      <c r="F102" s="95" t="s">
        <v>240</v>
      </c>
      <c r="G102" s="123" t="s">
        <v>84</v>
      </c>
      <c r="H102" s="123"/>
      <c r="I102" s="529"/>
      <c r="J102" s="532"/>
      <c r="K102" s="463"/>
      <c r="L102" s="430"/>
      <c r="M102" s="430"/>
      <c r="N102" s="29"/>
      <c r="O102" s="29"/>
      <c r="P102" s="29"/>
      <c r="Q102" s="29"/>
      <c r="R102" s="29"/>
      <c r="S102" s="29"/>
      <c r="T102" s="430"/>
      <c r="U102" s="465"/>
      <c r="V102" s="463"/>
      <c r="W102" s="430"/>
      <c r="X102" s="430"/>
      <c r="Y102" s="29"/>
      <c r="Z102" s="29"/>
      <c r="AA102" s="427"/>
      <c r="AB102" s="427"/>
      <c r="AC102" s="29"/>
      <c r="AD102" s="29"/>
      <c r="AE102" s="29"/>
      <c r="AF102" s="278"/>
      <c r="AG102" s="277"/>
      <c r="AH102" s="430"/>
      <c r="AI102" s="427"/>
      <c r="AJ102" s="29"/>
      <c r="AK102" s="29"/>
      <c r="AL102" s="427"/>
      <c r="AM102" s="427"/>
      <c r="AN102" s="29"/>
      <c r="AO102" s="29"/>
      <c r="AP102" s="29"/>
      <c r="AQ102" s="278"/>
      <c r="AR102" s="277"/>
      <c r="AS102" s="29"/>
      <c r="AT102" s="29"/>
      <c r="AU102" s="29"/>
      <c r="AV102" s="29"/>
      <c r="AW102" s="29"/>
      <c r="AX102" s="29"/>
      <c r="AY102" s="29"/>
      <c r="AZ102" s="29"/>
      <c r="BA102" s="29"/>
      <c r="BB102" s="278"/>
      <c r="BC102" s="277"/>
      <c r="BD102" s="29"/>
      <c r="BE102" s="29"/>
      <c r="BF102" s="29"/>
      <c r="BG102" s="29"/>
      <c r="BH102" s="29"/>
      <c r="BI102" s="29"/>
      <c r="BJ102" s="29"/>
      <c r="BK102" s="29"/>
      <c r="BL102" s="29"/>
      <c r="BM102" s="278"/>
    </row>
    <row r="103" spans="1:65" ht="14.25" thickBot="1" thickTop="1">
      <c r="A103" s="544"/>
      <c r="B103" s="29"/>
      <c r="C103" s="106"/>
      <c r="D103" s="108"/>
      <c r="E103" s="108"/>
      <c r="F103" s="107"/>
      <c r="G103" s="108"/>
      <c r="H103" s="108"/>
      <c r="I103" s="78"/>
      <c r="J103" s="266"/>
      <c r="K103" s="277"/>
      <c r="L103" s="29"/>
      <c r="M103" s="29">
        <f aca="true" t="shared" si="6" ref="M103:M109">L103*M$2*8</f>
        <v>0</v>
      </c>
      <c r="N103" s="29"/>
      <c r="O103" s="29"/>
      <c r="P103" s="29"/>
      <c r="Q103" s="29"/>
      <c r="R103" s="29"/>
      <c r="S103" s="29"/>
      <c r="T103" s="29"/>
      <c r="U103" s="84"/>
      <c r="V103" s="277"/>
      <c r="W103" s="29"/>
      <c r="X103" s="29"/>
      <c r="Y103" s="29"/>
      <c r="Z103" s="29"/>
      <c r="AA103" s="29"/>
      <c r="AB103" s="29"/>
      <c r="AC103" s="29"/>
      <c r="AD103" s="29"/>
      <c r="AE103" s="29"/>
      <c r="AF103" s="278"/>
      <c r="AG103" s="277"/>
      <c r="AH103" s="29"/>
      <c r="AI103" s="29"/>
      <c r="AJ103" s="29"/>
      <c r="AK103" s="29"/>
      <c r="AL103" s="29"/>
      <c r="AM103" s="29"/>
      <c r="AN103" s="29"/>
      <c r="AO103" s="29"/>
      <c r="AP103" s="29"/>
      <c r="AQ103" s="278"/>
      <c r="AR103" s="277"/>
      <c r="AS103" s="29"/>
      <c r="AT103" s="29"/>
      <c r="AU103" s="29"/>
      <c r="AV103" s="29"/>
      <c r="AW103" s="29"/>
      <c r="AX103" s="29"/>
      <c r="AY103" s="29"/>
      <c r="AZ103" s="29"/>
      <c r="BA103" s="29"/>
      <c r="BB103" s="278"/>
      <c r="BC103" s="277"/>
      <c r="BD103" s="29"/>
      <c r="BE103" s="29"/>
      <c r="BF103" s="29"/>
      <c r="BG103" s="29"/>
      <c r="BH103" s="29"/>
      <c r="BI103" s="29"/>
      <c r="BJ103" s="29"/>
      <c r="BK103" s="29"/>
      <c r="BL103" s="29"/>
      <c r="BM103" s="278"/>
    </row>
    <row r="104" spans="1:65" ht="14.25" thickBot="1" thickTop="1">
      <c r="A104" s="544"/>
      <c r="B104" s="84"/>
      <c r="C104" s="311" t="s">
        <v>241</v>
      </c>
      <c r="D104" s="101" t="s">
        <v>727</v>
      </c>
      <c r="E104" s="101"/>
      <c r="F104" s="319" t="s">
        <v>242</v>
      </c>
      <c r="G104" s="101" t="s">
        <v>317</v>
      </c>
      <c r="H104" s="101"/>
      <c r="I104" s="320">
        <v>39873</v>
      </c>
      <c r="J104" s="321">
        <v>39995</v>
      </c>
      <c r="K104" s="314"/>
      <c r="L104" s="29"/>
      <c r="M104" s="29">
        <f t="shared" si="6"/>
        <v>0</v>
      </c>
      <c r="N104" s="29"/>
      <c r="O104" s="29"/>
      <c r="P104" s="30"/>
      <c r="Q104" s="29"/>
      <c r="R104" s="29"/>
      <c r="S104" s="29"/>
      <c r="T104" s="29"/>
      <c r="U104" s="84"/>
      <c r="V104" s="277"/>
      <c r="W104" s="29">
        <v>30</v>
      </c>
      <c r="X104" s="29">
        <f>W104*51*8</f>
        <v>12240</v>
      </c>
      <c r="Y104" s="29"/>
      <c r="Z104" s="29"/>
      <c r="AA104" s="30"/>
      <c r="AB104" s="29"/>
      <c r="AC104" s="29"/>
      <c r="AD104" s="29"/>
      <c r="AE104" s="29"/>
      <c r="AF104" s="278"/>
      <c r="AG104" s="277"/>
      <c r="AH104" s="29"/>
      <c r="AI104" s="29"/>
      <c r="AJ104" s="29"/>
      <c r="AK104" s="29"/>
      <c r="AL104" s="30"/>
      <c r="AM104" s="29"/>
      <c r="AN104" s="29"/>
      <c r="AO104" s="29"/>
      <c r="AP104" s="29"/>
      <c r="AQ104" s="278"/>
      <c r="AR104" s="277"/>
      <c r="AS104" s="29"/>
      <c r="AT104" s="29"/>
      <c r="AU104" s="29"/>
      <c r="AV104" s="29"/>
      <c r="AW104" s="30"/>
      <c r="AX104" s="29"/>
      <c r="AY104" s="29"/>
      <c r="AZ104" s="29"/>
      <c r="BA104" s="29"/>
      <c r="BB104" s="278"/>
      <c r="BC104" s="277"/>
      <c r="BD104" s="29"/>
      <c r="BE104" s="29"/>
      <c r="BF104" s="29"/>
      <c r="BG104" s="29"/>
      <c r="BH104" s="30"/>
      <c r="BI104" s="29"/>
      <c r="BJ104" s="29"/>
      <c r="BK104" s="29"/>
      <c r="BL104" s="29"/>
      <c r="BM104" s="278"/>
    </row>
    <row r="105" spans="1:65" ht="13.5" thickTop="1">
      <c r="A105" s="544"/>
      <c r="B105" s="84"/>
      <c r="C105" s="315" t="s">
        <v>247</v>
      </c>
      <c r="D105" s="456" t="s">
        <v>723</v>
      </c>
      <c r="E105" s="456" t="s">
        <v>725</v>
      </c>
      <c r="F105" s="316" t="s">
        <v>246</v>
      </c>
      <c r="G105" s="89" t="s">
        <v>316</v>
      </c>
      <c r="H105" s="89"/>
      <c r="I105" s="317">
        <v>39873</v>
      </c>
      <c r="J105" s="318">
        <v>40087</v>
      </c>
      <c r="K105" s="277"/>
      <c r="L105" s="29">
        <f>4.25*5*2</f>
        <v>42.5</v>
      </c>
      <c r="M105" s="29">
        <f t="shared" si="6"/>
        <v>17340</v>
      </c>
      <c r="N105" s="29"/>
      <c r="O105" s="29"/>
      <c r="P105" s="30"/>
      <c r="Q105" s="29"/>
      <c r="R105" s="29"/>
      <c r="S105" s="29"/>
      <c r="T105" s="29"/>
      <c r="U105" s="84"/>
      <c r="V105" s="277"/>
      <c r="W105" s="29">
        <f>4.25*5*3</f>
        <v>63.75</v>
      </c>
      <c r="X105" s="29">
        <f>W105*51*8</f>
        <v>26010</v>
      </c>
      <c r="Y105" s="29"/>
      <c r="Z105" s="29"/>
      <c r="AA105" s="30"/>
      <c r="AB105" s="29"/>
      <c r="AC105" s="29"/>
      <c r="AD105" s="29"/>
      <c r="AE105" s="29"/>
      <c r="AF105" s="278"/>
      <c r="AG105" s="277"/>
      <c r="AH105" s="29">
        <f>4.25*5*4</f>
        <v>85</v>
      </c>
      <c r="AI105" s="29">
        <f>AH105*AI$2*8</f>
        <v>36081.072</v>
      </c>
      <c r="AJ105" s="29"/>
      <c r="AK105" s="29"/>
      <c r="AL105" s="30"/>
      <c r="AM105" s="29"/>
      <c r="AN105" s="29"/>
      <c r="AO105" s="29"/>
      <c r="AP105" s="29"/>
      <c r="AQ105" s="278"/>
      <c r="AR105" s="277"/>
      <c r="AS105" s="29">
        <f>4.25*5*3</f>
        <v>63.75</v>
      </c>
      <c r="AT105" s="29">
        <f>AS105*AT$2*8</f>
        <v>27602.020080000002</v>
      </c>
      <c r="AU105" s="29"/>
      <c r="AV105" s="29"/>
      <c r="AW105" s="30"/>
      <c r="AX105" s="29"/>
      <c r="AY105" s="29"/>
      <c r="AZ105" s="29"/>
      <c r="BA105" s="29"/>
      <c r="BB105" s="278"/>
      <c r="BC105" s="277"/>
      <c r="BD105" s="29"/>
      <c r="BE105" s="29"/>
      <c r="BF105" s="29"/>
      <c r="BG105" s="29"/>
      <c r="BH105" s="30"/>
      <c r="BI105" s="29"/>
      <c r="BJ105" s="29"/>
      <c r="BK105" s="29"/>
      <c r="BL105" s="29"/>
      <c r="BM105" s="278"/>
    </row>
    <row r="106" spans="1:65" ht="13.5" thickBot="1">
      <c r="A106" s="544"/>
      <c r="B106" s="84"/>
      <c r="C106" s="94"/>
      <c r="D106" s="445"/>
      <c r="E106" s="445"/>
      <c r="F106" s="95" t="s">
        <v>248</v>
      </c>
      <c r="G106" s="123" t="s">
        <v>246</v>
      </c>
      <c r="H106" s="123"/>
      <c r="I106" s="125">
        <v>39873</v>
      </c>
      <c r="J106" s="267">
        <v>40087</v>
      </c>
      <c r="K106" s="277"/>
      <c r="L106" s="29"/>
      <c r="M106" s="29">
        <f t="shared" si="6"/>
        <v>0</v>
      </c>
      <c r="N106" s="29"/>
      <c r="O106" s="29"/>
      <c r="P106" s="30"/>
      <c r="Q106" s="29"/>
      <c r="R106" s="29"/>
      <c r="S106" s="29"/>
      <c r="T106" s="29"/>
      <c r="U106" s="84"/>
      <c r="V106" s="277"/>
      <c r="W106" s="29">
        <v>30</v>
      </c>
      <c r="X106" s="29">
        <f>W106*51*8</f>
        <v>12240</v>
      </c>
      <c r="Y106" s="29"/>
      <c r="Z106" s="29"/>
      <c r="AA106" s="30"/>
      <c r="AB106" s="29"/>
      <c r="AC106" s="29"/>
      <c r="AD106" s="29"/>
      <c r="AE106" s="29"/>
      <c r="AF106" s="278"/>
      <c r="AG106" s="277"/>
      <c r="AH106" s="29"/>
      <c r="AI106" s="29"/>
      <c r="AJ106" s="29"/>
      <c r="AK106" s="29"/>
      <c r="AL106" s="30"/>
      <c r="AM106" s="29"/>
      <c r="AN106" s="29"/>
      <c r="AO106" s="29"/>
      <c r="AP106" s="29"/>
      <c r="AQ106" s="278"/>
      <c r="AR106" s="277"/>
      <c r="AS106" s="29"/>
      <c r="AT106" s="29"/>
      <c r="AU106" s="29"/>
      <c r="AV106" s="29"/>
      <c r="AW106" s="30"/>
      <c r="AX106" s="29"/>
      <c r="AY106" s="29"/>
      <c r="AZ106" s="29"/>
      <c r="BA106" s="29"/>
      <c r="BB106" s="278"/>
      <c r="BC106" s="277"/>
      <c r="BD106" s="29"/>
      <c r="BE106" s="29"/>
      <c r="BF106" s="29"/>
      <c r="BG106" s="29"/>
      <c r="BH106" s="30"/>
      <c r="BI106" s="29"/>
      <c r="BJ106" s="29"/>
      <c r="BK106" s="29"/>
      <c r="BL106" s="29"/>
      <c r="BM106" s="278"/>
    </row>
    <row r="107" spans="1:65" ht="14.25" thickBot="1" thickTop="1">
      <c r="A107" s="544"/>
      <c r="B107" s="84"/>
      <c r="C107" s="246" t="s">
        <v>770</v>
      </c>
      <c r="D107" s="250" t="s">
        <v>168</v>
      </c>
      <c r="E107" s="250"/>
      <c r="F107" s="248"/>
      <c r="G107" s="249"/>
      <c r="H107" s="250"/>
      <c r="I107" s="361">
        <v>39814</v>
      </c>
      <c r="J107" s="362">
        <v>40178</v>
      </c>
      <c r="K107" s="277"/>
      <c r="L107" s="30"/>
      <c r="M107" s="29">
        <f t="shared" si="6"/>
        <v>0</v>
      </c>
      <c r="N107" s="29"/>
      <c r="O107" s="29"/>
      <c r="P107" s="30"/>
      <c r="Q107" s="29"/>
      <c r="R107" s="29"/>
      <c r="S107" s="29"/>
      <c r="T107" s="29"/>
      <c r="U107" s="84"/>
      <c r="V107" s="277"/>
      <c r="W107" s="30">
        <v>60</v>
      </c>
      <c r="X107" s="29">
        <f>W107*51*8</f>
        <v>24480</v>
      </c>
      <c r="Y107" s="29"/>
      <c r="Z107" s="29"/>
      <c r="AA107" s="30"/>
      <c r="AB107" s="29"/>
      <c r="AC107" s="29"/>
      <c r="AD107" s="29"/>
      <c r="AE107" s="29"/>
      <c r="AF107" s="278"/>
      <c r="AG107" s="277"/>
      <c r="AH107" s="30"/>
      <c r="AI107" s="30"/>
      <c r="AJ107" s="29"/>
      <c r="AK107" s="29"/>
      <c r="AL107" s="30"/>
      <c r="AM107" s="29"/>
      <c r="AN107" s="29"/>
      <c r="AO107" s="29"/>
      <c r="AP107" s="29"/>
      <c r="AQ107" s="278"/>
      <c r="AR107" s="277"/>
      <c r="AS107" s="30"/>
      <c r="AT107" s="30"/>
      <c r="AU107" s="29"/>
      <c r="AV107" s="29"/>
      <c r="AW107" s="30"/>
      <c r="AX107" s="29"/>
      <c r="AY107" s="29"/>
      <c r="AZ107" s="29"/>
      <c r="BA107" s="29"/>
      <c r="BB107" s="278"/>
      <c r="BC107" s="277"/>
      <c r="BD107" s="30"/>
      <c r="BE107" s="30"/>
      <c r="BF107" s="29"/>
      <c r="BG107" s="29"/>
      <c r="BH107" s="30"/>
      <c r="BI107" s="29"/>
      <c r="BJ107" s="29"/>
      <c r="BK107" s="29"/>
      <c r="BL107" s="29"/>
      <c r="BM107" s="278"/>
    </row>
    <row r="108" spans="1:65" ht="12.75">
      <c r="A108" s="544"/>
      <c r="B108" s="29"/>
      <c r="C108" s="87"/>
      <c r="D108" s="103"/>
      <c r="E108" s="103"/>
      <c r="F108" s="88"/>
      <c r="G108" s="103"/>
      <c r="H108" s="103"/>
      <c r="I108" s="115"/>
      <c r="J108" s="268"/>
      <c r="K108" s="277"/>
      <c r="L108" s="29"/>
      <c r="M108" s="29">
        <f t="shared" si="6"/>
        <v>0</v>
      </c>
      <c r="N108" s="29"/>
      <c r="O108" s="29"/>
      <c r="P108" s="29"/>
      <c r="Q108" s="29"/>
      <c r="R108" s="29"/>
      <c r="S108" s="29"/>
      <c r="T108" s="29"/>
      <c r="U108" s="84"/>
      <c r="V108" s="277"/>
      <c r="W108" s="29"/>
      <c r="X108" s="29"/>
      <c r="Y108" s="29"/>
      <c r="Z108" s="29"/>
      <c r="AA108" s="29"/>
      <c r="AB108" s="29"/>
      <c r="AC108" s="29"/>
      <c r="AD108" s="29"/>
      <c r="AE108" s="29"/>
      <c r="AF108" s="278"/>
      <c r="AG108" s="277"/>
      <c r="AH108" s="29"/>
      <c r="AI108" s="29"/>
      <c r="AJ108" s="29"/>
      <c r="AK108" s="29"/>
      <c r="AL108" s="29"/>
      <c r="AM108" s="29"/>
      <c r="AN108" s="29"/>
      <c r="AO108" s="29"/>
      <c r="AP108" s="29"/>
      <c r="AQ108" s="278"/>
      <c r="AR108" s="277"/>
      <c r="AS108" s="29"/>
      <c r="AT108" s="29"/>
      <c r="AU108" s="29"/>
      <c r="AV108" s="29"/>
      <c r="AW108" s="29"/>
      <c r="AX108" s="29"/>
      <c r="AY108" s="29"/>
      <c r="AZ108" s="29"/>
      <c r="BA108" s="29"/>
      <c r="BB108" s="278"/>
      <c r="BC108" s="277"/>
      <c r="BD108" s="29"/>
      <c r="BE108" s="29"/>
      <c r="BF108" s="29"/>
      <c r="BG108" s="29"/>
      <c r="BH108" s="29"/>
      <c r="BI108" s="29"/>
      <c r="BJ108" s="29"/>
      <c r="BK108" s="29"/>
      <c r="BL108" s="29"/>
      <c r="BM108" s="278"/>
    </row>
    <row r="109" spans="1:65" ht="13.5" thickBot="1">
      <c r="A109" s="544"/>
      <c r="B109" s="29"/>
      <c r="C109" s="97"/>
      <c r="D109" s="86"/>
      <c r="E109" s="86"/>
      <c r="F109" s="85"/>
      <c r="G109" s="86"/>
      <c r="H109" s="86"/>
      <c r="I109" s="74"/>
      <c r="J109" s="258"/>
      <c r="K109" s="277"/>
      <c r="L109" s="29"/>
      <c r="M109" s="29">
        <f t="shared" si="6"/>
        <v>0</v>
      </c>
      <c r="N109" s="29"/>
      <c r="O109" s="29"/>
      <c r="P109" s="29"/>
      <c r="Q109" s="29"/>
      <c r="R109" s="29"/>
      <c r="S109" s="29"/>
      <c r="T109" s="29"/>
      <c r="U109" s="84"/>
      <c r="V109" s="277"/>
      <c r="W109" s="29"/>
      <c r="X109" s="29"/>
      <c r="Y109" s="29"/>
      <c r="Z109" s="29"/>
      <c r="AA109" s="29"/>
      <c r="AB109" s="29"/>
      <c r="AC109" s="29"/>
      <c r="AD109" s="29"/>
      <c r="AE109" s="29"/>
      <c r="AF109" s="278"/>
      <c r="AG109" s="277"/>
      <c r="AH109" s="29"/>
      <c r="AI109" s="29"/>
      <c r="AJ109" s="29"/>
      <c r="AK109" s="29"/>
      <c r="AL109" s="29"/>
      <c r="AM109" s="29"/>
      <c r="AN109" s="29"/>
      <c r="AO109" s="29"/>
      <c r="AP109" s="29"/>
      <c r="AQ109" s="278"/>
      <c r="AR109" s="277"/>
      <c r="AS109" s="29"/>
      <c r="AT109" s="29"/>
      <c r="AU109" s="29"/>
      <c r="AV109" s="29"/>
      <c r="AW109" s="29"/>
      <c r="AX109" s="29"/>
      <c r="AY109" s="29"/>
      <c r="AZ109" s="29"/>
      <c r="BA109" s="29"/>
      <c r="BB109" s="278"/>
      <c r="BC109" s="277"/>
      <c r="BD109" s="29"/>
      <c r="BE109" s="29"/>
      <c r="BF109" s="29"/>
      <c r="BG109" s="29"/>
      <c r="BH109" s="29"/>
      <c r="BI109" s="29"/>
      <c r="BJ109" s="29"/>
      <c r="BK109" s="29"/>
      <c r="BL109" s="29"/>
      <c r="BM109" s="278"/>
    </row>
    <row r="110" spans="1:65" ht="13.5" thickTop="1">
      <c r="A110" s="544"/>
      <c r="B110" s="84"/>
      <c r="C110" s="312" t="s">
        <v>264</v>
      </c>
      <c r="D110" s="455" t="s">
        <v>730</v>
      </c>
      <c r="E110" s="455" t="s">
        <v>729</v>
      </c>
      <c r="F110" s="91" t="s">
        <v>243</v>
      </c>
      <c r="G110" s="92" t="s">
        <v>319</v>
      </c>
      <c r="H110" s="92"/>
      <c r="I110" s="124">
        <v>39814</v>
      </c>
      <c r="J110" s="324">
        <v>40878</v>
      </c>
      <c r="K110" s="277"/>
      <c r="L110" s="29"/>
      <c r="M110" s="29"/>
      <c r="N110" s="29"/>
      <c r="O110" s="29"/>
      <c r="P110" s="29"/>
      <c r="Q110" s="29"/>
      <c r="R110" s="29"/>
      <c r="S110" s="29"/>
      <c r="T110" s="29"/>
      <c r="U110" s="84"/>
      <c r="V110" s="277"/>
      <c r="W110" s="29">
        <f>0.375*46*5</f>
        <v>86.25</v>
      </c>
      <c r="X110" s="29">
        <f>W110*X$2*8</f>
        <v>35893.8</v>
      </c>
      <c r="Y110" s="29"/>
      <c r="Z110" s="29"/>
      <c r="AA110" s="29" t="s">
        <v>737</v>
      </c>
      <c r="AB110" s="29">
        <v>0.5</v>
      </c>
      <c r="AC110" s="29"/>
      <c r="AD110" s="29"/>
      <c r="AE110" s="29"/>
      <c r="AF110" s="278"/>
      <c r="AG110" s="277"/>
      <c r="AH110" s="29">
        <f>0.375*46*5</f>
        <v>86.25</v>
      </c>
      <c r="AI110" s="29">
        <f>AH110*AI$2*8</f>
        <v>36611.676</v>
      </c>
      <c r="AJ110" s="29"/>
      <c r="AK110" s="29"/>
      <c r="AL110" s="29" t="s">
        <v>738</v>
      </c>
      <c r="AM110" s="29">
        <v>0.8</v>
      </c>
      <c r="AN110" s="29"/>
      <c r="AO110" s="29"/>
      <c r="AP110" s="29"/>
      <c r="AQ110" s="278"/>
      <c r="AR110" s="277"/>
      <c r="AS110" s="29">
        <f>0.25*46*5</f>
        <v>57.5</v>
      </c>
      <c r="AT110" s="29">
        <f>AS110*AT$2*8</f>
        <v>24895.93968</v>
      </c>
      <c r="AU110" s="29"/>
      <c r="AV110" s="29"/>
      <c r="AW110" s="29" t="s">
        <v>739</v>
      </c>
      <c r="AX110" s="29">
        <v>0.8</v>
      </c>
      <c r="AY110" s="29"/>
      <c r="AZ110" s="29"/>
      <c r="BA110" s="29"/>
      <c r="BB110" s="278"/>
      <c r="BC110" s="277"/>
      <c r="BD110" s="29"/>
      <c r="BE110" s="29"/>
      <c r="BF110" s="29"/>
      <c r="BG110" s="29"/>
      <c r="BH110" s="29"/>
      <c r="BI110" s="29"/>
      <c r="BJ110" s="29"/>
      <c r="BK110" s="29"/>
      <c r="BL110" s="29"/>
      <c r="BM110" s="278"/>
    </row>
    <row r="111" spans="1:65" ht="13.5" thickBot="1">
      <c r="A111" s="544"/>
      <c r="B111" s="84"/>
      <c r="C111" s="94"/>
      <c r="D111" s="445"/>
      <c r="E111" s="445"/>
      <c r="F111" s="95" t="s">
        <v>244</v>
      </c>
      <c r="G111" s="123" t="s">
        <v>318</v>
      </c>
      <c r="H111" s="123"/>
      <c r="I111" s="125">
        <v>39814</v>
      </c>
      <c r="J111" s="325">
        <v>40878</v>
      </c>
      <c r="K111" s="277"/>
      <c r="L111" s="29"/>
      <c r="M111" s="29"/>
      <c r="N111" s="29"/>
      <c r="O111" s="29"/>
      <c r="P111" s="29"/>
      <c r="Q111" s="29"/>
      <c r="R111" s="29"/>
      <c r="S111" s="29"/>
      <c r="T111" s="29"/>
      <c r="U111" s="84"/>
      <c r="V111" s="277"/>
      <c r="W111" s="29">
        <f>0.375*46*5</f>
        <v>86.25</v>
      </c>
      <c r="X111" s="29">
        <f>W111*X$2*8</f>
        <v>35893.8</v>
      </c>
      <c r="Y111" s="29"/>
      <c r="Z111" s="29"/>
      <c r="AA111" s="29"/>
      <c r="AB111" s="29"/>
      <c r="AC111" s="29"/>
      <c r="AD111" s="29"/>
      <c r="AE111" s="29"/>
      <c r="AF111" s="278"/>
      <c r="AG111" s="277"/>
      <c r="AH111" s="29">
        <f>0.375*46*5</f>
        <v>86.25</v>
      </c>
      <c r="AI111" s="29">
        <f>AH111*AI$2*8</f>
        <v>36611.676</v>
      </c>
      <c r="AJ111" s="29"/>
      <c r="AK111" s="29"/>
      <c r="AL111" s="29"/>
      <c r="AM111" s="29"/>
      <c r="AN111" s="29"/>
      <c r="AO111" s="29"/>
      <c r="AP111" s="29"/>
      <c r="AQ111" s="278"/>
      <c r="AR111" s="277"/>
      <c r="AS111" s="29">
        <f>0.25*46*5</f>
        <v>57.5</v>
      </c>
      <c r="AT111" s="29">
        <f>AS111*AT$2*8</f>
        <v>24895.93968</v>
      </c>
      <c r="AU111" s="29"/>
      <c r="AV111" s="29"/>
      <c r="AW111" s="29"/>
      <c r="AX111" s="29"/>
      <c r="AY111" s="29"/>
      <c r="AZ111" s="29"/>
      <c r="BA111" s="29"/>
      <c r="BB111" s="278"/>
      <c r="BC111" s="277"/>
      <c r="BD111" s="29"/>
      <c r="BE111" s="29"/>
      <c r="BF111" s="29"/>
      <c r="BG111" s="29"/>
      <c r="BH111" s="29"/>
      <c r="BI111" s="29"/>
      <c r="BJ111" s="29"/>
      <c r="BK111" s="29"/>
      <c r="BL111" s="29"/>
      <c r="BM111" s="278"/>
    </row>
    <row r="112" spans="1:65" ht="14.25" thickBot="1" thickTop="1">
      <c r="A112" s="544"/>
      <c r="B112" s="29"/>
      <c r="C112" s="106"/>
      <c r="D112" s="108"/>
      <c r="E112" s="108"/>
      <c r="F112" s="107" t="s">
        <v>245</v>
      </c>
      <c r="G112" s="108"/>
      <c r="H112" s="108"/>
      <c r="I112" s="78"/>
      <c r="J112" s="265"/>
      <c r="K112" s="277"/>
      <c r="L112" s="29"/>
      <c r="M112" s="29">
        <f aca="true" t="shared" si="7" ref="M112:M131">L112*M$2*8</f>
        <v>0</v>
      </c>
      <c r="N112" s="29"/>
      <c r="O112" s="29"/>
      <c r="P112" s="29"/>
      <c r="Q112" s="29"/>
      <c r="R112" s="29"/>
      <c r="S112" s="29"/>
      <c r="T112" s="29"/>
      <c r="U112" s="84"/>
      <c r="V112" s="277"/>
      <c r="W112" s="29"/>
      <c r="X112" s="29"/>
      <c r="Y112" s="29"/>
      <c r="Z112" s="29"/>
      <c r="AA112" s="29"/>
      <c r="AB112" s="29"/>
      <c r="AC112" s="29"/>
      <c r="AD112" s="29"/>
      <c r="AE112" s="29"/>
      <c r="AF112" s="278"/>
      <c r="AG112" s="277"/>
      <c r="AH112" s="29"/>
      <c r="AI112" s="29"/>
      <c r="AJ112" s="29"/>
      <c r="AK112" s="29"/>
      <c r="AL112" s="29"/>
      <c r="AM112" s="29"/>
      <c r="AN112" s="29"/>
      <c r="AO112" s="29"/>
      <c r="AP112" s="29"/>
      <c r="AQ112" s="278"/>
      <c r="AR112" s="277"/>
      <c r="AS112" s="29"/>
      <c r="AT112" s="29"/>
      <c r="AU112" s="29"/>
      <c r="AV112" s="29"/>
      <c r="AW112" s="29"/>
      <c r="AX112" s="29"/>
      <c r="AY112" s="29"/>
      <c r="AZ112" s="29"/>
      <c r="BA112" s="29"/>
      <c r="BB112" s="278"/>
      <c r="BC112" s="277"/>
      <c r="BD112" s="29"/>
      <c r="BE112" s="29"/>
      <c r="BF112" s="29"/>
      <c r="BG112" s="29"/>
      <c r="BH112" s="29"/>
      <c r="BI112" s="29"/>
      <c r="BJ112" s="29"/>
      <c r="BK112" s="29"/>
      <c r="BL112" s="29"/>
      <c r="BM112" s="278"/>
    </row>
    <row r="113" spans="1:65" ht="14.25" thickBot="1" thickTop="1">
      <c r="A113" s="544"/>
      <c r="B113" s="84"/>
      <c r="C113" s="322" t="s">
        <v>267</v>
      </c>
      <c r="D113" s="109" t="s">
        <v>692</v>
      </c>
      <c r="E113" s="109" t="s">
        <v>731</v>
      </c>
      <c r="F113" s="100"/>
      <c r="G113" s="109"/>
      <c r="H113" s="109"/>
      <c r="I113" s="122">
        <v>39722</v>
      </c>
      <c r="J113" s="269">
        <v>40087</v>
      </c>
      <c r="K113" s="277"/>
      <c r="L113" s="29">
        <v>60</v>
      </c>
      <c r="M113" s="29">
        <f t="shared" si="7"/>
        <v>24480</v>
      </c>
      <c r="N113" s="29"/>
      <c r="O113" s="29"/>
      <c r="P113" s="29" t="s">
        <v>692</v>
      </c>
      <c r="Q113" s="29">
        <v>0.2</v>
      </c>
      <c r="R113" s="29"/>
      <c r="S113" s="29"/>
      <c r="T113" s="29"/>
      <c r="U113" s="84"/>
      <c r="V113" s="277">
        <v>140000</v>
      </c>
      <c r="W113" s="29">
        <f>46*5</f>
        <v>230</v>
      </c>
      <c r="X113" s="29">
        <f>W113*X$2*8</f>
        <v>95716.8</v>
      </c>
      <c r="Y113" s="29">
        <v>1</v>
      </c>
      <c r="Z113" s="29">
        <f>Y113*Z2</f>
        <v>112200</v>
      </c>
      <c r="AA113" s="29" t="s">
        <v>692</v>
      </c>
      <c r="AB113" s="29">
        <v>0.6</v>
      </c>
      <c r="AC113" s="29"/>
      <c r="AD113" s="29" t="s">
        <v>693</v>
      </c>
      <c r="AE113" s="29">
        <v>0.6</v>
      </c>
      <c r="AF113" s="278"/>
      <c r="AG113" s="277">
        <v>600000</v>
      </c>
      <c r="AH113" s="29"/>
      <c r="AI113" s="29"/>
      <c r="AJ113" s="29">
        <v>1</v>
      </c>
      <c r="AK113" s="29">
        <f>AJ113*AK2</f>
        <v>114444</v>
      </c>
      <c r="AL113" s="29"/>
      <c r="AM113" s="29"/>
      <c r="AN113" s="29"/>
      <c r="AO113" s="29"/>
      <c r="AP113" s="29"/>
      <c r="AQ113" s="278"/>
      <c r="AR113" s="277"/>
      <c r="AS113" s="29"/>
      <c r="AT113" s="29"/>
      <c r="AU113" s="29"/>
      <c r="AV113" s="29"/>
      <c r="AW113" s="29"/>
      <c r="AX113" s="29"/>
      <c r="AY113" s="29"/>
      <c r="AZ113" s="29"/>
      <c r="BA113" s="29"/>
      <c r="BB113" s="278"/>
      <c r="BC113" s="277"/>
      <c r="BD113" s="29"/>
      <c r="BE113" s="29"/>
      <c r="BF113" s="29"/>
      <c r="BG113" s="29"/>
      <c r="BH113" s="29"/>
      <c r="BI113" s="29"/>
      <c r="BJ113" s="29"/>
      <c r="BK113" s="29"/>
      <c r="BL113" s="29"/>
      <c r="BM113" s="278"/>
    </row>
    <row r="114" spans="1:65" ht="13.5" thickTop="1">
      <c r="A114" s="544"/>
      <c r="B114" s="29"/>
      <c r="C114" s="87" t="s">
        <v>284</v>
      </c>
      <c r="D114" s="103"/>
      <c r="E114" s="103"/>
      <c r="F114" s="88"/>
      <c r="G114" s="103"/>
      <c r="H114" s="103"/>
      <c r="I114" s="115"/>
      <c r="J114" s="268"/>
      <c r="K114" s="277"/>
      <c r="L114" s="29"/>
      <c r="M114" s="29">
        <f t="shared" si="7"/>
        <v>0</v>
      </c>
      <c r="N114" s="29"/>
      <c r="O114" s="29"/>
      <c r="P114" s="29"/>
      <c r="Q114" s="29"/>
      <c r="R114" s="29"/>
      <c r="S114" s="29"/>
      <c r="T114" s="29"/>
      <c r="U114" s="84"/>
      <c r="V114" s="277"/>
      <c r="W114" s="29"/>
      <c r="X114" s="29"/>
      <c r="Y114" s="29"/>
      <c r="Z114" s="29"/>
      <c r="AA114" s="29"/>
      <c r="AB114" s="29"/>
      <c r="AC114" s="29"/>
      <c r="AD114" s="29"/>
      <c r="AE114" s="29"/>
      <c r="AF114" s="278"/>
      <c r="AG114" s="277"/>
      <c r="AH114" s="29"/>
      <c r="AI114" s="29"/>
      <c r="AJ114" s="29"/>
      <c r="AK114" s="29"/>
      <c r="AL114" s="29"/>
      <c r="AM114" s="29"/>
      <c r="AN114" s="29"/>
      <c r="AO114" s="29"/>
      <c r="AP114" s="29"/>
      <c r="AQ114" s="278"/>
      <c r="AR114" s="277"/>
      <c r="AS114" s="29"/>
      <c r="AT114" s="29"/>
      <c r="AU114" s="29"/>
      <c r="AV114" s="29"/>
      <c r="AW114" s="29"/>
      <c r="AX114" s="29"/>
      <c r="AY114" s="29"/>
      <c r="AZ114" s="29"/>
      <c r="BA114" s="29"/>
      <c r="BB114" s="278"/>
      <c r="BC114" s="277"/>
      <c r="BD114" s="29"/>
      <c r="BE114" s="29"/>
      <c r="BF114" s="29"/>
      <c r="BG114" s="29"/>
      <c r="BH114" s="29"/>
      <c r="BI114" s="29"/>
      <c r="BJ114" s="29"/>
      <c r="BK114" s="29"/>
      <c r="BL114" s="29"/>
      <c r="BM114" s="278"/>
    </row>
    <row r="115" spans="1:65" ht="13.5" thickBot="1">
      <c r="A115" s="544"/>
      <c r="B115" s="29"/>
      <c r="C115" s="97"/>
      <c r="D115" s="86"/>
      <c r="E115" s="86"/>
      <c r="F115" s="85"/>
      <c r="G115" s="86"/>
      <c r="H115" s="86"/>
      <c r="I115" s="74"/>
      <c r="J115" s="258"/>
      <c r="K115" s="277"/>
      <c r="L115" s="29"/>
      <c r="M115" s="29">
        <f t="shared" si="7"/>
        <v>0</v>
      </c>
      <c r="N115" s="29"/>
      <c r="O115" s="29"/>
      <c r="P115" s="29"/>
      <c r="Q115" s="29"/>
      <c r="R115" s="29"/>
      <c r="S115" s="29"/>
      <c r="T115" s="29"/>
      <c r="U115" s="84"/>
      <c r="V115" s="277"/>
      <c r="W115" s="29"/>
      <c r="X115" s="29"/>
      <c r="Y115" s="29"/>
      <c r="Z115" s="29"/>
      <c r="AA115" s="29"/>
      <c r="AB115" s="29"/>
      <c r="AC115" s="29"/>
      <c r="AD115" s="29"/>
      <c r="AE115" s="29"/>
      <c r="AF115" s="278"/>
      <c r="AG115" s="277"/>
      <c r="AH115" s="29"/>
      <c r="AI115" s="29"/>
      <c r="AJ115" s="29"/>
      <c r="AK115" s="29"/>
      <c r="AL115" s="29"/>
      <c r="AM115" s="29"/>
      <c r="AN115" s="29"/>
      <c r="AO115" s="29"/>
      <c r="AP115" s="29"/>
      <c r="AQ115" s="278"/>
      <c r="AR115" s="277"/>
      <c r="AS115" s="29"/>
      <c r="AT115" s="29"/>
      <c r="AU115" s="29"/>
      <c r="AV115" s="29"/>
      <c r="AW115" s="29"/>
      <c r="AX115" s="29"/>
      <c r="AY115" s="29"/>
      <c r="AZ115" s="29"/>
      <c r="BA115" s="29"/>
      <c r="BB115" s="278"/>
      <c r="BC115" s="277"/>
      <c r="BD115" s="29"/>
      <c r="BE115" s="29"/>
      <c r="BF115" s="29"/>
      <c r="BG115" s="29"/>
      <c r="BH115" s="29"/>
      <c r="BI115" s="29"/>
      <c r="BJ115" s="29"/>
      <c r="BK115" s="29"/>
      <c r="BL115" s="29"/>
      <c r="BM115" s="278"/>
    </row>
    <row r="116" spans="1:65" ht="13.5" thickTop="1">
      <c r="A116" s="544"/>
      <c r="B116" s="84" t="s">
        <v>192</v>
      </c>
      <c r="C116" s="310" t="s">
        <v>207</v>
      </c>
      <c r="D116" s="439" t="s">
        <v>727</v>
      </c>
      <c r="E116" s="439" t="s">
        <v>727</v>
      </c>
      <c r="F116" s="102" t="s">
        <v>249</v>
      </c>
      <c r="G116" s="508" t="s">
        <v>322</v>
      </c>
      <c r="H116" s="111"/>
      <c r="I116" s="502">
        <v>39904</v>
      </c>
      <c r="J116" s="537">
        <v>40299</v>
      </c>
      <c r="K116" s="277"/>
      <c r="L116" s="29"/>
      <c r="M116" s="29">
        <f t="shared" si="7"/>
        <v>0</v>
      </c>
      <c r="N116" s="29"/>
      <c r="O116" s="29"/>
      <c r="P116" s="29"/>
      <c r="Q116" s="29"/>
      <c r="R116" s="29"/>
      <c r="S116" s="29"/>
      <c r="T116" s="29"/>
      <c r="U116" s="84"/>
      <c r="V116" s="277">
        <f>'component cost estimation jens'!I25</f>
        <v>810000</v>
      </c>
      <c r="W116" s="29"/>
      <c r="X116" s="29"/>
      <c r="Y116" s="29"/>
      <c r="Z116" s="29"/>
      <c r="AA116" s="29"/>
      <c r="AB116" s="29"/>
      <c r="AC116" s="29"/>
      <c r="AD116" s="29"/>
      <c r="AE116" s="29"/>
      <c r="AF116" s="278"/>
      <c r="AG116" s="277"/>
      <c r="AH116" s="29"/>
      <c r="AI116" s="29"/>
      <c r="AJ116" s="29"/>
      <c r="AK116" s="29"/>
      <c r="AL116" s="29"/>
      <c r="AM116" s="29"/>
      <c r="AN116" s="29"/>
      <c r="AO116" s="29"/>
      <c r="AP116" s="29"/>
      <c r="AQ116" s="278"/>
      <c r="AR116" s="277"/>
      <c r="AS116" s="29"/>
      <c r="AT116" s="29"/>
      <c r="AU116" s="29"/>
      <c r="AV116" s="29"/>
      <c r="AW116" s="29"/>
      <c r="AX116" s="29"/>
      <c r="AY116" s="29"/>
      <c r="AZ116" s="29"/>
      <c r="BA116" s="29"/>
      <c r="BB116" s="278"/>
      <c r="BC116" s="277"/>
      <c r="BD116" s="29"/>
      <c r="BE116" s="29"/>
      <c r="BF116" s="29"/>
      <c r="BG116" s="29"/>
      <c r="BH116" s="29"/>
      <c r="BI116" s="29"/>
      <c r="BJ116" s="29"/>
      <c r="BK116" s="29"/>
      <c r="BL116" s="29"/>
      <c r="BM116" s="278"/>
    </row>
    <row r="117" spans="1:65" ht="12.75">
      <c r="A117" s="544"/>
      <c r="B117" s="84"/>
      <c r="C117" s="313" t="s">
        <v>250</v>
      </c>
      <c r="D117" s="429"/>
      <c r="E117" s="429"/>
      <c r="F117" s="71" t="s">
        <v>251</v>
      </c>
      <c r="G117" s="460"/>
      <c r="H117" s="75"/>
      <c r="I117" s="503"/>
      <c r="J117" s="538"/>
      <c r="K117" s="277"/>
      <c r="L117" s="29"/>
      <c r="M117" s="29">
        <f t="shared" si="7"/>
        <v>0</v>
      </c>
      <c r="N117" s="29"/>
      <c r="O117" s="29"/>
      <c r="P117" s="29"/>
      <c r="Q117" s="29"/>
      <c r="R117" s="29"/>
      <c r="S117" s="29"/>
      <c r="T117" s="29"/>
      <c r="U117" s="84"/>
      <c r="V117" s="277">
        <f>'component cost estimation jens'!I26</f>
        <v>123640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278"/>
      <c r="AG117" s="277"/>
      <c r="AH117" s="29"/>
      <c r="AI117" s="29"/>
      <c r="AJ117" s="29"/>
      <c r="AK117" s="29"/>
      <c r="AL117" s="29"/>
      <c r="AM117" s="29"/>
      <c r="AN117" s="29"/>
      <c r="AO117" s="29"/>
      <c r="AP117" s="29"/>
      <c r="AQ117" s="278"/>
      <c r="AR117" s="277"/>
      <c r="AS117" s="29"/>
      <c r="AT117" s="29"/>
      <c r="AU117" s="29"/>
      <c r="AV117" s="29"/>
      <c r="AW117" s="29"/>
      <c r="AX117" s="29"/>
      <c r="AY117" s="29"/>
      <c r="AZ117" s="29"/>
      <c r="BA117" s="29"/>
      <c r="BB117" s="278"/>
      <c r="BC117" s="277"/>
      <c r="BD117" s="29"/>
      <c r="BE117" s="29"/>
      <c r="BF117" s="29"/>
      <c r="BG117" s="29"/>
      <c r="BH117" s="29"/>
      <c r="BI117" s="29"/>
      <c r="BJ117" s="29"/>
      <c r="BK117" s="29"/>
      <c r="BL117" s="29"/>
      <c r="BM117" s="278"/>
    </row>
    <row r="118" spans="1:65" ht="12.75">
      <c r="A118" s="544"/>
      <c r="B118" s="84"/>
      <c r="C118" s="313"/>
      <c r="D118" s="429"/>
      <c r="E118" s="429"/>
      <c r="F118" s="71" t="s">
        <v>252</v>
      </c>
      <c r="G118" s="460"/>
      <c r="H118" s="75"/>
      <c r="I118" s="503"/>
      <c r="J118" s="538"/>
      <c r="K118" s="277"/>
      <c r="L118" s="29"/>
      <c r="M118" s="29">
        <f t="shared" si="7"/>
        <v>0</v>
      </c>
      <c r="N118" s="29"/>
      <c r="O118" s="29"/>
      <c r="P118" s="29"/>
      <c r="Q118" s="29"/>
      <c r="R118" s="29"/>
      <c r="S118" s="29"/>
      <c r="T118" s="29"/>
      <c r="U118" s="84"/>
      <c r="V118" s="277">
        <f>'component cost estimation jens'!I27</f>
        <v>576000</v>
      </c>
      <c r="W118" s="29"/>
      <c r="X118" s="29"/>
      <c r="Y118" s="29"/>
      <c r="Z118" s="29"/>
      <c r="AA118" s="29"/>
      <c r="AB118" s="29"/>
      <c r="AC118" s="29"/>
      <c r="AD118" s="29"/>
      <c r="AE118" s="29"/>
      <c r="AF118" s="278"/>
      <c r="AG118" s="277"/>
      <c r="AH118" s="29"/>
      <c r="AI118" s="29"/>
      <c r="AJ118" s="29"/>
      <c r="AK118" s="29"/>
      <c r="AL118" s="29"/>
      <c r="AM118" s="29"/>
      <c r="AN118" s="29"/>
      <c r="AO118" s="29"/>
      <c r="AP118" s="29"/>
      <c r="AQ118" s="278"/>
      <c r="AR118" s="277"/>
      <c r="AS118" s="29"/>
      <c r="AT118" s="29"/>
      <c r="AU118" s="29"/>
      <c r="AV118" s="29"/>
      <c r="AW118" s="29"/>
      <c r="AX118" s="29"/>
      <c r="AY118" s="29"/>
      <c r="AZ118" s="29"/>
      <c r="BA118" s="29"/>
      <c r="BB118" s="278"/>
      <c r="BC118" s="277"/>
      <c r="BD118" s="29"/>
      <c r="BE118" s="29"/>
      <c r="BF118" s="29"/>
      <c r="BG118" s="29"/>
      <c r="BH118" s="29"/>
      <c r="BI118" s="29"/>
      <c r="BJ118" s="29"/>
      <c r="BK118" s="29"/>
      <c r="BL118" s="29"/>
      <c r="BM118" s="278"/>
    </row>
    <row r="119" spans="1:65" ht="12.75">
      <c r="A119" s="544"/>
      <c r="B119" s="84"/>
      <c r="C119" s="313"/>
      <c r="D119" s="429"/>
      <c r="E119" s="429"/>
      <c r="F119" s="71" t="s">
        <v>253</v>
      </c>
      <c r="G119" s="460"/>
      <c r="H119" s="75"/>
      <c r="I119" s="503"/>
      <c r="J119" s="538"/>
      <c r="K119" s="277"/>
      <c r="L119" s="29"/>
      <c r="M119" s="29">
        <f t="shared" si="7"/>
        <v>0</v>
      </c>
      <c r="N119" s="29"/>
      <c r="O119" s="29"/>
      <c r="P119" s="29"/>
      <c r="Q119" s="29"/>
      <c r="R119" s="29"/>
      <c r="S119" s="29"/>
      <c r="T119" s="29"/>
      <c r="U119" s="84"/>
      <c r="V119" s="277">
        <f>'component cost estimation jens'!I28</f>
        <v>492400</v>
      </c>
      <c r="W119" s="29"/>
      <c r="X119" s="29"/>
      <c r="Y119" s="29"/>
      <c r="Z119" s="29"/>
      <c r="AA119" s="29"/>
      <c r="AB119" s="29"/>
      <c r="AC119" s="29"/>
      <c r="AD119" s="29"/>
      <c r="AE119" s="29"/>
      <c r="AF119" s="278"/>
      <c r="AG119" s="277"/>
      <c r="AH119" s="29"/>
      <c r="AI119" s="29"/>
      <c r="AJ119" s="29"/>
      <c r="AK119" s="29"/>
      <c r="AL119" s="29"/>
      <c r="AM119" s="29"/>
      <c r="AN119" s="29"/>
      <c r="AO119" s="29"/>
      <c r="AP119" s="29"/>
      <c r="AQ119" s="278"/>
      <c r="AR119" s="277"/>
      <c r="AS119" s="29"/>
      <c r="AT119" s="29"/>
      <c r="AU119" s="29"/>
      <c r="AV119" s="29"/>
      <c r="AW119" s="29"/>
      <c r="AX119" s="29"/>
      <c r="AY119" s="29"/>
      <c r="AZ119" s="29"/>
      <c r="BA119" s="29"/>
      <c r="BB119" s="278"/>
      <c r="BC119" s="277"/>
      <c r="BD119" s="29"/>
      <c r="BE119" s="29"/>
      <c r="BF119" s="29"/>
      <c r="BG119" s="29"/>
      <c r="BH119" s="29"/>
      <c r="BI119" s="29"/>
      <c r="BJ119" s="29"/>
      <c r="BK119" s="29"/>
      <c r="BL119" s="29"/>
      <c r="BM119" s="278"/>
    </row>
    <row r="120" spans="1:65" ht="12.75">
      <c r="A120" s="544"/>
      <c r="B120" s="84"/>
      <c r="C120" s="313"/>
      <c r="D120" s="429"/>
      <c r="E120" s="429"/>
      <c r="F120" s="71" t="s">
        <v>254</v>
      </c>
      <c r="G120" s="460"/>
      <c r="H120" s="75"/>
      <c r="I120" s="503"/>
      <c r="J120" s="538"/>
      <c r="K120" s="277"/>
      <c r="L120" s="29"/>
      <c r="M120" s="29">
        <f t="shared" si="7"/>
        <v>0</v>
      </c>
      <c r="N120" s="29"/>
      <c r="O120" s="29"/>
      <c r="P120" s="29"/>
      <c r="Q120" s="29"/>
      <c r="R120" s="29"/>
      <c r="S120" s="29"/>
      <c r="T120" s="29"/>
      <c r="U120" s="84"/>
      <c r="V120" s="277">
        <f>'component cost estimation jens'!I29</f>
        <v>54000</v>
      </c>
      <c r="W120" s="29"/>
      <c r="X120" s="29"/>
      <c r="Y120" s="29"/>
      <c r="Z120" s="29"/>
      <c r="AA120" s="29"/>
      <c r="AB120" s="29"/>
      <c r="AC120" s="29"/>
      <c r="AD120" s="29"/>
      <c r="AE120" s="29"/>
      <c r="AF120" s="278"/>
      <c r="AG120" s="277"/>
      <c r="AH120" s="29"/>
      <c r="AI120" s="29"/>
      <c r="AJ120" s="29"/>
      <c r="AK120" s="29"/>
      <c r="AL120" s="29"/>
      <c r="AM120" s="29"/>
      <c r="AN120" s="29"/>
      <c r="AO120" s="29"/>
      <c r="AP120" s="29"/>
      <c r="AQ120" s="278"/>
      <c r="AR120" s="277"/>
      <c r="AS120" s="29"/>
      <c r="AT120" s="29"/>
      <c r="AU120" s="29"/>
      <c r="AV120" s="29"/>
      <c r="AW120" s="29"/>
      <c r="AX120" s="29"/>
      <c r="AY120" s="29"/>
      <c r="AZ120" s="29"/>
      <c r="BA120" s="29"/>
      <c r="BB120" s="278"/>
      <c r="BC120" s="277"/>
      <c r="BD120" s="29"/>
      <c r="BE120" s="29"/>
      <c r="BF120" s="29"/>
      <c r="BG120" s="29"/>
      <c r="BH120" s="29"/>
      <c r="BI120" s="29"/>
      <c r="BJ120" s="29"/>
      <c r="BK120" s="29"/>
      <c r="BL120" s="29"/>
      <c r="BM120" s="278"/>
    </row>
    <row r="121" spans="1:65" ht="12.75">
      <c r="A121" s="544"/>
      <c r="B121" s="84"/>
      <c r="C121" s="313" t="s">
        <v>145</v>
      </c>
      <c r="D121" s="429"/>
      <c r="E121" s="429"/>
      <c r="F121" s="71"/>
      <c r="G121" s="460"/>
      <c r="H121" s="75"/>
      <c r="I121" s="503"/>
      <c r="J121" s="538"/>
      <c r="K121" s="277"/>
      <c r="L121" s="29"/>
      <c r="M121" s="29">
        <f t="shared" si="7"/>
        <v>0</v>
      </c>
      <c r="N121" s="29"/>
      <c r="O121" s="29"/>
      <c r="P121" s="29"/>
      <c r="Q121" s="29"/>
      <c r="R121" s="29"/>
      <c r="S121" s="29"/>
      <c r="T121" s="29"/>
      <c r="U121" s="84"/>
      <c r="V121" s="277"/>
      <c r="W121" s="29"/>
      <c r="X121" s="29"/>
      <c r="Y121" s="29"/>
      <c r="Z121" s="29"/>
      <c r="AA121" s="29"/>
      <c r="AB121" s="29"/>
      <c r="AC121" s="29"/>
      <c r="AD121" s="29"/>
      <c r="AE121" s="29"/>
      <c r="AF121" s="278"/>
      <c r="AG121" s="277"/>
      <c r="AH121" s="29"/>
      <c r="AI121" s="29"/>
      <c r="AJ121" s="29"/>
      <c r="AK121" s="29"/>
      <c r="AL121" s="29"/>
      <c r="AM121" s="29"/>
      <c r="AN121" s="29"/>
      <c r="AO121" s="29"/>
      <c r="AP121" s="29"/>
      <c r="AQ121" s="278"/>
      <c r="AR121" s="277"/>
      <c r="AS121" s="29"/>
      <c r="AT121" s="29"/>
      <c r="AU121" s="29"/>
      <c r="AV121" s="29"/>
      <c r="AW121" s="29"/>
      <c r="AX121" s="29"/>
      <c r="AY121" s="29"/>
      <c r="AZ121" s="29"/>
      <c r="BA121" s="29"/>
      <c r="BB121" s="278"/>
      <c r="BC121" s="277"/>
      <c r="BD121" s="29"/>
      <c r="BE121" s="29"/>
      <c r="BF121" s="29"/>
      <c r="BG121" s="29"/>
      <c r="BH121" s="29"/>
      <c r="BI121" s="29"/>
      <c r="BJ121" s="29"/>
      <c r="BK121" s="29"/>
      <c r="BL121" s="29"/>
      <c r="BM121" s="278"/>
    </row>
    <row r="122" spans="1:65" ht="12.75">
      <c r="A122" s="544"/>
      <c r="B122" s="84"/>
      <c r="C122" s="313"/>
      <c r="D122" s="429"/>
      <c r="E122" s="429"/>
      <c r="F122" s="71" t="s">
        <v>694</v>
      </c>
      <c r="G122" s="460"/>
      <c r="H122" s="75"/>
      <c r="I122" s="503"/>
      <c r="J122" s="538"/>
      <c r="K122" s="277"/>
      <c r="L122" s="29"/>
      <c r="M122" s="29">
        <f t="shared" si="7"/>
        <v>0</v>
      </c>
      <c r="N122" s="29"/>
      <c r="O122" s="29"/>
      <c r="P122" s="29"/>
      <c r="Q122" s="29"/>
      <c r="R122" s="29"/>
      <c r="S122" s="29"/>
      <c r="T122" s="29"/>
      <c r="U122" s="84"/>
      <c r="V122" s="277" t="e">
        <f>'component cost estimation jens'!#REF!</f>
        <v>#REF!</v>
      </c>
      <c r="W122" s="29"/>
      <c r="X122" s="29"/>
      <c r="Y122" s="29"/>
      <c r="Z122" s="29"/>
      <c r="AA122" s="29"/>
      <c r="AB122" s="29"/>
      <c r="AC122" s="29"/>
      <c r="AD122" s="29"/>
      <c r="AE122" s="29"/>
      <c r="AF122" s="278"/>
      <c r="AG122" s="277"/>
      <c r="AH122" s="29"/>
      <c r="AI122" s="29"/>
      <c r="AJ122" s="29"/>
      <c r="AK122" s="29"/>
      <c r="AL122" s="29"/>
      <c r="AM122" s="29"/>
      <c r="AN122" s="29"/>
      <c r="AO122" s="29"/>
      <c r="AP122" s="29"/>
      <c r="AQ122" s="278"/>
      <c r="AR122" s="277"/>
      <c r="AS122" s="29"/>
      <c r="AT122" s="29"/>
      <c r="AU122" s="29"/>
      <c r="AV122" s="29"/>
      <c r="AW122" s="29"/>
      <c r="AX122" s="29"/>
      <c r="AY122" s="29"/>
      <c r="AZ122" s="29"/>
      <c r="BA122" s="29"/>
      <c r="BB122" s="278"/>
      <c r="BC122" s="277"/>
      <c r="BD122" s="29"/>
      <c r="BE122" s="29"/>
      <c r="BF122" s="29"/>
      <c r="BG122" s="29"/>
      <c r="BH122" s="29"/>
      <c r="BI122" s="29"/>
      <c r="BJ122" s="29"/>
      <c r="BK122" s="29"/>
      <c r="BL122" s="29"/>
      <c r="BM122" s="278"/>
    </row>
    <row r="123" spans="1:65" ht="12.75">
      <c r="A123" s="544"/>
      <c r="B123" s="84"/>
      <c r="C123" s="313" t="s">
        <v>212</v>
      </c>
      <c r="D123" s="429"/>
      <c r="E123" s="429"/>
      <c r="F123" s="71" t="s">
        <v>255</v>
      </c>
      <c r="G123" s="460"/>
      <c r="H123" s="75"/>
      <c r="I123" s="503"/>
      <c r="J123" s="538"/>
      <c r="K123" s="277"/>
      <c r="L123" s="29"/>
      <c r="M123" s="29">
        <f t="shared" si="7"/>
        <v>0</v>
      </c>
      <c r="N123" s="29"/>
      <c r="O123" s="29"/>
      <c r="P123" s="29"/>
      <c r="Q123" s="29"/>
      <c r="R123" s="29"/>
      <c r="S123" s="29"/>
      <c r="T123" s="29"/>
      <c r="U123" s="84"/>
      <c r="V123" s="277">
        <f>'component cost estimation jens'!I32</f>
        <v>1370000</v>
      </c>
      <c r="W123" s="29"/>
      <c r="X123" s="29"/>
      <c r="Y123" s="29"/>
      <c r="Z123" s="29"/>
      <c r="AA123" s="29"/>
      <c r="AB123" s="29"/>
      <c r="AC123" s="29"/>
      <c r="AD123" s="29"/>
      <c r="AE123" s="29"/>
      <c r="AF123" s="278"/>
      <c r="AG123" s="277"/>
      <c r="AH123" s="29"/>
      <c r="AI123" s="29"/>
      <c r="AJ123" s="29"/>
      <c r="AK123" s="29"/>
      <c r="AL123" s="29"/>
      <c r="AM123" s="29"/>
      <c r="AN123" s="29"/>
      <c r="AO123" s="29"/>
      <c r="AP123" s="29"/>
      <c r="AQ123" s="278"/>
      <c r="AR123" s="277"/>
      <c r="AS123" s="29"/>
      <c r="AT123" s="29"/>
      <c r="AU123" s="29"/>
      <c r="AV123" s="29"/>
      <c r="AW123" s="29"/>
      <c r="AX123" s="29"/>
      <c r="AY123" s="29"/>
      <c r="AZ123" s="29"/>
      <c r="BA123" s="29"/>
      <c r="BB123" s="278"/>
      <c r="BC123" s="277"/>
      <c r="BD123" s="29"/>
      <c r="BE123" s="29"/>
      <c r="BF123" s="29"/>
      <c r="BG123" s="29"/>
      <c r="BH123" s="29"/>
      <c r="BI123" s="29"/>
      <c r="BJ123" s="29"/>
      <c r="BK123" s="29"/>
      <c r="BL123" s="29"/>
      <c r="BM123" s="278"/>
    </row>
    <row r="124" spans="1:65" ht="12.75">
      <c r="A124" s="544"/>
      <c r="B124" s="84"/>
      <c r="C124" s="313"/>
      <c r="D124" s="429"/>
      <c r="E124" s="429"/>
      <c r="F124" s="71" t="s">
        <v>256</v>
      </c>
      <c r="G124" s="460"/>
      <c r="H124" s="75"/>
      <c r="I124" s="503"/>
      <c r="J124" s="538"/>
      <c r="K124" s="277"/>
      <c r="L124" s="29"/>
      <c r="M124" s="29">
        <f t="shared" si="7"/>
        <v>0</v>
      </c>
      <c r="N124" s="29"/>
      <c r="O124" s="29"/>
      <c r="P124" s="29"/>
      <c r="Q124" s="29"/>
      <c r="R124" s="29"/>
      <c r="S124" s="29"/>
      <c r="T124" s="29"/>
      <c r="U124" s="84"/>
      <c r="V124" s="277">
        <f>'component cost estimation jens'!I33</f>
        <v>1772000</v>
      </c>
      <c r="W124" s="29"/>
      <c r="X124" s="29"/>
      <c r="Y124" s="29"/>
      <c r="Z124" s="29"/>
      <c r="AA124" s="29"/>
      <c r="AB124" s="29"/>
      <c r="AC124" s="29"/>
      <c r="AD124" s="29"/>
      <c r="AE124" s="29"/>
      <c r="AF124" s="278"/>
      <c r="AG124" s="277"/>
      <c r="AH124" s="29"/>
      <c r="AI124" s="29"/>
      <c r="AJ124" s="29"/>
      <c r="AK124" s="29"/>
      <c r="AL124" s="29"/>
      <c r="AM124" s="29"/>
      <c r="AN124" s="29"/>
      <c r="AO124" s="29"/>
      <c r="AP124" s="29"/>
      <c r="AQ124" s="278"/>
      <c r="AR124" s="277"/>
      <c r="AS124" s="29"/>
      <c r="AT124" s="29"/>
      <c r="AU124" s="29"/>
      <c r="AV124" s="29"/>
      <c r="AW124" s="29"/>
      <c r="AX124" s="29"/>
      <c r="AY124" s="29"/>
      <c r="AZ124" s="29"/>
      <c r="BA124" s="29"/>
      <c r="BB124" s="278"/>
      <c r="BC124" s="277"/>
      <c r="BD124" s="29"/>
      <c r="BE124" s="29"/>
      <c r="BF124" s="29"/>
      <c r="BG124" s="29"/>
      <c r="BH124" s="29"/>
      <c r="BI124" s="29"/>
      <c r="BJ124" s="29"/>
      <c r="BK124" s="29"/>
      <c r="BL124" s="29"/>
      <c r="BM124" s="278"/>
    </row>
    <row r="125" spans="1:65" ht="12.75">
      <c r="A125" s="544"/>
      <c r="B125" s="84"/>
      <c r="C125" s="313"/>
      <c r="D125" s="429"/>
      <c r="E125" s="429"/>
      <c r="F125" s="71" t="s">
        <v>257</v>
      </c>
      <c r="G125" s="460"/>
      <c r="H125" s="75"/>
      <c r="I125" s="503"/>
      <c r="J125" s="538"/>
      <c r="K125" s="277"/>
      <c r="L125" s="29"/>
      <c r="M125" s="29">
        <f t="shared" si="7"/>
        <v>0</v>
      </c>
      <c r="N125" s="29"/>
      <c r="O125" s="29"/>
      <c r="P125" s="29"/>
      <c r="Q125" s="29"/>
      <c r="R125" s="29"/>
      <c r="S125" s="29"/>
      <c r="T125" s="29"/>
      <c r="U125" s="84"/>
      <c r="V125" s="277">
        <f>'component cost estimation jens'!I36</f>
        <v>417857.1428571429</v>
      </c>
      <c r="W125" s="29"/>
      <c r="X125" s="29"/>
      <c r="Y125" s="29"/>
      <c r="Z125" s="29"/>
      <c r="AA125" s="29"/>
      <c r="AB125" s="29"/>
      <c r="AC125" s="29"/>
      <c r="AD125" s="29"/>
      <c r="AE125" s="29"/>
      <c r="AF125" s="278"/>
      <c r="AG125" s="277"/>
      <c r="AH125" s="29"/>
      <c r="AI125" s="29"/>
      <c r="AJ125" s="29"/>
      <c r="AK125" s="29"/>
      <c r="AL125" s="29"/>
      <c r="AM125" s="29"/>
      <c r="AN125" s="29"/>
      <c r="AO125" s="29"/>
      <c r="AP125" s="29"/>
      <c r="AQ125" s="278"/>
      <c r="AR125" s="277"/>
      <c r="AS125" s="29"/>
      <c r="AT125" s="29"/>
      <c r="AU125" s="29"/>
      <c r="AV125" s="29"/>
      <c r="AW125" s="29"/>
      <c r="AX125" s="29"/>
      <c r="AY125" s="29"/>
      <c r="AZ125" s="29"/>
      <c r="BA125" s="29"/>
      <c r="BB125" s="278"/>
      <c r="BC125" s="277"/>
      <c r="BD125" s="29"/>
      <c r="BE125" s="29"/>
      <c r="BF125" s="29"/>
      <c r="BG125" s="29"/>
      <c r="BH125" s="29"/>
      <c r="BI125" s="29"/>
      <c r="BJ125" s="29"/>
      <c r="BK125" s="29"/>
      <c r="BL125" s="29"/>
      <c r="BM125" s="278"/>
    </row>
    <row r="126" spans="1:65" ht="12.75">
      <c r="A126" s="544"/>
      <c r="B126" s="84"/>
      <c r="C126" s="313"/>
      <c r="D126" s="429"/>
      <c r="E126" s="429"/>
      <c r="F126" s="71" t="s">
        <v>258</v>
      </c>
      <c r="G126" s="460"/>
      <c r="H126" s="75"/>
      <c r="I126" s="503"/>
      <c r="J126" s="538"/>
      <c r="K126" s="277"/>
      <c r="L126" s="29"/>
      <c r="M126" s="29">
        <f t="shared" si="7"/>
        <v>0</v>
      </c>
      <c r="N126" s="29"/>
      <c r="O126" s="29"/>
      <c r="P126" s="29"/>
      <c r="Q126" s="29"/>
      <c r="R126" s="29"/>
      <c r="S126" s="29"/>
      <c r="T126" s="29"/>
      <c r="U126" s="84"/>
      <c r="V126" s="277">
        <f>'component cost estimation jens'!I37</f>
        <v>162000</v>
      </c>
      <c r="W126" s="29"/>
      <c r="X126" s="29"/>
      <c r="Y126" s="29"/>
      <c r="Z126" s="29"/>
      <c r="AA126" s="29"/>
      <c r="AB126" s="29"/>
      <c r="AC126" s="29"/>
      <c r="AD126" s="29"/>
      <c r="AE126" s="29"/>
      <c r="AF126" s="278"/>
      <c r="AG126" s="277"/>
      <c r="AH126" s="29"/>
      <c r="AI126" s="29"/>
      <c r="AJ126" s="29"/>
      <c r="AK126" s="29"/>
      <c r="AL126" s="29"/>
      <c r="AM126" s="29"/>
      <c r="AN126" s="29"/>
      <c r="AO126" s="29"/>
      <c r="AP126" s="29"/>
      <c r="AQ126" s="278"/>
      <c r="AR126" s="277"/>
      <c r="AS126" s="29"/>
      <c r="AT126" s="29"/>
      <c r="AU126" s="29"/>
      <c r="AV126" s="29"/>
      <c r="AW126" s="29"/>
      <c r="AX126" s="29"/>
      <c r="AY126" s="29"/>
      <c r="AZ126" s="29"/>
      <c r="BA126" s="29"/>
      <c r="BB126" s="278"/>
      <c r="BC126" s="277"/>
      <c r="BD126" s="29"/>
      <c r="BE126" s="29"/>
      <c r="BF126" s="29"/>
      <c r="BG126" s="29"/>
      <c r="BH126" s="29"/>
      <c r="BI126" s="29"/>
      <c r="BJ126" s="29"/>
      <c r="BK126" s="29"/>
      <c r="BL126" s="29"/>
      <c r="BM126" s="278"/>
    </row>
    <row r="127" spans="1:65" ht="12.75">
      <c r="A127" s="544"/>
      <c r="B127" s="84"/>
      <c r="C127" s="313"/>
      <c r="D127" s="429"/>
      <c r="E127" s="429"/>
      <c r="F127" s="71" t="s">
        <v>749</v>
      </c>
      <c r="G127" s="460"/>
      <c r="H127" s="75"/>
      <c r="I127" s="503"/>
      <c r="J127" s="538"/>
      <c r="K127" s="277"/>
      <c r="L127" s="29"/>
      <c r="M127" s="29">
        <f t="shared" si="7"/>
        <v>0</v>
      </c>
      <c r="N127" s="29"/>
      <c r="O127" s="29"/>
      <c r="P127" s="29"/>
      <c r="Q127" s="29"/>
      <c r="R127" s="29"/>
      <c r="S127" s="29"/>
      <c r="T127" s="29"/>
      <c r="U127" s="84"/>
      <c r="V127" s="277">
        <f>'component cost estimation jens'!I38</f>
        <v>7020000</v>
      </c>
      <c r="W127" s="29"/>
      <c r="X127" s="29"/>
      <c r="Y127" s="29"/>
      <c r="Z127" s="29"/>
      <c r="AA127" s="29"/>
      <c r="AB127" s="29"/>
      <c r="AC127" s="29"/>
      <c r="AD127" s="29"/>
      <c r="AE127" s="29"/>
      <c r="AF127" s="278"/>
      <c r="AG127" s="277"/>
      <c r="AH127" s="29"/>
      <c r="AI127" s="29"/>
      <c r="AJ127" s="29"/>
      <c r="AK127" s="29"/>
      <c r="AL127" s="29"/>
      <c r="AM127" s="29"/>
      <c r="AN127" s="29"/>
      <c r="AO127" s="29"/>
      <c r="AP127" s="29"/>
      <c r="AQ127" s="278"/>
      <c r="AR127" s="277"/>
      <c r="AS127" s="29"/>
      <c r="AT127" s="29"/>
      <c r="AU127" s="29"/>
      <c r="AV127" s="29"/>
      <c r="AW127" s="29"/>
      <c r="AX127" s="29"/>
      <c r="AY127" s="29"/>
      <c r="AZ127" s="29"/>
      <c r="BA127" s="29"/>
      <c r="BB127" s="278"/>
      <c r="BC127" s="277"/>
      <c r="BD127" s="29"/>
      <c r="BE127" s="29"/>
      <c r="BF127" s="29"/>
      <c r="BG127" s="29"/>
      <c r="BH127" s="29"/>
      <c r="BI127" s="29"/>
      <c r="BJ127" s="29"/>
      <c r="BK127" s="29"/>
      <c r="BL127" s="29"/>
      <c r="BM127" s="278"/>
    </row>
    <row r="128" spans="1:65" ht="12.75">
      <c r="A128" s="544"/>
      <c r="B128" s="84"/>
      <c r="C128" s="313" t="s">
        <v>219</v>
      </c>
      <c r="D128" s="429"/>
      <c r="E128" s="429"/>
      <c r="F128" s="71" t="s">
        <v>752</v>
      </c>
      <c r="G128" s="460"/>
      <c r="H128" s="75"/>
      <c r="I128" s="503"/>
      <c r="J128" s="538"/>
      <c r="K128" s="277"/>
      <c r="L128" s="29"/>
      <c r="M128" s="29">
        <f t="shared" si="7"/>
        <v>0</v>
      </c>
      <c r="N128" s="29"/>
      <c r="O128" s="29"/>
      <c r="P128" s="29"/>
      <c r="Q128" s="29"/>
      <c r="R128" s="29"/>
      <c r="S128" s="29"/>
      <c r="T128" s="29"/>
      <c r="U128" s="84"/>
      <c r="V128" s="277">
        <f>'component cost estimation jens'!I39</f>
        <v>270000</v>
      </c>
      <c r="W128" s="29"/>
      <c r="X128" s="29"/>
      <c r="Y128" s="29"/>
      <c r="Z128" s="29"/>
      <c r="AA128" s="29"/>
      <c r="AB128" s="29"/>
      <c r="AC128" s="29"/>
      <c r="AD128" s="29"/>
      <c r="AE128" s="29"/>
      <c r="AF128" s="278"/>
      <c r="AG128" s="277"/>
      <c r="AH128" s="29"/>
      <c r="AI128" s="29"/>
      <c r="AJ128" s="29"/>
      <c r="AK128" s="29"/>
      <c r="AL128" s="29"/>
      <c r="AM128" s="29"/>
      <c r="AN128" s="29"/>
      <c r="AO128" s="29"/>
      <c r="AP128" s="29"/>
      <c r="AQ128" s="278"/>
      <c r="AR128" s="277"/>
      <c r="AS128" s="29"/>
      <c r="AT128" s="29"/>
      <c r="AU128" s="29"/>
      <c r="AV128" s="29"/>
      <c r="AW128" s="29"/>
      <c r="AX128" s="29"/>
      <c r="AY128" s="29"/>
      <c r="AZ128" s="29"/>
      <c r="BA128" s="29"/>
      <c r="BB128" s="278"/>
      <c r="BC128" s="277"/>
      <c r="BD128" s="29"/>
      <c r="BE128" s="29"/>
      <c r="BF128" s="29"/>
      <c r="BG128" s="29"/>
      <c r="BH128" s="29"/>
      <c r="BI128" s="29"/>
      <c r="BJ128" s="29"/>
      <c r="BK128" s="29"/>
      <c r="BL128" s="29"/>
      <c r="BM128" s="278"/>
    </row>
    <row r="129" spans="1:65" ht="12.75">
      <c r="A129" s="544"/>
      <c r="B129" s="84"/>
      <c r="C129" s="313"/>
      <c r="D129" s="429"/>
      <c r="E129" s="429"/>
      <c r="F129" s="71" t="s">
        <v>259</v>
      </c>
      <c r="G129" s="460"/>
      <c r="H129" s="75"/>
      <c r="I129" s="503"/>
      <c r="J129" s="538"/>
      <c r="K129" s="277"/>
      <c r="L129" s="29"/>
      <c r="M129" s="29">
        <f t="shared" si="7"/>
        <v>0</v>
      </c>
      <c r="N129" s="29"/>
      <c r="O129" s="29"/>
      <c r="P129" s="29"/>
      <c r="Q129" s="29"/>
      <c r="R129" s="29"/>
      <c r="S129" s="29"/>
      <c r="T129" s="29"/>
      <c r="U129" s="84"/>
      <c r="V129" s="277">
        <f>'component cost estimation jens'!I40</f>
        <v>450000</v>
      </c>
      <c r="W129" s="29"/>
      <c r="X129" s="29"/>
      <c r="Y129" s="29"/>
      <c r="Z129" s="29"/>
      <c r="AA129" s="29"/>
      <c r="AB129" s="29"/>
      <c r="AC129" s="29"/>
      <c r="AD129" s="29"/>
      <c r="AE129" s="29"/>
      <c r="AF129" s="278"/>
      <c r="AG129" s="277"/>
      <c r="AH129" s="29"/>
      <c r="AI129" s="29"/>
      <c r="AJ129" s="29"/>
      <c r="AK129" s="29"/>
      <c r="AL129" s="29"/>
      <c r="AM129" s="29"/>
      <c r="AN129" s="29"/>
      <c r="AO129" s="29"/>
      <c r="AP129" s="29"/>
      <c r="AQ129" s="278"/>
      <c r="AR129" s="277"/>
      <c r="AS129" s="29"/>
      <c r="AT129" s="29"/>
      <c r="AU129" s="29"/>
      <c r="AV129" s="29"/>
      <c r="AW129" s="29"/>
      <c r="AX129" s="29"/>
      <c r="AY129" s="29"/>
      <c r="AZ129" s="29"/>
      <c r="BA129" s="29"/>
      <c r="BB129" s="278"/>
      <c r="BC129" s="277"/>
      <c r="BD129" s="29"/>
      <c r="BE129" s="29"/>
      <c r="BF129" s="29"/>
      <c r="BG129" s="29"/>
      <c r="BH129" s="29"/>
      <c r="BI129" s="29"/>
      <c r="BJ129" s="29"/>
      <c r="BK129" s="29"/>
      <c r="BL129" s="29"/>
      <c r="BM129" s="278"/>
    </row>
    <row r="130" spans="1:65" ht="12.75">
      <c r="A130" s="544"/>
      <c r="B130" s="84"/>
      <c r="C130" s="313"/>
      <c r="D130" s="429"/>
      <c r="E130" s="429"/>
      <c r="F130" s="71" t="s">
        <v>260</v>
      </c>
      <c r="G130" s="460"/>
      <c r="H130" s="75"/>
      <c r="I130" s="503"/>
      <c r="J130" s="538"/>
      <c r="K130" s="277"/>
      <c r="L130" s="29"/>
      <c r="M130" s="29">
        <f t="shared" si="7"/>
        <v>0</v>
      </c>
      <c r="N130" s="29"/>
      <c r="O130" s="29"/>
      <c r="P130" s="29"/>
      <c r="Q130" s="29"/>
      <c r="R130" s="29"/>
      <c r="S130" s="29"/>
      <c r="T130" s="29"/>
      <c r="U130" s="84"/>
      <c r="V130" s="277">
        <f>'component cost estimation jens'!I41</f>
        <v>390000</v>
      </c>
      <c r="W130" s="29"/>
      <c r="X130" s="29"/>
      <c r="Y130" s="29"/>
      <c r="Z130" s="29"/>
      <c r="AA130" s="29"/>
      <c r="AB130" s="29"/>
      <c r="AC130" s="29"/>
      <c r="AD130" s="29"/>
      <c r="AE130" s="29"/>
      <c r="AF130" s="278"/>
      <c r="AG130" s="277"/>
      <c r="AH130" s="29"/>
      <c r="AI130" s="29"/>
      <c r="AJ130" s="29"/>
      <c r="AK130" s="29"/>
      <c r="AL130" s="29"/>
      <c r="AM130" s="29"/>
      <c r="AN130" s="29"/>
      <c r="AO130" s="29"/>
      <c r="AP130" s="29"/>
      <c r="AQ130" s="278"/>
      <c r="AR130" s="277"/>
      <c r="AS130" s="29"/>
      <c r="AT130" s="29"/>
      <c r="AU130" s="29"/>
      <c r="AV130" s="29"/>
      <c r="AW130" s="29"/>
      <c r="AX130" s="29"/>
      <c r="AY130" s="29"/>
      <c r="AZ130" s="29"/>
      <c r="BA130" s="29"/>
      <c r="BB130" s="278"/>
      <c r="BC130" s="277"/>
      <c r="BD130" s="29"/>
      <c r="BE130" s="29"/>
      <c r="BF130" s="29"/>
      <c r="BG130" s="29"/>
      <c r="BH130" s="29"/>
      <c r="BI130" s="29"/>
      <c r="BJ130" s="29"/>
      <c r="BK130" s="29"/>
      <c r="BL130" s="29"/>
      <c r="BM130" s="278"/>
    </row>
    <row r="131" spans="1:65" ht="12.75">
      <c r="A131" s="544"/>
      <c r="B131" s="84"/>
      <c r="C131" s="313"/>
      <c r="D131" s="429"/>
      <c r="E131" s="429"/>
      <c r="F131" s="71" t="s">
        <v>261</v>
      </c>
      <c r="G131" s="460"/>
      <c r="H131" s="75"/>
      <c r="I131" s="503"/>
      <c r="J131" s="538"/>
      <c r="K131" s="277"/>
      <c r="L131" s="29"/>
      <c r="M131" s="29">
        <f t="shared" si="7"/>
        <v>0</v>
      </c>
      <c r="N131" s="29"/>
      <c r="O131" s="29"/>
      <c r="P131" s="29"/>
      <c r="Q131" s="29"/>
      <c r="R131" s="29"/>
      <c r="S131" s="29"/>
      <c r="T131" s="29"/>
      <c r="U131" s="84"/>
      <c r="V131" s="277" t="e">
        <f>'component cost estimation jens'!#REF!</f>
        <v>#REF!</v>
      </c>
      <c r="W131" s="29"/>
      <c r="X131" s="29"/>
      <c r="Y131" s="29"/>
      <c r="Z131" s="29"/>
      <c r="AA131" s="29"/>
      <c r="AB131" s="29"/>
      <c r="AC131" s="29"/>
      <c r="AD131" s="29"/>
      <c r="AE131" s="29"/>
      <c r="AF131" s="278"/>
      <c r="AG131" s="277"/>
      <c r="AH131" s="29"/>
      <c r="AI131" s="29"/>
      <c r="AJ131" s="29"/>
      <c r="AK131" s="29"/>
      <c r="AL131" s="29"/>
      <c r="AM131" s="29"/>
      <c r="AN131" s="29"/>
      <c r="AO131" s="29"/>
      <c r="AP131" s="29"/>
      <c r="AQ131" s="278"/>
      <c r="AR131" s="277"/>
      <c r="AS131" s="29"/>
      <c r="AT131" s="29"/>
      <c r="AU131" s="29"/>
      <c r="AV131" s="29"/>
      <c r="AW131" s="29"/>
      <c r="AX131" s="29"/>
      <c r="AY131" s="29"/>
      <c r="AZ131" s="29"/>
      <c r="BA131" s="29"/>
      <c r="BB131" s="278"/>
      <c r="BC131" s="277"/>
      <c r="BD131" s="29"/>
      <c r="BE131" s="29"/>
      <c r="BF131" s="29"/>
      <c r="BG131" s="29"/>
      <c r="BH131" s="29"/>
      <c r="BI131" s="29"/>
      <c r="BJ131" s="29"/>
      <c r="BK131" s="29"/>
      <c r="BL131" s="29"/>
      <c r="BM131" s="278"/>
    </row>
    <row r="132" spans="1:65" ht="12.75">
      <c r="A132" s="544"/>
      <c r="B132" s="84"/>
      <c r="C132" s="327"/>
      <c r="D132" s="429"/>
      <c r="E132" s="429"/>
      <c r="F132" s="85" t="s">
        <v>62</v>
      </c>
      <c r="G132" s="428"/>
      <c r="H132" s="86"/>
      <c r="I132" s="504"/>
      <c r="J132" s="539"/>
      <c r="K132" s="277"/>
      <c r="L132" s="29"/>
      <c r="M132" s="29"/>
      <c r="N132" s="29"/>
      <c r="O132" s="29"/>
      <c r="P132" s="29"/>
      <c r="Q132" s="29"/>
      <c r="R132" s="29"/>
      <c r="S132" s="29"/>
      <c r="T132" s="29"/>
      <c r="U132" s="84"/>
      <c r="V132" s="277">
        <f>'component cost estimation jens'!I43</f>
        <v>519999.99999999994</v>
      </c>
      <c r="W132" s="29"/>
      <c r="X132" s="29"/>
      <c r="Y132" s="29"/>
      <c r="Z132" s="29"/>
      <c r="AA132" s="29"/>
      <c r="AB132" s="29"/>
      <c r="AC132" s="29"/>
      <c r="AD132" s="29"/>
      <c r="AE132" s="29"/>
      <c r="AF132" s="278"/>
      <c r="AG132" s="277"/>
      <c r="AH132" s="29"/>
      <c r="AI132" s="29"/>
      <c r="AJ132" s="29"/>
      <c r="AK132" s="29"/>
      <c r="AL132" s="29"/>
      <c r="AM132" s="29"/>
      <c r="AN132" s="29"/>
      <c r="AO132" s="29"/>
      <c r="AP132" s="29"/>
      <c r="AQ132" s="278"/>
      <c r="AR132" s="277"/>
      <c r="AS132" s="29"/>
      <c r="AT132" s="29"/>
      <c r="AU132" s="29"/>
      <c r="AV132" s="29"/>
      <c r="AW132" s="29"/>
      <c r="AX132" s="29"/>
      <c r="AY132" s="29"/>
      <c r="AZ132" s="29"/>
      <c r="BA132" s="29"/>
      <c r="BB132" s="278"/>
      <c r="BC132" s="277"/>
      <c r="BD132" s="29"/>
      <c r="BE132" s="29"/>
      <c r="BF132" s="29"/>
      <c r="BG132" s="29"/>
      <c r="BH132" s="29"/>
      <c r="BI132" s="29"/>
      <c r="BJ132" s="29"/>
      <c r="BK132" s="29"/>
      <c r="BL132" s="29"/>
      <c r="BM132" s="278"/>
    </row>
    <row r="133" spans="1:65" ht="12.75">
      <c r="A133" s="544"/>
      <c r="B133" s="84"/>
      <c r="C133" s="327"/>
      <c r="D133" s="429"/>
      <c r="E133" s="429"/>
      <c r="F133" s="85" t="s">
        <v>67</v>
      </c>
      <c r="G133" s="428"/>
      <c r="H133" s="86"/>
      <c r="I133" s="504"/>
      <c r="J133" s="539"/>
      <c r="K133" s="277"/>
      <c r="L133" s="29"/>
      <c r="M133" s="29"/>
      <c r="N133" s="29"/>
      <c r="O133" s="29"/>
      <c r="P133" s="29"/>
      <c r="Q133" s="29"/>
      <c r="R133" s="29"/>
      <c r="S133" s="29"/>
      <c r="T133" s="29"/>
      <c r="U133" s="84"/>
      <c r="V133" s="277">
        <f>'component cost estimation jens'!I45</f>
        <v>2200000</v>
      </c>
      <c r="W133" s="29"/>
      <c r="X133" s="29"/>
      <c r="Y133" s="29"/>
      <c r="Z133" s="29"/>
      <c r="AA133" s="29"/>
      <c r="AB133" s="29"/>
      <c r="AC133" s="29"/>
      <c r="AD133" s="29"/>
      <c r="AE133" s="29"/>
      <c r="AF133" s="278"/>
      <c r="AG133" s="277"/>
      <c r="AH133" s="29"/>
      <c r="AI133" s="29"/>
      <c r="AJ133" s="29"/>
      <c r="AK133" s="29"/>
      <c r="AL133" s="29"/>
      <c r="AM133" s="29"/>
      <c r="AN133" s="29"/>
      <c r="AO133" s="29"/>
      <c r="AP133" s="29"/>
      <c r="AQ133" s="278"/>
      <c r="AR133" s="277"/>
      <c r="AS133" s="29"/>
      <c r="AT133" s="29"/>
      <c r="AU133" s="29"/>
      <c r="AV133" s="29"/>
      <c r="AW133" s="29"/>
      <c r="AX133" s="29"/>
      <c r="AY133" s="29"/>
      <c r="AZ133" s="29"/>
      <c r="BA133" s="29"/>
      <c r="BB133" s="278"/>
      <c r="BC133" s="277"/>
      <c r="BD133" s="29"/>
      <c r="BE133" s="29"/>
      <c r="BF133" s="29"/>
      <c r="BG133" s="29"/>
      <c r="BH133" s="29"/>
      <c r="BI133" s="29"/>
      <c r="BJ133" s="29"/>
      <c r="BK133" s="29"/>
      <c r="BL133" s="29"/>
      <c r="BM133" s="278"/>
    </row>
    <row r="134" spans="1:65" ht="12.75">
      <c r="A134" s="544"/>
      <c r="B134" s="84"/>
      <c r="C134" s="327"/>
      <c r="D134" s="429"/>
      <c r="E134" s="429"/>
      <c r="F134" s="85" t="s">
        <v>600</v>
      </c>
      <c r="G134" s="428"/>
      <c r="H134" s="86"/>
      <c r="I134" s="504"/>
      <c r="J134" s="539"/>
      <c r="K134" s="277"/>
      <c r="L134" s="29"/>
      <c r="M134" s="29"/>
      <c r="N134" s="29"/>
      <c r="O134" s="29"/>
      <c r="P134" s="29"/>
      <c r="Q134" s="29"/>
      <c r="R134" s="29"/>
      <c r="S134" s="29"/>
      <c r="T134" s="29"/>
      <c r="U134" s="84"/>
      <c r="V134" s="277">
        <f>'component cost estimation jens'!I48</f>
        <v>624000</v>
      </c>
      <c r="W134" s="29"/>
      <c r="X134" s="29"/>
      <c r="Y134" s="29"/>
      <c r="Z134" s="29"/>
      <c r="AA134" s="29"/>
      <c r="AB134" s="29"/>
      <c r="AC134" s="29"/>
      <c r="AD134" s="29"/>
      <c r="AE134" s="29"/>
      <c r="AF134" s="278"/>
      <c r="AG134" s="277"/>
      <c r="AH134" s="29"/>
      <c r="AI134" s="29"/>
      <c r="AJ134" s="29"/>
      <c r="AK134" s="29"/>
      <c r="AL134" s="29"/>
      <c r="AM134" s="29"/>
      <c r="AN134" s="29"/>
      <c r="AO134" s="29"/>
      <c r="AP134" s="29"/>
      <c r="AQ134" s="278"/>
      <c r="AR134" s="277"/>
      <c r="AS134" s="29"/>
      <c r="AT134" s="29"/>
      <c r="AU134" s="29"/>
      <c r="AV134" s="29"/>
      <c r="AW134" s="29"/>
      <c r="AX134" s="29"/>
      <c r="AY134" s="29"/>
      <c r="AZ134" s="29"/>
      <c r="BA134" s="29"/>
      <c r="BB134" s="278"/>
      <c r="BC134" s="277"/>
      <c r="BD134" s="29"/>
      <c r="BE134" s="29"/>
      <c r="BF134" s="29"/>
      <c r="BG134" s="29"/>
      <c r="BH134" s="29"/>
      <c r="BI134" s="29"/>
      <c r="BJ134" s="29"/>
      <c r="BK134" s="29"/>
      <c r="BL134" s="29"/>
      <c r="BM134" s="278"/>
    </row>
    <row r="135" spans="1:65" ht="12.75">
      <c r="A135" s="544"/>
      <c r="B135" s="84"/>
      <c r="C135" s="327"/>
      <c r="D135" s="429"/>
      <c r="E135" s="429"/>
      <c r="F135" s="85" t="s">
        <v>657</v>
      </c>
      <c r="G135" s="428"/>
      <c r="H135" s="86"/>
      <c r="I135" s="504"/>
      <c r="J135" s="539"/>
      <c r="K135" s="277"/>
      <c r="L135" s="29"/>
      <c r="M135" s="29"/>
      <c r="N135" s="29"/>
      <c r="O135" s="29"/>
      <c r="P135" s="29"/>
      <c r="Q135" s="29"/>
      <c r="R135" s="29"/>
      <c r="S135" s="29"/>
      <c r="T135" s="29"/>
      <c r="U135" s="84"/>
      <c r="V135" s="277">
        <f>'component cost estimation jens'!I49</f>
        <v>198000</v>
      </c>
      <c r="W135" s="29"/>
      <c r="X135" s="29"/>
      <c r="Y135" s="29"/>
      <c r="Z135" s="29"/>
      <c r="AA135" s="29"/>
      <c r="AB135" s="29"/>
      <c r="AC135" s="29"/>
      <c r="AD135" s="29"/>
      <c r="AE135" s="29"/>
      <c r="AF135" s="278"/>
      <c r="AG135" s="277"/>
      <c r="AH135" s="29"/>
      <c r="AI135" s="29"/>
      <c r="AJ135" s="29"/>
      <c r="AK135" s="29"/>
      <c r="AL135" s="29"/>
      <c r="AM135" s="29"/>
      <c r="AN135" s="29"/>
      <c r="AO135" s="29"/>
      <c r="AP135" s="29"/>
      <c r="AQ135" s="278"/>
      <c r="AR135" s="277"/>
      <c r="AS135" s="29"/>
      <c r="AT135" s="29"/>
      <c r="AU135" s="29"/>
      <c r="AV135" s="29"/>
      <c r="AW135" s="29"/>
      <c r="AX135" s="29"/>
      <c r="AY135" s="29"/>
      <c r="AZ135" s="29"/>
      <c r="BA135" s="29"/>
      <c r="BB135" s="278"/>
      <c r="BC135" s="277"/>
      <c r="BD135" s="29"/>
      <c r="BE135" s="29"/>
      <c r="BF135" s="29"/>
      <c r="BG135" s="29"/>
      <c r="BH135" s="29"/>
      <c r="BI135" s="29"/>
      <c r="BJ135" s="29"/>
      <c r="BK135" s="29"/>
      <c r="BL135" s="29"/>
      <c r="BM135" s="278"/>
    </row>
    <row r="136" spans="1:65" ht="12.75">
      <c r="A136" s="544"/>
      <c r="B136" s="84"/>
      <c r="C136" s="327"/>
      <c r="D136" s="429"/>
      <c r="E136" s="429"/>
      <c r="F136" s="85" t="s">
        <v>658</v>
      </c>
      <c r="G136" s="428"/>
      <c r="H136" s="86"/>
      <c r="I136" s="504"/>
      <c r="J136" s="539"/>
      <c r="K136" s="277"/>
      <c r="L136" s="29"/>
      <c r="M136" s="29"/>
      <c r="N136" s="29"/>
      <c r="O136" s="29"/>
      <c r="P136" s="29"/>
      <c r="Q136" s="29"/>
      <c r="R136" s="29"/>
      <c r="S136" s="29"/>
      <c r="T136" s="29"/>
      <c r="U136" s="84"/>
      <c r="V136" s="277">
        <f>'component cost estimation jens'!I50</f>
        <v>945000</v>
      </c>
      <c r="W136" s="29"/>
      <c r="X136" s="29"/>
      <c r="Y136" s="29"/>
      <c r="Z136" s="29"/>
      <c r="AA136" s="29"/>
      <c r="AB136" s="29"/>
      <c r="AC136" s="29"/>
      <c r="AD136" s="29"/>
      <c r="AE136" s="29"/>
      <c r="AF136" s="278"/>
      <c r="AG136" s="277"/>
      <c r="AH136" s="29"/>
      <c r="AI136" s="29"/>
      <c r="AJ136" s="29"/>
      <c r="AK136" s="29"/>
      <c r="AL136" s="29"/>
      <c r="AM136" s="29"/>
      <c r="AN136" s="29"/>
      <c r="AO136" s="29"/>
      <c r="AP136" s="29"/>
      <c r="AQ136" s="278"/>
      <c r="AR136" s="277"/>
      <c r="AS136" s="29"/>
      <c r="AT136" s="29"/>
      <c r="AU136" s="29"/>
      <c r="AV136" s="29"/>
      <c r="AW136" s="29"/>
      <c r="AX136" s="29"/>
      <c r="AY136" s="29"/>
      <c r="AZ136" s="29"/>
      <c r="BA136" s="29"/>
      <c r="BB136" s="278"/>
      <c r="BC136" s="277"/>
      <c r="BD136" s="29"/>
      <c r="BE136" s="29"/>
      <c r="BF136" s="29"/>
      <c r="BG136" s="29"/>
      <c r="BH136" s="29"/>
      <c r="BI136" s="29"/>
      <c r="BJ136" s="29"/>
      <c r="BK136" s="29"/>
      <c r="BL136" s="29"/>
      <c r="BM136" s="278"/>
    </row>
    <row r="137" spans="1:65" ht="12.75">
      <c r="A137" s="544"/>
      <c r="B137" s="84"/>
      <c r="C137" s="327"/>
      <c r="D137" s="429"/>
      <c r="E137" s="429"/>
      <c r="F137" s="85" t="s">
        <v>659</v>
      </c>
      <c r="G137" s="428"/>
      <c r="H137" s="86"/>
      <c r="I137" s="504"/>
      <c r="J137" s="539"/>
      <c r="K137" s="277"/>
      <c r="L137" s="29"/>
      <c r="M137" s="29"/>
      <c r="N137" s="29"/>
      <c r="O137" s="29"/>
      <c r="P137" s="29"/>
      <c r="Q137" s="29"/>
      <c r="R137" s="29"/>
      <c r="S137" s="29"/>
      <c r="T137" s="29"/>
      <c r="U137" s="84"/>
      <c r="V137" s="277">
        <f>'component cost estimation jens'!I51</f>
        <v>189000</v>
      </c>
      <c r="W137" s="29"/>
      <c r="X137" s="29"/>
      <c r="Y137" s="29"/>
      <c r="Z137" s="29"/>
      <c r="AA137" s="29"/>
      <c r="AB137" s="29"/>
      <c r="AC137" s="29"/>
      <c r="AD137" s="29"/>
      <c r="AE137" s="29"/>
      <c r="AF137" s="278"/>
      <c r="AG137" s="277"/>
      <c r="AH137" s="29"/>
      <c r="AI137" s="29"/>
      <c r="AJ137" s="29"/>
      <c r="AK137" s="29"/>
      <c r="AL137" s="29"/>
      <c r="AM137" s="29"/>
      <c r="AN137" s="29"/>
      <c r="AO137" s="29"/>
      <c r="AP137" s="29"/>
      <c r="AQ137" s="278"/>
      <c r="AR137" s="277"/>
      <c r="AS137" s="29"/>
      <c r="AT137" s="29"/>
      <c r="AU137" s="29"/>
      <c r="AV137" s="29"/>
      <c r="AW137" s="29"/>
      <c r="AX137" s="29"/>
      <c r="AY137" s="29"/>
      <c r="AZ137" s="29"/>
      <c r="BA137" s="29"/>
      <c r="BB137" s="278"/>
      <c r="BC137" s="277"/>
      <c r="BD137" s="29"/>
      <c r="BE137" s="29"/>
      <c r="BF137" s="29"/>
      <c r="BG137" s="29"/>
      <c r="BH137" s="29"/>
      <c r="BI137" s="29"/>
      <c r="BJ137" s="29"/>
      <c r="BK137" s="29"/>
      <c r="BL137" s="29"/>
      <c r="BM137" s="278"/>
    </row>
    <row r="138" spans="1:65" ht="12.75">
      <c r="A138" s="544"/>
      <c r="B138" s="84"/>
      <c r="C138" s="327"/>
      <c r="D138" s="429"/>
      <c r="E138" s="429"/>
      <c r="F138" s="85" t="s">
        <v>660</v>
      </c>
      <c r="G138" s="428"/>
      <c r="H138" s="86"/>
      <c r="I138" s="504"/>
      <c r="J138" s="539"/>
      <c r="K138" s="277"/>
      <c r="L138" s="29"/>
      <c r="M138" s="29"/>
      <c r="N138" s="29"/>
      <c r="O138" s="29"/>
      <c r="P138" s="29"/>
      <c r="Q138" s="29"/>
      <c r="R138" s="29"/>
      <c r="S138" s="29"/>
      <c r="T138" s="29"/>
      <c r="U138" s="84"/>
      <c r="V138" s="277" t="e">
        <f>'component cost estimation jens'!#REF!</f>
        <v>#REF!</v>
      </c>
      <c r="W138" s="29"/>
      <c r="X138" s="29"/>
      <c r="Y138" s="29"/>
      <c r="Z138" s="29"/>
      <c r="AA138" s="29"/>
      <c r="AB138" s="29"/>
      <c r="AC138" s="29"/>
      <c r="AD138" s="29"/>
      <c r="AE138" s="29"/>
      <c r="AF138" s="278"/>
      <c r="AG138" s="277"/>
      <c r="AH138" s="29"/>
      <c r="AI138" s="29"/>
      <c r="AJ138" s="29"/>
      <c r="AK138" s="29"/>
      <c r="AL138" s="29"/>
      <c r="AM138" s="29"/>
      <c r="AN138" s="29"/>
      <c r="AO138" s="29"/>
      <c r="AP138" s="29"/>
      <c r="AQ138" s="278"/>
      <c r="AR138" s="277"/>
      <c r="AS138" s="29"/>
      <c r="AT138" s="29"/>
      <c r="AU138" s="29"/>
      <c r="AV138" s="29"/>
      <c r="AW138" s="29"/>
      <c r="AX138" s="29"/>
      <c r="AY138" s="29"/>
      <c r="AZ138" s="29"/>
      <c r="BA138" s="29"/>
      <c r="BB138" s="278"/>
      <c r="BC138" s="277"/>
      <c r="BD138" s="29"/>
      <c r="BE138" s="29"/>
      <c r="BF138" s="29"/>
      <c r="BG138" s="29"/>
      <c r="BH138" s="29"/>
      <c r="BI138" s="29"/>
      <c r="BJ138" s="29"/>
      <c r="BK138" s="29"/>
      <c r="BL138" s="29"/>
      <c r="BM138" s="278"/>
    </row>
    <row r="139" spans="1:65" ht="12.75">
      <c r="A139" s="544"/>
      <c r="B139" s="84"/>
      <c r="C139" s="327"/>
      <c r="D139" s="429"/>
      <c r="E139" s="429"/>
      <c r="F139" s="85" t="s">
        <v>661</v>
      </c>
      <c r="G139" s="428"/>
      <c r="H139" s="86"/>
      <c r="I139" s="504"/>
      <c r="J139" s="539"/>
      <c r="K139" s="277"/>
      <c r="L139" s="29"/>
      <c r="M139" s="29"/>
      <c r="N139" s="29"/>
      <c r="O139" s="29"/>
      <c r="P139" s="29"/>
      <c r="Q139" s="29"/>
      <c r="R139" s="29"/>
      <c r="S139" s="29"/>
      <c r="T139" s="29"/>
      <c r="U139" s="84"/>
      <c r="V139" s="277" t="e">
        <f>'component cost estimation jens'!#REF!</f>
        <v>#REF!</v>
      </c>
      <c r="W139" s="29"/>
      <c r="X139" s="29"/>
      <c r="Y139" s="29"/>
      <c r="Z139" s="29"/>
      <c r="AA139" s="29"/>
      <c r="AB139" s="29"/>
      <c r="AC139" s="29"/>
      <c r="AD139" s="29"/>
      <c r="AE139" s="29"/>
      <c r="AF139" s="278"/>
      <c r="AG139" s="277"/>
      <c r="AH139" s="29"/>
      <c r="AI139" s="29"/>
      <c r="AJ139" s="29"/>
      <c r="AK139" s="29"/>
      <c r="AL139" s="29"/>
      <c r="AM139" s="29"/>
      <c r="AN139" s="29"/>
      <c r="AO139" s="29"/>
      <c r="AP139" s="29"/>
      <c r="AQ139" s="278"/>
      <c r="AR139" s="277"/>
      <c r="AS139" s="29"/>
      <c r="AT139" s="29"/>
      <c r="AU139" s="29"/>
      <c r="AV139" s="29"/>
      <c r="AW139" s="29"/>
      <c r="AX139" s="29"/>
      <c r="AY139" s="29"/>
      <c r="AZ139" s="29"/>
      <c r="BA139" s="29"/>
      <c r="BB139" s="278"/>
      <c r="BC139" s="277"/>
      <c r="BD139" s="29"/>
      <c r="BE139" s="29"/>
      <c r="BF139" s="29"/>
      <c r="BG139" s="29"/>
      <c r="BH139" s="29"/>
      <c r="BI139" s="29"/>
      <c r="BJ139" s="29"/>
      <c r="BK139" s="29"/>
      <c r="BL139" s="29"/>
      <c r="BM139" s="278"/>
    </row>
    <row r="140" spans="1:65" ht="12.75">
      <c r="A140" s="544"/>
      <c r="B140" s="84"/>
      <c r="C140" s="327"/>
      <c r="D140" s="429"/>
      <c r="E140" s="429"/>
      <c r="F140" s="85" t="s">
        <v>677</v>
      </c>
      <c r="G140" s="428"/>
      <c r="H140" s="86"/>
      <c r="I140" s="504"/>
      <c r="J140" s="539"/>
      <c r="K140" s="277"/>
      <c r="L140" s="29"/>
      <c r="M140" s="29"/>
      <c r="N140" s="29"/>
      <c r="O140" s="29"/>
      <c r="P140" s="29"/>
      <c r="Q140" s="29"/>
      <c r="R140" s="29"/>
      <c r="S140" s="29"/>
      <c r="T140" s="29"/>
      <c r="U140" s="84"/>
      <c r="V140" s="277">
        <f>'component cost estimation jens'!I44</f>
        <v>270000</v>
      </c>
      <c r="W140" s="29"/>
      <c r="X140" s="29"/>
      <c r="Y140" s="29"/>
      <c r="Z140" s="29"/>
      <c r="AA140" s="29"/>
      <c r="AB140" s="29"/>
      <c r="AC140" s="29"/>
      <c r="AD140" s="29"/>
      <c r="AE140" s="29"/>
      <c r="AF140" s="278"/>
      <c r="AG140" s="277"/>
      <c r="AH140" s="29"/>
      <c r="AI140" s="29"/>
      <c r="AJ140" s="29"/>
      <c r="AK140" s="29"/>
      <c r="AL140" s="29"/>
      <c r="AM140" s="29"/>
      <c r="AN140" s="29"/>
      <c r="AO140" s="29"/>
      <c r="AP140" s="29"/>
      <c r="AQ140" s="278"/>
      <c r="AR140" s="277"/>
      <c r="AS140" s="29"/>
      <c r="AT140" s="29"/>
      <c r="AU140" s="29"/>
      <c r="AV140" s="29"/>
      <c r="AW140" s="29"/>
      <c r="AX140" s="29"/>
      <c r="AY140" s="29"/>
      <c r="AZ140" s="29"/>
      <c r="BA140" s="29"/>
      <c r="BB140" s="278"/>
      <c r="BC140" s="277"/>
      <c r="BD140" s="29"/>
      <c r="BE140" s="29"/>
      <c r="BF140" s="29"/>
      <c r="BG140" s="29"/>
      <c r="BH140" s="29"/>
      <c r="BI140" s="29"/>
      <c r="BJ140" s="29"/>
      <c r="BK140" s="29"/>
      <c r="BL140" s="29"/>
      <c r="BM140" s="278"/>
    </row>
    <row r="141" spans="1:65" ht="13.5" thickBot="1">
      <c r="A141" s="544"/>
      <c r="B141" s="84"/>
      <c r="C141" s="323"/>
      <c r="D141" s="445"/>
      <c r="E141" s="445"/>
      <c r="F141" s="104" t="s">
        <v>147</v>
      </c>
      <c r="G141" s="509"/>
      <c r="H141" s="96"/>
      <c r="I141" s="505"/>
      <c r="J141" s="540"/>
      <c r="K141" s="277"/>
      <c r="L141" s="29"/>
      <c r="M141" s="29">
        <f aca="true" t="shared" si="8" ref="M141:M188">L141*M$2*8</f>
        <v>0</v>
      </c>
      <c r="N141" s="29"/>
      <c r="O141" s="29"/>
      <c r="P141" s="29"/>
      <c r="Q141" s="29"/>
      <c r="R141" s="29"/>
      <c r="S141" s="29"/>
      <c r="T141" s="29"/>
      <c r="U141" s="84"/>
      <c r="V141" s="277">
        <f>'component cost estimation jens'!I47</f>
        <v>1490000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78"/>
      <c r="AG141" s="277"/>
      <c r="AH141" s="29"/>
      <c r="AI141" s="29"/>
      <c r="AJ141" s="29"/>
      <c r="AK141" s="29"/>
      <c r="AL141" s="29"/>
      <c r="AM141" s="29"/>
      <c r="AN141" s="29"/>
      <c r="AO141" s="29"/>
      <c r="AP141" s="29"/>
      <c r="AQ141" s="278"/>
      <c r="AR141" s="277"/>
      <c r="AS141" s="29"/>
      <c r="AT141" s="29"/>
      <c r="AU141" s="29"/>
      <c r="AV141" s="29"/>
      <c r="AW141" s="29"/>
      <c r="AX141" s="29"/>
      <c r="AY141" s="29"/>
      <c r="AZ141" s="29"/>
      <c r="BA141" s="29"/>
      <c r="BB141" s="278"/>
      <c r="BC141" s="277"/>
      <c r="BD141" s="29"/>
      <c r="BE141" s="29"/>
      <c r="BF141" s="29"/>
      <c r="BG141" s="29"/>
      <c r="BH141" s="29"/>
      <c r="BI141" s="29"/>
      <c r="BJ141" s="29"/>
      <c r="BK141" s="29"/>
      <c r="BL141" s="29"/>
      <c r="BM141" s="278"/>
    </row>
    <row r="142" spans="1:65" ht="13.5" thickTop="1">
      <c r="A142" s="544"/>
      <c r="B142" s="84"/>
      <c r="C142" s="310" t="s">
        <v>262</v>
      </c>
      <c r="D142" s="439" t="s">
        <v>730</v>
      </c>
      <c r="E142" s="439" t="s">
        <v>729</v>
      </c>
      <c r="F142" s="102" t="s">
        <v>735</v>
      </c>
      <c r="G142" s="111"/>
      <c r="H142" s="111"/>
      <c r="I142" s="444">
        <v>40087</v>
      </c>
      <c r="J142" s="446">
        <v>40391</v>
      </c>
      <c r="K142" s="277"/>
      <c r="L142" s="29"/>
      <c r="M142" s="29">
        <f t="shared" si="8"/>
        <v>0</v>
      </c>
      <c r="N142" s="29"/>
      <c r="O142" s="29"/>
      <c r="P142" s="29"/>
      <c r="Q142" s="29"/>
      <c r="R142" s="29"/>
      <c r="S142" s="29"/>
      <c r="T142" s="29"/>
      <c r="U142" s="84"/>
      <c r="V142" s="277">
        <v>50000</v>
      </c>
      <c r="W142" s="29"/>
      <c r="X142" s="29"/>
      <c r="Y142" s="29"/>
      <c r="Z142" s="29"/>
      <c r="AA142" s="29" t="s">
        <v>736</v>
      </c>
      <c r="AB142" s="29">
        <v>0.5</v>
      </c>
      <c r="AC142" s="29"/>
      <c r="AD142" s="29"/>
      <c r="AE142" s="29"/>
      <c r="AF142" s="278"/>
      <c r="AG142" s="443" t="e">
        <f>'component cost estimation jens'!#REF!</f>
        <v>#REF!</v>
      </c>
      <c r="AH142" s="29"/>
      <c r="AI142" s="29"/>
      <c r="AJ142" s="29"/>
      <c r="AK142" s="29"/>
      <c r="AL142" s="29"/>
      <c r="AM142" s="29"/>
      <c r="AN142" s="29"/>
      <c r="AO142" s="29"/>
      <c r="AP142" s="29"/>
      <c r="AQ142" s="278"/>
      <c r="AR142" s="277"/>
      <c r="AS142" s="29"/>
      <c r="AT142" s="29"/>
      <c r="AU142" s="29"/>
      <c r="AV142" s="29"/>
      <c r="AW142" s="29"/>
      <c r="AX142" s="29"/>
      <c r="AY142" s="29"/>
      <c r="AZ142" s="29"/>
      <c r="BA142" s="29"/>
      <c r="BB142" s="278"/>
      <c r="BC142" s="277"/>
      <c r="BD142" s="29"/>
      <c r="BE142" s="29"/>
      <c r="BF142" s="29"/>
      <c r="BG142" s="29"/>
      <c r="BH142" s="29"/>
      <c r="BI142" s="29"/>
      <c r="BJ142" s="29"/>
      <c r="BK142" s="29"/>
      <c r="BL142" s="29"/>
      <c r="BM142" s="278"/>
    </row>
    <row r="143" spans="1:65" ht="12.75">
      <c r="A143" s="544"/>
      <c r="B143" s="84"/>
      <c r="C143" s="313"/>
      <c r="D143" s="430"/>
      <c r="E143" s="430"/>
      <c r="F143" s="71" t="s">
        <v>263</v>
      </c>
      <c r="G143" s="460" t="s">
        <v>236</v>
      </c>
      <c r="H143" s="75"/>
      <c r="I143" s="429"/>
      <c r="J143" s="447"/>
      <c r="K143" s="277"/>
      <c r="L143" s="29"/>
      <c r="M143" s="29">
        <f t="shared" si="8"/>
        <v>0</v>
      </c>
      <c r="N143" s="29"/>
      <c r="O143" s="29"/>
      <c r="P143" s="29"/>
      <c r="Q143" s="29"/>
      <c r="R143" s="29"/>
      <c r="S143" s="29"/>
      <c r="T143" s="29"/>
      <c r="U143" s="84"/>
      <c r="V143" s="461">
        <v>20000</v>
      </c>
      <c r="W143" s="29"/>
      <c r="X143" s="29"/>
      <c r="Y143" s="29"/>
      <c r="Z143" s="29"/>
      <c r="AA143" s="29"/>
      <c r="AB143" s="29"/>
      <c r="AC143" s="29"/>
      <c r="AD143" s="29"/>
      <c r="AE143" s="29"/>
      <c r="AF143" s="278"/>
      <c r="AG143" s="442"/>
      <c r="AH143" s="29"/>
      <c r="AI143" s="29"/>
      <c r="AJ143" s="29"/>
      <c r="AK143" s="29"/>
      <c r="AL143" s="29"/>
      <c r="AM143" s="29"/>
      <c r="AN143" s="29"/>
      <c r="AO143" s="29"/>
      <c r="AP143" s="29"/>
      <c r="AQ143" s="278"/>
      <c r="AR143" s="277"/>
      <c r="AS143" s="29"/>
      <c r="AT143" s="29"/>
      <c r="AU143" s="29"/>
      <c r="AV143" s="29"/>
      <c r="AW143" s="29"/>
      <c r="AX143" s="29"/>
      <c r="AY143" s="29"/>
      <c r="AZ143" s="29"/>
      <c r="BA143" s="29"/>
      <c r="BB143" s="278"/>
      <c r="BC143" s="277"/>
      <c r="BD143" s="29"/>
      <c r="BE143" s="29"/>
      <c r="BF143" s="29"/>
      <c r="BG143" s="29"/>
      <c r="BH143" s="29"/>
      <c r="BI143" s="29"/>
      <c r="BJ143" s="29"/>
      <c r="BK143" s="29"/>
      <c r="BL143" s="29"/>
      <c r="BM143" s="278"/>
    </row>
    <row r="144" spans="1:65" ht="12.75">
      <c r="A144" s="544"/>
      <c r="B144" s="84"/>
      <c r="C144" s="313" t="s">
        <v>69</v>
      </c>
      <c r="D144" s="428" t="s">
        <v>728</v>
      </c>
      <c r="E144" s="428" t="s">
        <v>729</v>
      </c>
      <c r="F144" s="71" t="s">
        <v>265</v>
      </c>
      <c r="G144" s="460"/>
      <c r="H144" s="75"/>
      <c r="I144" s="429"/>
      <c r="J144" s="447"/>
      <c r="K144" s="277"/>
      <c r="L144" s="29"/>
      <c r="M144" s="29">
        <f t="shared" si="8"/>
        <v>0</v>
      </c>
      <c r="N144" s="29"/>
      <c r="O144" s="29"/>
      <c r="P144" s="29"/>
      <c r="Q144" s="29"/>
      <c r="R144" s="29"/>
      <c r="S144" s="29"/>
      <c r="T144" s="29"/>
      <c r="U144" s="84"/>
      <c r="V144" s="462"/>
      <c r="W144" s="29"/>
      <c r="X144" s="29"/>
      <c r="Y144" s="29"/>
      <c r="Z144" s="29"/>
      <c r="AA144" s="29"/>
      <c r="AB144" s="29"/>
      <c r="AC144" s="29"/>
      <c r="AD144" s="29"/>
      <c r="AE144" s="29"/>
      <c r="AF144" s="278"/>
      <c r="AG144" s="440" t="e">
        <f>'component cost estimation jens'!#REF!</f>
        <v>#REF!</v>
      </c>
      <c r="AH144" s="29"/>
      <c r="AI144" s="29"/>
      <c r="AJ144" s="29"/>
      <c r="AK144" s="29"/>
      <c r="AL144" s="29"/>
      <c r="AM144" s="29"/>
      <c r="AN144" s="29"/>
      <c r="AO144" s="29"/>
      <c r="AP144" s="29"/>
      <c r="AQ144" s="278"/>
      <c r="AR144" s="277"/>
      <c r="AS144" s="29"/>
      <c r="AT144" s="29"/>
      <c r="AU144" s="29"/>
      <c r="AV144" s="29"/>
      <c r="AW144" s="29"/>
      <c r="AX144" s="29"/>
      <c r="AY144" s="29"/>
      <c r="AZ144" s="29"/>
      <c r="BA144" s="29"/>
      <c r="BB144" s="278"/>
      <c r="BC144" s="277"/>
      <c r="BD144" s="29"/>
      <c r="BE144" s="29"/>
      <c r="BF144" s="29"/>
      <c r="BG144" s="29"/>
      <c r="BH144" s="29"/>
      <c r="BI144" s="29"/>
      <c r="BJ144" s="29"/>
      <c r="BK144" s="29"/>
      <c r="BL144" s="29"/>
      <c r="BM144" s="278"/>
    </row>
    <row r="145" spans="1:65" ht="12.75">
      <c r="A145" s="544"/>
      <c r="B145" s="84"/>
      <c r="C145" s="313"/>
      <c r="D145" s="429"/>
      <c r="E145" s="429"/>
      <c r="F145" s="71" t="s">
        <v>320</v>
      </c>
      <c r="G145" s="460"/>
      <c r="H145" s="75"/>
      <c r="I145" s="429"/>
      <c r="J145" s="447"/>
      <c r="K145" s="277"/>
      <c r="L145" s="29"/>
      <c r="M145" s="29">
        <f t="shared" si="8"/>
        <v>0</v>
      </c>
      <c r="N145" s="29"/>
      <c r="O145" s="29"/>
      <c r="P145" s="29"/>
      <c r="Q145" s="29"/>
      <c r="R145" s="29"/>
      <c r="S145" s="29"/>
      <c r="T145" s="29"/>
      <c r="U145" s="84"/>
      <c r="V145" s="462"/>
      <c r="W145" s="29"/>
      <c r="X145" s="29"/>
      <c r="Y145" s="29"/>
      <c r="Z145" s="29"/>
      <c r="AA145" s="29"/>
      <c r="AB145" s="29"/>
      <c r="AC145" s="29"/>
      <c r="AD145" s="29"/>
      <c r="AE145" s="29"/>
      <c r="AF145" s="278"/>
      <c r="AG145" s="441"/>
      <c r="AH145" s="29"/>
      <c r="AI145" s="29"/>
      <c r="AJ145" s="29"/>
      <c r="AK145" s="29"/>
      <c r="AL145" s="29"/>
      <c r="AM145" s="29"/>
      <c r="AN145" s="29"/>
      <c r="AO145" s="29"/>
      <c r="AP145" s="29"/>
      <c r="AQ145" s="278"/>
      <c r="AR145" s="277"/>
      <c r="AS145" s="29"/>
      <c r="AT145" s="29"/>
      <c r="AU145" s="29"/>
      <c r="AV145" s="29"/>
      <c r="AW145" s="29"/>
      <c r="AX145" s="29"/>
      <c r="AY145" s="29"/>
      <c r="AZ145" s="29"/>
      <c r="BA145" s="29"/>
      <c r="BB145" s="278"/>
      <c r="BC145" s="277"/>
      <c r="BD145" s="29"/>
      <c r="BE145" s="29"/>
      <c r="BF145" s="29"/>
      <c r="BG145" s="29"/>
      <c r="BH145" s="29"/>
      <c r="BI145" s="29"/>
      <c r="BJ145" s="29"/>
      <c r="BK145" s="29"/>
      <c r="BL145" s="29"/>
      <c r="BM145" s="278"/>
    </row>
    <row r="146" spans="1:65" ht="12.75">
      <c r="A146" s="544"/>
      <c r="B146" s="84"/>
      <c r="C146" s="313"/>
      <c r="D146" s="429"/>
      <c r="E146" s="429"/>
      <c r="F146" s="71" t="s">
        <v>266</v>
      </c>
      <c r="G146" s="460"/>
      <c r="H146" s="75"/>
      <c r="I146" s="429"/>
      <c r="J146" s="447"/>
      <c r="K146" s="277"/>
      <c r="L146" s="29"/>
      <c r="M146" s="29">
        <f t="shared" si="8"/>
        <v>0</v>
      </c>
      <c r="N146" s="29"/>
      <c r="O146" s="29"/>
      <c r="P146" s="29"/>
      <c r="Q146" s="29"/>
      <c r="R146" s="29"/>
      <c r="S146" s="29"/>
      <c r="T146" s="29"/>
      <c r="U146" s="84"/>
      <c r="V146" s="462"/>
      <c r="W146" s="29"/>
      <c r="X146" s="29"/>
      <c r="Y146" s="29"/>
      <c r="Z146" s="29"/>
      <c r="AA146" s="29"/>
      <c r="AB146" s="29"/>
      <c r="AC146" s="29"/>
      <c r="AD146" s="29"/>
      <c r="AE146" s="29"/>
      <c r="AF146" s="278"/>
      <c r="AG146" s="441"/>
      <c r="AH146" s="29"/>
      <c r="AI146" s="29"/>
      <c r="AJ146" s="29"/>
      <c r="AK146" s="29"/>
      <c r="AL146" s="29"/>
      <c r="AM146" s="29"/>
      <c r="AN146" s="29"/>
      <c r="AO146" s="29"/>
      <c r="AP146" s="29"/>
      <c r="AQ146" s="278"/>
      <c r="AR146" s="277"/>
      <c r="AS146" s="29"/>
      <c r="AT146" s="29"/>
      <c r="AU146" s="29"/>
      <c r="AV146" s="29"/>
      <c r="AW146" s="29"/>
      <c r="AX146" s="29"/>
      <c r="AY146" s="29"/>
      <c r="AZ146" s="29"/>
      <c r="BA146" s="29"/>
      <c r="BB146" s="278"/>
      <c r="BC146" s="277"/>
      <c r="BD146" s="29"/>
      <c r="BE146" s="29"/>
      <c r="BF146" s="29"/>
      <c r="BG146" s="29"/>
      <c r="BH146" s="29"/>
      <c r="BI146" s="29"/>
      <c r="BJ146" s="29"/>
      <c r="BK146" s="29"/>
      <c r="BL146" s="29"/>
      <c r="BM146" s="278"/>
    </row>
    <row r="147" spans="1:65" ht="12.75">
      <c r="A147" s="544"/>
      <c r="B147" s="84"/>
      <c r="C147" s="313"/>
      <c r="D147" s="429"/>
      <c r="E147" s="429"/>
      <c r="F147" s="71" t="s">
        <v>323</v>
      </c>
      <c r="G147" s="460"/>
      <c r="H147" s="75"/>
      <c r="I147" s="429"/>
      <c r="J147" s="447"/>
      <c r="K147" s="277"/>
      <c r="L147" s="29"/>
      <c r="M147" s="29">
        <f t="shared" si="8"/>
        <v>0</v>
      </c>
      <c r="N147" s="29"/>
      <c r="O147" s="29"/>
      <c r="P147" s="29"/>
      <c r="Q147" s="29"/>
      <c r="R147" s="29"/>
      <c r="S147" s="29"/>
      <c r="T147" s="29"/>
      <c r="U147" s="84"/>
      <c r="V147" s="462"/>
      <c r="W147" s="29"/>
      <c r="X147" s="29"/>
      <c r="Y147" s="29"/>
      <c r="Z147" s="29"/>
      <c r="AA147" s="29"/>
      <c r="AB147" s="29"/>
      <c r="AC147" s="29"/>
      <c r="AD147" s="29"/>
      <c r="AE147" s="29"/>
      <c r="AF147" s="278"/>
      <c r="AG147" s="441"/>
      <c r="AH147" s="29"/>
      <c r="AI147" s="29"/>
      <c r="AJ147" s="29"/>
      <c r="AK147" s="29"/>
      <c r="AL147" s="29"/>
      <c r="AM147" s="29"/>
      <c r="AN147" s="29"/>
      <c r="AO147" s="29"/>
      <c r="AP147" s="29"/>
      <c r="AQ147" s="278"/>
      <c r="AR147" s="277"/>
      <c r="AS147" s="29"/>
      <c r="AT147" s="29"/>
      <c r="AU147" s="29"/>
      <c r="AV147" s="29"/>
      <c r="AW147" s="29"/>
      <c r="AX147" s="29"/>
      <c r="AY147" s="29"/>
      <c r="AZ147" s="29"/>
      <c r="BA147" s="29"/>
      <c r="BB147" s="278"/>
      <c r="BC147" s="277"/>
      <c r="BD147" s="29"/>
      <c r="BE147" s="29"/>
      <c r="BF147" s="29"/>
      <c r="BG147" s="29"/>
      <c r="BH147" s="29"/>
      <c r="BI147" s="29"/>
      <c r="BJ147" s="29"/>
      <c r="BK147" s="29"/>
      <c r="BL147" s="29"/>
      <c r="BM147" s="278"/>
    </row>
    <row r="148" spans="1:65" ht="12.75">
      <c r="A148" s="544"/>
      <c r="B148" s="84"/>
      <c r="C148" s="313"/>
      <c r="D148" s="429"/>
      <c r="E148" s="429"/>
      <c r="F148" s="71" t="s">
        <v>321</v>
      </c>
      <c r="G148" s="460"/>
      <c r="H148" s="75"/>
      <c r="I148" s="429"/>
      <c r="J148" s="447"/>
      <c r="K148" s="277"/>
      <c r="L148" s="29"/>
      <c r="M148" s="29">
        <f t="shared" si="8"/>
        <v>0</v>
      </c>
      <c r="N148" s="29"/>
      <c r="O148" s="29"/>
      <c r="P148" s="29"/>
      <c r="Q148" s="29"/>
      <c r="R148" s="29"/>
      <c r="S148" s="29"/>
      <c r="T148" s="29"/>
      <c r="U148" s="84"/>
      <c r="V148" s="462"/>
      <c r="W148" s="29"/>
      <c r="X148" s="29"/>
      <c r="Y148" s="29"/>
      <c r="Z148" s="29"/>
      <c r="AA148" s="29"/>
      <c r="AB148" s="29"/>
      <c r="AC148" s="29"/>
      <c r="AD148" s="29"/>
      <c r="AE148" s="29"/>
      <c r="AF148" s="278"/>
      <c r="AG148" s="441"/>
      <c r="AH148" s="29"/>
      <c r="AI148" s="29"/>
      <c r="AJ148" s="29"/>
      <c r="AK148" s="29"/>
      <c r="AL148" s="29"/>
      <c r="AM148" s="29"/>
      <c r="AN148" s="29"/>
      <c r="AO148" s="29"/>
      <c r="AP148" s="29"/>
      <c r="AQ148" s="278"/>
      <c r="AR148" s="277"/>
      <c r="AS148" s="29"/>
      <c r="AT148" s="29"/>
      <c r="AU148" s="29"/>
      <c r="AV148" s="29"/>
      <c r="AW148" s="29"/>
      <c r="AX148" s="29"/>
      <c r="AY148" s="29"/>
      <c r="AZ148" s="29"/>
      <c r="BA148" s="29"/>
      <c r="BB148" s="278"/>
      <c r="BC148" s="277"/>
      <c r="BD148" s="29"/>
      <c r="BE148" s="29"/>
      <c r="BF148" s="29"/>
      <c r="BG148" s="29"/>
      <c r="BH148" s="29"/>
      <c r="BI148" s="29"/>
      <c r="BJ148" s="29"/>
      <c r="BK148" s="29"/>
      <c r="BL148" s="29"/>
      <c r="BM148" s="278"/>
    </row>
    <row r="149" spans="1:65" ht="13.5" thickBot="1">
      <c r="A149" s="544"/>
      <c r="B149" s="84"/>
      <c r="C149" s="323"/>
      <c r="D149" s="445"/>
      <c r="E149" s="445"/>
      <c r="F149" s="104" t="s">
        <v>70</v>
      </c>
      <c r="G149" s="509"/>
      <c r="H149" s="96"/>
      <c r="I149" s="445"/>
      <c r="J149" s="448"/>
      <c r="K149" s="277"/>
      <c r="L149" s="29"/>
      <c r="M149" s="29">
        <f t="shared" si="8"/>
        <v>0</v>
      </c>
      <c r="N149" s="29"/>
      <c r="O149" s="29"/>
      <c r="P149" s="29"/>
      <c r="Q149" s="29"/>
      <c r="R149" s="29"/>
      <c r="S149" s="29"/>
      <c r="T149" s="29"/>
      <c r="U149" s="84"/>
      <c r="V149" s="463"/>
      <c r="W149" s="29"/>
      <c r="X149" s="29"/>
      <c r="Y149" s="29"/>
      <c r="Z149" s="29"/>
      <c r="AA149" s="29"/>
      <c r="AB149" s="29"/>
      <c r="AC149" s="29"/>
      <c r="AD149" s="29"/>
      <c r="AE149" s="29"/>
      <c r="AF149" s="278"/>
      <c r="AG149" s="442"/>
      <c r="AH149" s="29"/>
      <c r="AI149" s="29"/>
      <c r="AJ149" s="29"/>
      <c r="AK149" s="29"/>
      <c r="AL149" s="29"/>
      <c r="AM149" s="29"/>
      <c r="AN149" s="29"/>
      <c r="AO149" s="29"/>
      <c r="AP149" s="29"/>
      <c r="AQ149" s="278"/>
      <c r="AR149" s="277"/>
      <c r="AS149" s="29"/>
      <c r="AT149" s="29"/>
      <c r="AU149" s="29"/>
      <c r="AV149" s="29"/>
      <c r="AW149" s="29"/>
      <c r="AX149" s="29"/>
      <c r="AY149" s="29"/>
      <c r="AZ149" s="29"/>
      <c r="BA149" s="29"/>
      <c r="BB149" s="278"/>
      <c r="BC149" s="277"/>
      <c r="BD149" s="29"/>
      <c r="BE149" s="29"/>
      <c r="BF149" s="29"/>
      <c r="BG149" s="29"/>
      <c r="BH149" s="29"/>
      <c r="BI149" s="29"/>
      <c r="BJ149" s="29"/>
      <c r="BK149" s="29"/>
      <c r="BL149" s="29"/>
      <c r="BM149" s="278"/>
    </row>
    <row r="150" spans="1:65" ht="14.25" thickBot="1" thickTop="1">
      <c r="A150" s="544"/>
      <c r="B150" s="84"/>
      <c r="C150" s="322" t="s">
        <v>268</v>
      </c>
      <c r="D150" s="109" t="s">
        <v>692</v>
      </c>
      <c r="E150" s="109" t="s">
        <v>731</v>
      </c>
      <c r="F150" s="100"/>
      <c r="G150" s="109"/>
      <c r="H150" s="109"/>
      <c r="I150" s="348" t="s">
        <v>766</v>
      </c>
      <c r="J150" s="283">
        <v>40330</v>
      </c>
      <c r="K150" s="277"/>
      <c r="L150" s="29"/>
      <c r="M150" s="29">
        <f t="shared" si="8"/>
        <v>0</v>
      </c>
      <c r="N150" s="29"/>
      <c r="O150" s="29"/>
      <c r="P150" s="29"/>
      <c r="Q150" s="29"/>
      <c r="R150" s="29"/>
      <c r="S150" s="29"/>
      <c r="T150" s="29"/>
      <c r="U150" s="84"/>
      <c r="V150" s="277" t="e">
        <f>'component cost estimation jens'!#REF!</f>
        <v>#REF!</v>
      </c>
      <c r="W150" s="29"/>
      <c r="X150" s="29"/>
      <c r="Y150" s="29"/>
      <c r="Z150" s="29"/>
      <c r="AA150" s="29"/>
      <c r="AB150" s="29"/>
      <c r="AC150" s="29"/>
      <c r="AD150" s="29"/>
      <c r="AE150" s="29"/>
      <c r="AF150" s="278"/>
      <c r="AG150" s="277"/>
      <c r="AH150" s="29"/>
      <c r="AI150" s="29"/>
      <c r="AJ150" s="29"/>
      <c r="AK150" s="29"/>
      <c r="AL150" s="29"/>
      <c r="AM150" s="29"/>
      <c r="AN150" s="29"/>
      <c r="AO150" s="29"/>
      <c r="AP150" s="29"/>
      <c r="AQ150" s="278"/>
      <c r="AR150" s="277"/>
      <c r="AS150" s="29"/>
      <c r="AT150" s="29"/>
      <c r="AU150" s="29"/>
      <c r="AV150" s="29"/>
      <c r="AW150" s="29"/>
      <c r="AX150" s="29"/>
      <c r="AY150" s="29"/>
      <c r="AZ150" s="29"/>
      <c r="BA150" s="29"/>
      <c r="BB150" s="278"/>
      <c r="BC150" s="277"/>
      <c r="BD150" s="29"/>
      <c r="BE150" s="29"/>
      <c r="BF150" s="29"/>
      <c r="BG150" s="29"/>
      <c r="BH150" s="29"/>
      <c r="BI150" s="29"/>
      <c r="BJ150" s="29"/>
      <c r="BK150" s="29"/>
      <c r="BL150" s="29"/>
      <c r="BM150" s="278"/>
    </row>
    <row r="151" spans="1:65" ht="14.25" thickBot="1" thickTop="1">
      <c r="A151" s="544"/>
      <c r="B151" s="29"/>
      <c r="C151" s="140"/>
      <c r="D151" s="108"/>
      <c r="E151" s="108"/>
      <c r="F151" s="107"/>
      <c r="G151" s="108"/>
      <c r="H151" s="108"/>
      <c r="I151" s="78"/>
      <c r="J151" s="272"/>
      <c r="K151" s="277"/>
      <c r="L151" s="29"/>
      <c r="M151" s="29">
        <f t="shared" si="8"/>
        <v>0</v>
      </c>
      <c r="N151" s="29"/>
      <c r="O151" s="29"/>
      <c r="P151" s="29"/>
      <c r="Q151" s="29"/>
      <c r="R151" s="29"/>
      <c r="S151" s="29"/>
      <c r="T151" s="29"/>
      <c r="U151" s="84"/>
      <c r="V151" s="277"/>
      <c r="W151" s="29"/>
      <c r="X151" s="29"/>
      <c r="Y151" s="29"/>
      <c r="Z151" s="29"/>
      <c r="AA151" s="29"/>
      <c r="AB151" s="29"/>
      <c r="AC151" s="29"/>
      <c r="AD151" s="29"/>
      <c r="AE151" s="29"/>
      <c r="AF151" s="278"/>
      <c r="AG151" s="277"/>
      <c r="AH151" s="29"/>
      <c r="AI151" s="29"/>
      <c r="AJ151" s="29"/>
      <c r="AK151" s="29"/>
      <c r="AL151" s="29"/>
      <c r="AM151" s="29"/>
      <c r="AN151" s="29"/>
      <c r="AO151" s="29"/>
      <c r="AP151" s="29"/>
      <c r="AQ151" s="278"/>
      <c r="AR151" s="277"/>
      <c r="AS151" s="29"/>
      <c r="AT151" s="29"/>
      <c r="AU151" s="29"/>
      <c r="AV151" s="29"/>
      <c r="AW151" s="29"/>
      <c r="AX151" s="29"/>
      <c r="AY151" s="29"/>
      <c r="AZ151" s="29"/>
      <c r="BA151" s="29"/>
      <c r="BB151" s="278"/>
      <c r="BC151" s="277"/>
      <c r="BD151" s="29"/>
      <c r="BE151" s="29"/>
      <c r="BF151" s="29"/>
      <c r="BG151" s="29"/>
      <c r="BH151" s="29"/>
      <c r="BI151" s="29"/>
      <c r="BJ151" s="29"/>
      <c r="BK151" s="29"/>
      <c r="BL151" s="29"/>
      <c r="BM151" s="278"/>
    </row>
    <row r="152" spans="1:65" ht="13.5" thickTop="1">
      <c r="A152" s="544"/>
      <c r="B152" s="84" t="s">
        <v>193</v>
      </c>
      <c r="C152" s="310" t="s">
        <v>269</v>
      </c>
      <c r="D152" s="439" t="s">
        <v>723</v>
      </c>
      <c r="E152" s="439" t="s">
        <v>725</v>
      </c>
      <c r="F152" s="102" t="s">
        <v>277</v>
      </c>
      <c r="G152" s="111" t="s">
        <v>310</v>
      </c>
      <c r="H152" s="111"/>
      <c r="I152" s="116">
        <v>39479</v>
      </c>
      <c r="J152" s="524">
        <v>40179</v>
      </c>
      <c r="K152" s="277">
        <v>20000</v>
      </c>
      <c r="L152" s="29"/>
      <c r="M152" s="29">
        <f t="shared" si="8"/>
        <v>0</v>
      </c>
      <c r="N152" s="29"/>
      <c r="O152" s="29"/>
      <c r="P152" s="29" t="s">
        <v>745</v>
      </c>
      <c r="Q152" s="29">
        <v>0.16</v>
      </c>
      <c r="R152" s="29"/>
      <c r="S152" s="29"/>
      <c r="T152" s="29"/>
      <c r="U152" s="84"/>
      <c r="V152" s="277"/>
      <c r="W152" s="29"/>
      <c r="X152" s="29"/>
      <c r="Y152" s="29"/>
      <c r="Z152" s="29"/>
      <c r="AA152" s="29"/>
      <c r="AB152" s="29"/>
      <c r="AC152" s="29"/>
      <c r="AD152" s="29"/>
      <c r="AE152" s="29"/>
      <c r="AF152" s="278"/>
      <c r="AG152" s="277"/>
      <c r="AH152" s="29"/>
      <c r="AI152" s="29"/>
      <c r="AJ152" s="29"/>
      <c r="AK152" s="29"/>
      <c r="AL152" s="29"/>
      <c r="AM152" s="29"/>
      <c r="AN152" s="29"/>
      <c r="AO152" s="29"/>
      <c r="AP152" s="29"/>
      <c r="AQ152" s="278"/>
      <c r="AR152" s="277"/>
      <c r="AS152" s="29"/>
      <c r="AT152" s="29"/>
      <c r="AU152" s="29"/>
      <c r="AV152" s="29"/>
      <c r="AW152" s="29"/>
      <c r="AX152" s="29"/>
      <c r="AY152" s="29"/>
      <c r="AZ152" s="29"/>
      <c r="BA152" s="29"/>
      <c r="BB152" s="278"/>
      <c r="BC152" s="277"/>
      <c r="BD152" s="29"/>
      <c r="BE152" s="29"/>
      <c r="BF152" s="29"/>
      <c r="BG152" s="29"/>
      <c r="BH152" s="29"/>
      <c r="BI152" s="29"/>
      <c r="BJ152" s="29"/>
      <c r="BK152" s="29"/>
      <c r="BL152" s="29"/>
      <c r="BM152" s="278"/>
    </row>
    <row r="153" spans="1:65" ht="12.75">
      <c r="A153" s="544"/>
      <c r="B153" s="84"/>
      <c r="C153" s="313"/>
      <c r="D153" s="429"/>
      <c r="E153" s="429"/>
      <c r="F153" s="71" t="s">
        <v>270</v>
      </c>
      <c r="G153" s="75" t="s">
        <v>324</v>
      </c>
      <c r="H153" s="75"/>
      <c r="I153" s="79">
        <v>39479</v>
      </c>
      <c r="J153" s="535"/>
      <c r="K153" s="277">
        <v>12500</v>
      </c>
      <c r="L153" s="29">
        <v>22</v>
      </c>
      <c r="M153" s="29">
        <f t="shared" si="8"/>
        <v>8976</v>
      </c>
      <c r="N153" s="29"/>
      <c r="O153" s="29"/>
      <c r="P153" s="29" t="s">
        <v>745</v>
      </c>
      <c r="Q153" s="29">
        <v>0.08</v>
      </c>
      <c r="R153" s="29"/>
      <c r="S153" s="29"/>
      <c r="T153" s="29"/>
      <c r="U153" s="84"/>
      <c r="V153" s="277">
        <v>12500</v>
      </c>
      <c r="W153" s="29">
        <v>22</v>
      </c>
      <c r="X153" s="29">
        <f>W153*X$2*8</f>
        <v>9155.52</v>
      </c>
      <c r="Y153" s="29"/>
      <c r="Z153" s="29"/>
      <c r="AA153" s="29" t="s">
        <v>745</v>
      </c>
      <c r="AB153" s="29">
        <v>0.08</v>
      </c>
      <c r="AC153" s="29"/>
      <c r="AD153" s="29"/>
      <c r="AE153" s="29"/>
      <c r="AF153" s="278"/>
      <c r="AG153" s="277"/>
      <c r="AH153" s="29"/>
      <c r="AI153" s="29"/>
      <c r="AJ153" s="29"/>
      <c r="AK153" s="29"/>
      <c r="AL153" s="29"/>
      <c r="AM153" s="29"/>
      <c r="AN153" s="29"/>
      <c r="AO153" s="29"/>
      <c r="AP153" s="29"/>
      <c r="AQ153" s="278"/>
      <c r="AR153" s="277"/>
      <c r="AS153" s="29"/>
      <c r="AT153" s="29"/>
      <c r="AU153" s="29"/>
      <c r="AV153" s="29"/>
      <c r="AW153" s="29"/>
      <c r="AX153" s="29"/>
      <c r="AY153" s="29"/>
      <c r="AZ153" s="29"/>
      <c r="BA153" s="29"/>
      <c r="BB153" s="278"/>
      <c r="BC153" s="277"/>
      <c r="BD153" s="29"/>
      <c r="BE153" s="29"/>
      <c r="BF153" s="29"/>
      <c r="BG153" s="29"/>
      <c r="BH153" s="29"/>
      <c r="BI153" s="29"/>
      <c r="BJ153" s="29"/>
      <c r="BK153" s="29"/>
      <c r="BL153" s="29"/>
      <c r="BM153" s="278"/>
    </row>
    <row r="154" spans="1:65" ht="12.75">
      <c r="A154" s="544"/>
      <c r="B154" s="84"/>
      <c r="C154" s="93"/>
      <c r="D154" s="429"/>
      <c r="E154" s="429"/>
      <c r="F154" s="71" t="s">
        <v>276</v>
      </c>
      <c r="G154" s="75" t="s">
        <v>166</v>
      </c>
      <c r="H154" s="75"/>
      <c r="I154" s="79">
        <v>39479</v>
      </c>
      <c r="J154" s="535"/>
      <c r="K154" s="277"/>
      <c r="L154" s="29"/>
      <c r="M154" s="29">
        <f t="shared" si="8"/>
        <v>0</v>
      </c>
      <c r="N154" s="29"/>
      <c r="O154" s="29"/>
      <c r="P154" s="29"/>
      <c r="Q154" s="29"/>
      <c r="R154" s="29"/>
      <c r="S154" s="29"/>
      <c r="T154" s="29"/>
      <c r="U154" s="84"/>
      <c r="V154" s="277">
        <v>100000</v>
      </c>
      <c r="W154" s="29">
        <v>20</v>
      </c>
      <c r="X154" s="29">
        <f aca="true" t="shared" si="9" ref="X154:X162">W154*X$2*8</f>
        <v>8323.2</v>
      </c>
      <c r="Y154" s="29"/>
      <c r="Z154" s="29"/>
      <c r="AA154" s="29" t="s">
        <v>745</v>
      </c>
      <c r="AB154" s="29">
        <v>0.08</v>
      </c>
      <c r="AC154" s="29"/>
      <c r="AD154" s="29"/>
      <c r="AE154" s="29"/>
      <c r="AF154" s="278"/>
      <c r="AG154" s="277"/>
      <c r="AH154" s="29"/>
      <c r="AI154" s="29"/>
      <c r="AJ154" s="29"/>
      <c r="AK154" s="29"/>
      <c r="AL154" s="29"/>
      <c r="AM154" s="29"/>
      <c r="AN154" s="29"/>
      <c r="AO154" s="29"/>
      <c r="AP154" s="29"/>
      <c r="AQ154" s="278"/>
      <c r="AR154" s="277"/>
      <c r="AS154" s="29"/>
      <c r="AT154" s="29"/>
      <c r="AU154" s="29"/>
      <c r="AV154" s="29"/>
      <c r="AW154" s="29"/>
      <c r="AX154" s="29"/>
      <c r="AY154" s="29"/>
      <c r="AZ154" s="29"/>
      <c r="BA154" s="29"/>
      <c r="BB154" s="278"/>
      <c r="BC154" s="277"/>
      <c r="BD154" s="29"/>
      <c r="BE154" s="29"/>
      <c r="BF154" s="29"/>
      <c r="BG154" s="29"/>
      <c r="BH154" s="29"/>
      <c r="BI154" s="29"/>
      <c r="BJ154" s="29"/>
      <c r="BK154" s="29"/>
      <c r="BL154" s="29"/>
      <c r="BM154" s="278"/>
    </row>
    <row r="155" spans="1:65" ht="12.75">
      <c r="A155" s="544"/>
      <c r="B155" s="84"/>
      <c r="C155" s="93"/>
      <c r="D155" s="429"/>
      <c r="E155" s="429"/>
      <c r="F155" s="71" t="s">
        <v>271</v>
      </c>
      <c r="G155" s="75" t="s">
        <v>166</v>
      </c>
      <c r="H155" s="75"/>
      <c r="I155" s="79">
        <v>39479</v>
      </c>
      <c r="J155" s="535"/>
      <c r="K155" s="277"/>
      <c r="L155" s="29"/>
      <c r="M155" s="29">
        <f t="shared" si="8"/>
        <v>0</v>
      </c>
      <c r="N155" s="29"/>
      <c r="O155" s="29"/>
      <c r="P155" s="29"/>
      <c r="Q155" s="29"/>
      <c r="R155" s="29"/>
      <c r="S155" s="29"/>
      <c r="T155" s="29"/>
      <c r="U155" s="84"/>
      <c r="V155" s="277">
        <v>20000</v>
      </c>
      <c r="W155" s="29">
        <v>20</v>
      </c>
      <c r="X155" s="29">
        <f t="shared" si="9"/>
        <v>8323.2</v>
      </c>
      <c r="Y155" s="29"/>
      <c r="Z155" s="29"/>
      <c r="AA155" s="29" t="s">
        <v>745</v>
      </c>
      <c r="AB155" s="29">
        <v>0.08</v>
      </c>
      <c r="AC155" s="29"/>
      <c r="AD155" s="29"/>
      <c r="AE155" s="29"/>
      <c r="AF155" s="278"/>
      <c r="AG155" s="277"/>
      <c r="AH155" s="29"/>
      <c r="AI155" s="29"/>
      <c r="AJ155" s="29"/>
      <c r="AK155" s="29"/>
      <c r="AL155" s="29"/>
      <c r="AM155" s="29"/>
      <c r="AN155" s="29"/>
      <c r="AO155" s="29"/>
      <c r="AP155" s="29"/>
      <c r="AQ155" s="278"/>
      <c r="AR155" s="277"/>
      <c r="AS155" s="29"/>
      <c r="AT155" s="29"/>
      <c r="AU155" s="29"/>
      <c r="AV155" s="29"/>
      <c r="AW155" s="29"/>
      <c r="AX155" s="29"/>
      <c r="AY155" s="29"/>
      <c r="AZ155" s="29"/>
      <c r="BA155" s="29"/>
      <c r="BB155" s="278"/>
      <c r="BC155" s="277"/>
      <c r="BD155" s="29"/>
      <c r="BE155" s="29"/>
      <c r="BF155" s="29"/>
      <c r="BG155" s="29"/>
      <c r="BH155" s="29"/>
      <c r="BI155" s="29"/>
      <c r="BJ155" s="29"/>
      <c r="BK155" s="29"/>
      <c r="BL155" s="29"/>
      <c r="BM155" s="278"/>
    </row>
    <row r="156" spans="1:65" ht="12.75">
      <c r="A156" s="544"/>
      <c r="B156" s="84"/>
      <c r="C156" s="93"/>
      <c r="D156" s="429"/>
      <c r="E156" s="429"/>
      <c r="F156" s="294" t="s">
        <v>809</v>
      </c>
      <c r="G156" s="75" t="s">
        <v>84</v>
      </c>
      <c r="H156" s="75"/>
      <c r="I156" s="79">
        <v>39479</v>
      </c>
      <c r="J156" s="535"/>
      <c r="K156" s="277"/>
      <c r="L156" s="29"/>
      <c r="M156" s="29">
        <f t="shared" si="8"/>
        <v>0</v>
      </c>
      <c r="N156" s="29"/>
      <c r="O156" s="29"/>
      <c r="P156" s="29"/>
      <c r="Q156" s="29"/>
      <c r="R156" s="29"/>
      <c r="S156" s="29"/>
      <c r="T156" s="29"/>
      <c r="U156" s="84"/>
      <c r="V156" s="277">
        <f>400000+150000</f>
        <v>550000</v>
      </c>
      <c r="W156" s="29">
        <v>20</v>
      </c>
      <c r="X156" s="29">
        <f t="shared" si="9"/>
        <v>8323.2</v>
      </c>
      <c r="Y156" s="29"/>
      <c r="Z156" s="29"/>
      <c r="AA156" s="29" t="s">
        <v>745</v>
      </c>
      <c r="AB156" s="29">
        <v>0.04</v>
      </c>
      <c r="AC156" s="29"/>
      <c r="AD156" s="29"/>
      <c r="AE156" s="29"/>
      <c r="AF156" s="278"/>
      <c r="AG156" s="277"/>
      <c r="AH156" s="29"/>
      <c r="AI156" s="29"/>
      <c r="AJ156" s="29"/>
      <c r="AK156" s="29"/>
      <c r="AL156" s="29"/>
      <c r="AM156" s="29"/>
      <c r="AN156" s="29"/>
      <c r="AO156" s="29"/>
      <c r="AP156" s="29"/>
      <c r="AQ156" s="278"/>
      <c r="AR156" s="277"/>
      <c r="AS156" s="29"/>
      <c r="AT156" s="29"/>
      <c r="AU156" s="29"/>
      <c r="AV156" s="29"/>
      <c r="AW156" s="29"/>
      <c r="AX156" s="29"/>
      <c r="AY156" s="29"/>
      <c r="AZ156" s="29"/>
      <c r="BA156" s="29"/>
      <c r="BB156" s="278"/>
      <c r="BC156" s="277"/>
      <c r="BD156" s="29"/>
      <c r="BE156" s="29"/>
      <c r="BF156" s="29"/>
      <c r="BG156" s="29"/>
      <c r="BH156" s="29"/>
      <c r="BI156" s="29"/>
      <c r="BJ156" s="29"/>
      <c r="BK156" s="29"/>
      <c r="BL156" s="29"/>
      <c r="BM156" s="278"/>
    </row>
    <row r="157" spans="1:65" ht="12.75">
      <c r="A157" s="544"/>
      <c r="B157" s="84"/>
      <c r="C157" s="93"/>
      <c r="D157" s="429"/>
      <c r="E157" s="429"/>
      <c r="F157" s="71" t="s">
        <v>272</v>
      </c>
      <c r="G157" s="75" t="s">
        <v>166</v>
      </c>
      <c r="H157" s="75"/>
      <c r="I157" s="79">
        <v>39479</v>
      </c>
      <c r="J157" s="535"/>
      <c r="K157" s="277"/>
      <c r="L157" s="29"/>
      <c r="M157" s="29">
        <f t="shared" si="8"/>
        <v>0</v>
      </c>
      <c r="N157" s="29"/>
      <c r="O157" s="29"/>
      <c r="P157" s="29"/>
      <c r="Q157" s="29"/>
      <c r="R157" s="29"/>
      <c r="S157" s="29"/>
      <c r="T157" s="29"/>
      <c r="U157" s="84"/>
      <c r="V157" s="277">
        <v>50000</v>
      </c>
      <c r="W157" s="29">
        <v>20</v>
      </c>
      <c r="X157" s="29">
        <f t="shared" si="9"/>
        <v>8323.2</v>
      </c>
      <c r="Y157" s="29"/>
      <c r="Z157" s="29"/>
      <c r="AA157" s="29" t="s">
        <v>745</v>
      </c>
      <c r="AB157" s="29">
        <v>0.04</v>
      </c>
      <c r="AC157" s="29"/>
      <c r="AD157" s="29"/>
      <c r="AE157" s="29"/>
      <c r="AF157" s="278"/>
      <c r="AG157" s="277"/>
      <c r="AH157" s="29"/>
      <c r="AI157" s="29"/>
      <c r="AJ157" s="29"/>
      <c r="AK157" s="29"/>
      <c r="AL157" s="29"/>
      <c r="AM157" s="29"/>
      <c r="AN157" s="29"/>
      <c r="AO157" s="29"/>
      <c r="AP157" s="29"/>
      <c r="AQ157" s="278"/>
      <c r="AR157" s="277"/>
      <c r="AS157" s="29"/>
      <c r="AT157" s="29"/>
      <c r="AU157" s="29"/>
      <c r="AV157" s="29"/>
      <c r="AW157" s="29"/>
      <c r="AX157" s="29"/>
      <c r="AY157" s="29"/>
      <c r="AZ157" s="29"/>
      <c r="BA157" s="29"/>
      <c r="BB157" s="278"/>
      <c r="BC157" s="277"/>
      <c r="BD157" s="29"/>
      <c r="BE157" s="29"/>
      <c r="BF157" s="29"/>
      <c r="BG157" s="29"/>
      <c r="BH157" s="29"/>
      <c r="BI157" s="29"/>
      <c r="BJ157" s="29"/>
      <c r="BK157" s="29"/>
      <c r="BL157" s="29"/>
      <c r="BM157" s="278"/>
    </row>
    <row r="158" spans="1:65" ht="12.75">
      <c r="A158" s="544"/>
      <c r="B158" s="84"/>
      <c r="C158" s="93"/>
      <c r="D158" s="429"/>
      <c r="E158" s="429"/>
      <c r="F158" s="71" t="s">
        <v>273</v>
      </c>
      <c r="G158" s="75" t="s">
        <v>325</v>
      </c>
      <c r="H158" s="75"/>
      <c r="I158" s="79">
        <v>39479</v>
      </c>
      <c r="J158" s="535"/>
      <c r="K158" s="277"/>
      <c r="L158" s="29"/>
      <c r="M158" s="29">
        <f t="shared" si="8"/>
        <v>0</v>
      </c>
      <c r="N158" s="29"/>
      <c r="O158" s="29"/>
      <c r="P158" s="29"/>
      <c r="Q158" s="29"/>
      <c r="R158" s="29"/>
      <c r="S158" s="29"/>
      <c r="T158" s="29"/>
      <c r="U158" s="84"/>
      <c r="V158" s="277">
        <v>10000</v>
      </c>
      <c r="W158" s="29"/>
      <c r="X158" s="29"/>
      <c r="Y158" s="29"/>
      <c r="Z158" s="29"/>
      <c r="AA158" s="29" t="s">
        <v>738</v>
      </c>
      <c r="AB158" s="29">
        <v>0.04</v>
      </c>
      <c r="AC158" s="29"/>
      <c r="AD158" s="29"/>
      <c r="AE158" s="29"/>
      <c r="AF158" s="278"/>
      <c r="AG158" s="277"/>
      <c r="AH158" s="29"/>
      <c r="AI158" s="29"/>
      <c r="AJ158" s="29"/>
      <c r="AK158" s="29"/>
      <c r="AL158" s="29"/>
      <c r="AM158" s="29"/>
      <c r="AN158" s="29"/>
      <c r="AO158" s="29"/>
      <c r="AP158" s="29"/>
      <c r="AQ158" s="278"/>
      <c r="AR158" s="277"/>
      <c r="AS158" s="29"/>
      <c r="AT158" s="29"/>
      <c r="AU158" s="29"/>
      <c r="AV158" s="29"/>
      <c r="AW158" s="29"/>
      <c r="AX158" s="29"/>
      <c r="AY158" s="29"/>
      <c r="AZ158" s="29"/>
      <c r="BA158" s="29"/>
      <c r="BB158" s="278"/>
      <c r="BC158" s="277"/>
      <c r="BD158" s="29"/>
      <c r="BE158" s="29"/>
      <c r="BF158" s="29"/>
      <c r="BG158" s="29"/>
      <c r="BH158" s="29"/>
      <c r="BI158" s="29"/>
      <c r="BJ158" s="29"/>
      <c r="BK158" s="29"/>
      <c r="BL158" s="29"/>
      <c r="BM158" s="278"/>
    </row>
    <row r="159" spans="1:65" ht="12.75">
      <c r="A159" s="544"/>
      <c r="B159" s="84"/>
      <c r="C159" s="93"/>
      <c r="D159" s="429"/>
      <c r="E159" s="429"/>
      <c r="F159" s="71" t="s">
        <v>274</v>
      </c>
      <c r="G159" s="75" t="s">
        <v>325</v>
      </c>
      <c r="H159" s="75"/>
      <c r="I159" s="79">
        <v>39479</v>
      </c>
      <c r="J159" s="535"/>
      <c r="K159" s="277"/>
      <c r="L159" s="29"/>
      <c r="M159" s="29">
        <f t="shared" si="8"/>
        <v>0</v>
      </c>
      <c r="N159" s="29"/>
      <c r="O159" s="29"/>
      <c r="P159" s="29"/>
      <c r="Q159" s="29"/>
      <c r="R159" s="29"/>
      <c r="S159" s="29"/>
      <c r="T159" s="29"/>
      <c r="U159" s="84"/>
      <c r="V159" s="277">
        <v>20000</v>
      </c>
      <c r="W159" s="29">
        <v>10</v>
      </c>
      <c r="X159" s="29">
        <f t="shared" si="9"/>
        <v>4161.6</v>
      </c>
      <c r="Y159" s="29"/>
      <c r="Z159" s="29"/>
      <c r="AA159" s="29" t="s">
        <v>745</v>
      </c>
      <c r="AB159" s="29">
        <v>0.08</v>
      </c>
      <c r="AC159" s="29"/>
      <c r="AD159" s="29"/>
      <c r="AE159" s="29"/>
      <c r="AF159" s="278"/>
      <c r="AG159" s="277"/>
      <c r="AH159" s="29"/>
      <c r="AI159" s="29"/>
      <c r="AJ159" s="29"/>
      <c r="AK159" s="29"/>
      <c r="AL159" s="29"/>
      <c r="AM159" s="29"/>
      <c r="AN159" s="29"/>
      <c r="AO159" s="29"/>
      <c r="AP159" s="29"/>
      <c r="AQ159" s="278"/>
      <c r="AR159" s="277"/>
      <c r="AS159" s="29"/>
      <c r="AT159" s="29"/>
      <c r="AU159" s="29"/>
      <c r="AV159" s="29"/>
      <c r="AW159" s="29"/>
      <c r="AX159" s="29"/>
      <c r="AY159" s="29"/>
      <c r="AZ159" s="29"/>
      <c r="BA159" s="29"/>
      <c r="BB159" s="278"/>
      <c r="BC159" s="277"/>
      <c r="BD159" s="29"/>
      <c r="BE159" s="29"/>
      <c r="BF159" s="29"/>
      <c r="BG159" s="29"/>
      <c r="BH159" s="29"/>
      <c r="BI159" s="29"/>
      <c r="BJ159" s="29"/>
      <c r="BK159" s="29"/>
      <c r="BL159" s="29"/>
      <c r="BM159" s="278"/>
    </row>
    <row r="160" spans="1:65" ht="12.75">
      <c r="A160" s="544"/>
      <c r="B160" s="84"/>
      <c r="C160" s="93"/>
      <c r="D160" s="429"/>
      <c r="E160" s="429"/>
      <c r="F160" s="71" t="s">
        <v>275</v>
      </c>
      <c r="G160" s="29" t="s">
        <v>195</v>
      </c>
      <c r="H160" s="75"/>
      <c r="I160" s="79">
        <v>39479</v>
      </c>
      <c r="J160" s="535"/>
      <c r="K160" s="277"/>
      <c r="L160" s="29"/>
      <c r="M160" s="29">
        <f t="shared" si="8"/>
        <v>0</v>
      </c>
      <c r="N160" s="29"/>
      <c r="O160" s="29"/>
      <c r="P160" s="29"/>
      <c r="Q160" s="29"/>
      <c r="R160" s="29"/>
      <c r="S160" s="29"/>
      <c r="T160" s="29"/>
      <c r="U160" s="84"/>
      <c r="V160" s="277">
        <v>20000</v>
      </c>
      <c r="W160" s="29">
        <v>10</v>
      </c>
      <c r="X160" s="29">
        <f t="shared" si="9"/>
        <v>4161.6</v>
      </c>
      <c r="Y160" s="29"/>
      <c r="Z160" s="29"/>
      <c r="AA160" s="29" t="s">
        <v>738</v>
      </c>
      <c r="AB160" s="29">
        <v>0.08</v>
      </c>
      <c r="AC160" s="29"/>
      <c r="AD160" s="29"/>
      <c r="AE160" s="29"/>
      <c r="AF160" s="278"/>
      <c r="AG160" s="277"/>
      <c r="AH160" s="29"/>
      <c r="AI160" s="29"/>
      <c r="AJ160" s="29"/>
      <c r="AK160" s="29"/>
      <c r="AL160" s="29"/>
      <c r="AM160" s="29"/>
      <c r="AN160" s="29"/>
      <c r="AO160" s="29"/>
      <c r="AP160" s="29"/>
      <c r="AQ160" s="278"/>
      <c r="AR160" s="277"/>
      <c r="AS160" s="29"/>
      <c r="AT160" s="29"/>
      <c r="AU160" s="29"/>
      <c r="AV160" s="29"/>
      <c r="AW160" s="29"/>
      <c r="AX160" s="29"/>
      <c r="AY160" s="29"/>
      <c r="AZ160" s="29"/>
      <c r="BA160" s="29"/>
      <c r="BB160" s="278"/>
      <c r="BC160" s="277"/>
      <c r="BD160" s="29"/>
      <c r="BE160" s="29"/>
      <c r="BF160" s="29"/>
      <c r="BG160" s="29"/>
      <c r="BH160" s="29"/>
      <c r="BI160" s="29"/>
      <c r="BJ160" s="29"/>
      <c r="BK160" s="29"/>
      <c r="BL160" s="29"/>
      <c r="BM160" s="278"/>
    </row>
    <row r="161" spans="1:65" ht="12.75">
      <c r="A161" s="544"/>
      <c r="B161" s="84"/>
      <c r="C161" s="93"/>
      <c r="D161" s="429"/>
      <c r="E161" s="429"/>
      <c r="F161" s="71" t="s">
        <v>86</v>
      </c>
      <c r="G161" s="75" t="s">
        <v>166</v>
      </c>
      <c r="H161" s="75"/>
      <c r="I161" s="79">
        <v>39479</v>
      </c>
      <c r="J161" s="535"/>
      <c r="K161" s="277"/>
      <c r="L161" s="29"/>
      <c r="M161" s="29">
        <f t="shared" si="8"/>
        <v>0</v>
      </c>
      <c r="N161" s="29"/>
      <c r="O161" s="29"/>
      <c r="P161" s="29"/>
      <c r="Q161" s="29"/>
      <c r="R161" s="29"/>
      <c r="S161" s="29"/>
      <c r="T161" s="29"/>
      <c r="U161" s="84"/>
      <c r="V161" s="277">
        <v>65000</v>
      </c>
      <c r="W161" s="29">
        <v>25</v>
      </c>
      <c r="X161" s="29">
        <f t="shared" si="9"/>
        <v>10404</v>
      </c>
      <c r="Y161" s="29"/>
      <c r="Z161" s="29"/>
      <c r="AA161" s="29" t="s">
        <v>745</v>
      </c>
      <c r="AB161" s="29">
        <v>0.08</v>
      </c>
      <c r="AC161" s="29"/>
      <c r="AD161" s="29"/>
      <c r="AE161" s="29"/>
      <c r="AF161" s="278"/>
      <c r="AG161" s="277"/>
      <c r="AH161" s="29"/>
      <c r="AI161" s="29"/>
      <c r="AJ161" s="29"/>
      <c r="AK161" s="29"/>
      <c r="AL161" s="29"/>
      <c r="AM161" s="29"/>
      <c r="AN161" s="29"/>
      <c r="AO161" s="29"/>
      <c r="AP161" s="29"/>
      <c r="AQ161" s="278"/>
      <c r="AR161" s="277"/>
      <c r="AS161" s="29"/>
      <c r="AT161" s="29"/>
      <c r="AU161" s="29"/>
      <c r="AV161" s="29"/>
      <c r="AW161" s="29"/>
      <c r="AX161" s="29"/>
      <c r="AY161" s="29"/>
      <c r="AZ161" s="29"/>
      <c r="BA161" s="29"/>
      <c r="BB161" s="278"/>
      <c r="BC161" s="277"/>
      <c r="BD161" s="29"/>
      <c r="BE161" s="29"/>
      <c r="BF161" s="29"/>
      <c r="BG161" s="29"/>
      <c r="BH161" s="29"/>
      <c r="BI161" s="29"/>
      <c r="BJ161" s="29"/>
      <c r="BK161" s="29"/>
      <c r="BL161" s="29"/>
      <c r="BM161" s="278"/>
    </row>
    <row r="162" spans="1:65" ht="12.75">
      <c r="A162" s="544"/>
      <c r="B162" s="84"/>
      <c r="C162" s="93"/>
      <c r="D162" s="429"/>
      <c r="E162" s="429"/>
      <c r="F162" s="71" t="s">
        <v>278</v>
      </c>
      <c r="G162" s="75" t="s">
        <v>325</v>
      </c>
      <c r="H162" s="75"/>
      <c r="I162" s="79">
        <v>39479</v>
      </c>
      <c r="J162" s="535"/>
      <c r="K162" s="277"/>
      <c r="L162" s="29"/>
      <c r="M162" s="29">
        <f t="shared" si="8"/>
        <v>0</v>
      </c>
      <c r="N162" s="29"/>
      <c r="O162" s="29"/>
      <c r="P162" s="29"/>
      <c r="Q162" s="29"/>
      <c r="R162" s="29"/>
      <c r="S162" s="29"/>
      <c r="T162" s="29"/>
      <c r="U162" s="84"/>
      <c r="V162" s="277">
        <v>200000</v>
      </c>
      <c r="W162" s="29">
        <v>60</v>
      </c>
      <c r="X162" s="29">
        <f t="shared" si="9"/>
        <v>24969.600000000002</v>
      </c>
      <c r="Y162" s="29"/>
      <c r="Z162" s="29"/>
      <c r="AA162" s="29" t="s">
        <v>745</v>
      </c>
      <c r="AB162" s="29">
        <v>0.24</v>
      </c>
      <c r="AC162" s="29"/>
      <c r="AD162" s="29"/>
      <c r="AE162" s="29"/>
      <c r="AF162" s="278"/>
      <c r="AG162" s="277"/>
      <c r="AH162" s="29"/>
      <c r="AI162" s="29"/>
      <c r="AJ162" s="29"/>
      <c r="AK162" s="29"/>
      <c r="AL162" s="29"/>
      <c r="AM162" s="29"/>
      <c r="AN162" s="29"/>
      <c r="AO162" s="29"/>
      <c r="AP162" s="29"/>
      <c r="AQ162" s="278"/>
      <c r="AR162" s="277"/>
      <c r="AS162" s="29"/>
      <c r="AT162" s="29"/>
      <c r="AU162" s="29"/>
      <c r="AV162" s="29"/>
      <c r="AW162" s="29"/>
      <c r="AX162" s="29"/>
      <c r="AY162" s="29"/>
      <c r="AZ162" s="29"/>
      <c r="BA162" s="29"/>
      <c r="BB162" s="278"/>
      <c r="BC162" s="277"/>
      <c r="BD162" s="29"/>
      <c r="BE162" s="29"/>
      <c r="BF162" s="29"/>
      <c r="BG162" s="29"/>
      <c r="BH162" s="29"/>
      <c r="BI162" s="29"/>
      <c r="BJ162" s="29"/>
      <c r="BK162" s="29"/>
      <c r="BL162" s="29"/>
      <c r="BM162" s="278"/>
    </row>
    <row r="163" spans="1:65" ht="12.75">
      <c r="A163" s="544"/>
      <c r="B163" s="84"/>
      <c r="C163" s="93"/>
      <c r="D163" s="429"/>
      <c r="E163" s="429"/>
      <c r="F163" s="71" t="s">
        <v>186</v>
      </c>
      <c r="G163" s="75" t="s">
        <v>326</v>
      </c>
      <c r="H163" s="75"/>
      <c r="I163" s="79">
        <v>39479</v>
      </c>
      <c r="J163" s="535"/>
      <c r="K163" s="277"/>
      <c r="L163" s="29"/>
      <c r="M163" s="29">
        <f t="shared" si="8"/>
        <v>0</v>
      </c>
      <c r="N163" s="29"/>
      <c r="O163" s="29"/>
      <c r="P163" s="29"/>
      <c r="Q163" s="29"/>
      <c r="R163" s="29"/>
      <c r="S163" s="29"/>
      <c r="T163" s="29"/>
      <c r="U163" s="84"/>
      <c r="V163" s="277">
        <v>30000</v>
      </c>
      <c r="W163" s="29"/>
      <c r="X163" s="29"/>
      <c r="Y163" s="29"/>
      <c r="Z163" s="29"/>
      <c r="AA163" s="29" t="s">
        <v>739</v>
      </c>
      <c r="AB163" s="29">
        <v>0.04</v>
      </c>
      <c r="AC163" s="29"/>
      <c r="AD163" s="29"/>
      <c r="AE163" s="29"/>
      <c r="AF163" s="278"/>
      <c r="AG163" s="277"/>
      <c r="AH163" s="29"/>
      <c r="AI163" s="29"/>
      <c r="AJ163" s="29"/>
      <c r="AK163" s="29"/>
      <c r="AL163" s="29"/>
      <c r="AM163" s="29"/>
      <c r="AN163" s="29"/>
      <c r="AO163" s="29"/>
      <c r="AP163" s="29"/>
      <c r="AQ163" s="278"/>
      <c r="AR163" s="277"/>
      <c r="AS163" s="29"/>
      <c r="AT163" s="29"/>
      <c r="AU163" s="29"/>
      <c r="AV163" s="29"/>
      <c r="AW163" s="29"/>
      <c r="AX163" s="29"/>
      <c r="AY163" s="29"/>
      <c r="AZ163" s="29"/>
      <c r="BA163" s="29"/>
      <c r="BB163" s="278"/>
      <c r="BC163" s="277"/>
      <c r="BD163" s="29"/>
      <c r="BE163" s="29"/>
      <c r="BF163" s="29"/>
      <c r="BG163" s="29"/>
      <c r="BH163" s="29"/>
      <c r="BI163" s="29"/>
      <c r="BJ163" s="29"/>
      <c r="BK163" s="29"/>
      <c r="BL163" s="29"/>
      <c r="BM163" s="278"/>
    </row>
    <row r="164" spans="1:65" ht="12.75">
      <c r="A164" s="544"/>
      <c r="B164" s="84"/>
      <c r="C164" s="93"/>
      <c r="D164" s="429"/>
      <c r="E164" s="429"/>
      <c r="F164" s="71" t="s">
        <v>279</v>
      </c>
      <c r="G164" s="75" t="s">
        <v>325</v>
      </c>
      <c r="H164" s="75"/>
      <c r="I164" s="79">
        <v>39479</v>
      </c>
      <c r="J164" s="535"/>
      <c r="K164" s="277"/>
      <c r="L164" s="29"/>
      <c r="M164" s="29">
        <f t="shared" si="8"/>
        <v>0</v>
      </c>
      <c r="N164" s="29"/>
      <c r="O164" s="29"/>
      <c r="P164" s="29"/>
      <c r="Q164" s="29"/>
      <c r="R164" s="29"/>
      <c r="S164" s="29"/>
      <c r="T164" s="29"/>
      <c r="U164" s="84"/>
      <c r="V164" s="277">
        <v>10000</v>
      </c>
      <c r="W164" s="29"/>
      <c r="X164" s="29"/>
      <c r="Y164" s="29"/>
      <c r="Z164" s="29"/>
      <c r="AA164" s="29" t="s">
        <v>739</v>
      </c>
      <c r="AB164" s="29">
        <v>0.04</v>
      </c>
      <c r="AC164" s="29"/>
      <c r="AD164" s="29"/>
      <c r="AE164" s="29"/>
      <c r="AF164" s="278"/>
      <c r="AG164" s="277"/>
      <c r="AH164" s="29"/>
      <c r="AI164" s="29"/>
      <c r="AJ164" s="29"/>
      <c r="AK164" s="29"/>
      <c r="AL164" s="29"/>
      <c r="AM164" s="29"/>
      <c r="AN164" s="29"/>
      <c r="AO164" s="29"/>
      <c r="AP164" s="29"/>
      <c r="AQ164" s="278"/>
      <c r="AR164" s="277"/>
      <c r="AS164" s="29"/>
      <c r="AT164" s="29"/>
      <c r="AU164" s="29"/>
      <c r="AV164" s="29"/>
      <c r="AW164" s="29"/>
      <c r="AX164" s="29"/>
      <c r="AY164" s="29"/>
      <c r="AZ164" s="29"/>
      <c r="BA164" s="29"/>
      <c r="BB164" s="278"/>
      <c r="BC164" s="277"/>
      <c r="BD164" s="29"/>
      <c r="BE164" s="29"/>
      <c r="BF164" s="29"/>
      <c r="BG164" s="29"/>
      <c r="BH164" s="29"/>
      <c r="BI164" s="29"/>
      <c r="BJ164" s="29"/>
      <c r="BK164" s="29"/>
      <c r="BL164" s="29"/>
      <c r="BM164" s="278"/>
    </row>
    <row r="165" spans="1:65" ht="12.75">
      <c r="A165" s="544"/>
      <c r="B165" s="84"/>
      <c r="C165" s="93"/>
      <c r="D165" s="429"/>
      <c r="E165" s="429"/>
      <c r="F165" s="71" t="s">
        <v>280</v>
      </c>
      <c r="G165" s="75" t="s">
        <v>326</v>
      </c>
      <c r="H165" s="75"/>
      <c r="I165" s="79">
        <v>39479</v>
      </c>
      <c r="J165" s="535"/>
      <c r="K165" s="277"/>
      <c r="L165" s="29"/>
      <c r="M165" s="29">
        <f t="shared" si="8"/>
        <v>0</v>
      </c>
      <c r="N165" s="29"/>
      <c r="O165" s="29"/>
      <c r="P165" s="29"/>
      <c r="Q165" s="29"/>
      <c r="R165" s="29"/>
      <c r="S165" s="29"/>
      <c r="T165" s="29"/>
      <c r="U165" s="84"/>
      <c r="V165" s="277">
        <v>60000</v>
      </c>
      <c r="W165" s="29"/>
      <c r="X165" s="29"/>
      <c r="Y165" s="29"/>
      <c r="Z165" s="29"/>
      <c r="AA165" s="29" t="s">
        <v>739</v>
      </c>
      <c r="AB165" s="29">
        <v>0.08</v>
      </c>
      <c r="AC165" s="29"/>
      <c r="AD165" s="29"/>
      <c r="AE165" s="29"/>
      <c r="AF165" s="278"/>
      <c r="AG165" s="277"/>
      <c r="AH165" s="29"/>
      <c r="AI165" s="29"/>
      <c r="AJ165" s="29"/>
      <c r="AK165" s="29"/>
      <c r="AL165" s="29"/>
      <c r="AM165" s="29"/>
      <c r="AN165" s="29"/>
      <c r="AO165" s="29"/>
      <c r="AP165" s="29"/>
      <c r="AQ165" s="278"/>
      <c r="AR165" s="277"/>
      <c r="AS165" s="29"/>
      <c r="AT165" s="29"/>
      <c r="AU165" s="29"/>
      <c r="AV165" s="29"/>
      <c r="AW165" s="29"/>
      <c r="AX165" s="29"/>
      <c r="AY165" s="29"/>
      <c r="AZ165" s="29"/>
      <c r="BA165" s="29"/>
      <c r="BB165" s="278"/>
      <c r="BC165" s="277"/>
      <c r="BD165" s="29"/>
      <c r="BE165" s="29"/>
      <c r="BF165" s="29"/>
      <c r="BG165" s="29"/>
      <c r="BH165" s="29"/>
      <c r="BI165" s="29"/>
      <c r="BJ165" s="29"/>
      <c r="BK165" s="29"/>
      <c r="BL165" s="29"/>
      <c r="BM165" s="278"/>
    </row>
    <row r="166" spans="1:65" ht="12.75">
      <c r="A166" s="544"/>
      <c r="B166" s="84"/>
      <c r="C166" s="93"/>
      <c r="D166" s="429"/>
      <c r="E166" s="429"/>
      <c r="F166" s="71" t="s">
        <v>281</v>
      </c>
      <c r="G166" s="75" t="s">
        <v>327</v>
      </c>
      <c r="H166" s="75"/>
      <c r="I166" s="79">
        <v>39479</v>
      </c>
      <c r="J166" s="535"/>
      <c r="K166" s="277"/>
      <c r="L166" s="29"/>
      <c r="M166" s="29">
        <f t="shared" si="8"/>
        <v>0</v>
      </c>
      <c r="N166" s="29"/>
      <c r="O166" s="29"/>
      <c r="P166" s="29"/>
      <c r="Q166" s="29"/>
      <c r="R166" s="29"/>
      <c r="S166" s="29"/>
      <c r="T166" s="29"/>
      <c r="U166" s="84"/>
      <c r="V166" s="277">
        <v>5000</v>
      </c>
      <c r="W166" s="29"/>
      <c r="X166" s="29"/>
      <c r="Y166" s="29"/>
      <c r="Z166" s="29"/>
      <c r="AA166" s="29"/>
      <c r="AB166" s="29"/>
      <c r="AC166" s="29"/>
      <c r="AD166" s="29"/>
      <c r="AE166" s="29"/>
      <c r="AF166" s="278"/>
      <c r="AG166" s="277"/>
      <c r="AH166" s="29"/>
      <c r="AI166" s="29"/>
      <c r="AJ166" s="29"/>
      <c r="AK166" s="29"/>
      <c r="AL166" s="29"/>
      <c r="AM166" s="29"/>
      <c r="AN166" s="29"/>
      <c r="AO166" s="29"/>
      <c r="AP166" s="29"/>
      <c r="AQ166" s="278"/>
      <c r="AR166" s="277"/>
      <c r="AS166" s="29"/>
      <c r="AT166" s="29"/>
      <c r="AU166" s="29"/>
      <c r="AV166" s="29"/>
      <c r="AW166" s="29"/>
      <c r="AX166" s="29"/>
      <c r="AY166" s="29"/>
      <c r="AZ166" s="29"/>
      <c r="BA166" s="29"/>
      <c r="BB166" s="278"/>
      <c r="BC166" s="277"/>
      <c r="BD166" s="29"/>
      <c r="BE166" s="29"/>
      <c r="BF166" s="29"/>
      <c r="BG166" s="29"/>
      <c r="BH166" s="29"/>
      <c r="BI166" s="29"/>
      <c r="BJ166" s="29"/>
      <c r="BK166" s="29"/>
      <c r="BL166" s="29"/>
      <c r="BM166" s="278"/>
    </row>
    <row r="167" spans="1:65" ht="12.75">
      <c r="A167" s="544"/>
      <c r="B167" s="84"/>
      <c r="C167" s="93"/>
      <c r="D167" s="429"/>
      <c r="E167" s="429"/>
      <c r="F167" s="71" t="s">
        <v>282</v>
      </c>
      <c r="G167" s="75" t="s">
        <v>327</v>
      </c>
      <c r="H167" s="75"/>
      <c r="I167" s="79">
        <v>39479</v>
      </c>
      <c r="J167" s="535"/>
      <c r="K167" s="277"/>
      <c r="L167" s="29"/>
      <c r="M167" s="29">
        <f t="shared" si="8"/>
        <v>0</v>
      </c>
      <c r="N167" s="29"/>
      <c r="O167" s="29"/>
      <c r="P167" s="29"/>
      <c r="Q167" s="29"/>
      <c r="R167" s="29"/>
      <c r="S167" s="29"/>
      <c r="T167" s="29"/>
      <c r="U167" s="84"/>
      <c r="V167" s="277">
        <v>5000</v>
      </c>
      <c r="W167" s="29"/>
      <c r="X167" s="29"/>
      <c r="Y167" s="29"/>
      <c r="Z167" s="29"/>
      <c r="AA167" s="29"/>
      <c r="AB167" s="29"/>
      <c r="AC167" s="29"/>
      <c r="AD167" s="29"/>
      <c r="AE167" s="29"/>
      <c r="AF167" s="278"/>
      <c r="AG167" s="277"/>
      <c r="AH167" s="29"/>
      <c r="AI167" s="29"/>
      <c r="AJ167" s="29"/>
      <c r="AK167" s="29"/>
      <c r="AL167" s="29"/>
      <c r="AM167" s="29"/>
      <c r="AN167" s="29"/>
      <c r="AO167" s="29"/>
      <c r="AP167" s="29"/>
      <c r="AQ167" s="278"/>
      <c r="AR167" s="277"/>
      <c r="AS167" s="29"/>
      <c r="AT167" s="29"/>
      <c r="AU167" s="29"/>
      <c r="AV167" s="29"/>
      <c r="AW167" s="29"/>
      <c r="AX167" s="29"/>
      <c r="AY167" s="29"/>
      <c r="AZ167" s="29"/>
      <c r="BA167" s="29"/>
      <c r="BB167" s="278"/>
      <c r="BC167" s="277"/>
      <c r="BD167" s="29"/>
      <c r="BE167" s="29"/>
      <c r="BF167" s="29"/>
      <c r="BG167" s="29"/>
      <c r="BH167" s="29"/>
      <c r="BI167" s="29"/>
      <c r="BJ167" s="29"/>
      <c r="BK167" s="29"/>
      <c r="BL167" s="29"/>
      <c r="BM167" s="278"/>
    </row>
    <row r="168" spans="1:65" ht="12.75">
      <c r="A168" s="544"/>
      <c r="B168" s="84"/>
      <c r="C168" s="93"/>
      <c r="D168" s="429"/>
      <c r="E168" s="429"/>
      <c r="F168" s="71" t="s">
        <v>283</v>
      </c>
      <c r="G168" s="75" t="s">
        <v>328</v>
      </c>
      <c r="H168" s="75"/>
      <c r="I168" s="79">
        <v>39479</v>
      </c>
      <c r="J168" s="535"/>
      <c r="K168" s="277"/>
      <c r="L168" s="29"/>
      <c r="M168" s="29">
        <f t="shared" si="8"/>
        <v>0</v>
      </c>
      <c r="N168" s="29"/>
      <c r="O168" s="29"/>
      <c r="P168" s="29"/>
      <c r="Q168" s="29"/>
      <c r="R168" s="29"/>
      <c r="S168" s="29"/>
      <c r="T168" s="29"/>
      <c r="U168" s="84"/>
      <c r="V168" s="277">
        <v>5000</v>
      </c>
      <c r="W168" s="29"/>
      <c r="X168" s="29"/>
      <c r="Y168" s="29"/>
      <c r="Z168" s="29"/>
      <c r="AA168" s="29"/>
      <c r="AB168" s="29"/>
      <c r="AC168" s="29"/>
      <c r="AD168" s="29"/>
      <c r="AE168" s="29"/>
      <c r="AF168" s="278"/>
      <c r="AG168" s="277"/>
      <c r="AH168" s="29"/>
      <c r="AI168" s="29"/>
      <c r="AJ168" s="29"/>
      <c r="AK168" s="29"/>
      <c r="AL168" s="29"/>
      <c r="AM168" s="29"/>
      <c r="AN168" s="29"/>
      <c r="AO168" s="29"/>
      <c r="AP168" s="29"/>
      <c r="AQ168" s="278"/>
      <c r="AR168" s="277"/>
      <c r="AS168" s="29"/>
      <c r="AT168" s="29"/>
      <c r="AU168" s="29"/>
      <c r="AV168" s="29"/>
      <c r="AW168" s="29"/>
      <c r="AX168" s="29"/>
      <c r="AY168" s="29"/>
      <c r="AZ168" s="29"/>
      <c r="BA168" s="29"/>
      <c r="BB168" s="278"/>
      <c r="BC168" s="277"/>
      <c r="BD168" s="29"/>
      <c r="BE168" s="29"/>
      <c r="BF168" s="29"/>
      <c r="BG168" s="29"/>
      <c r="BH168" s="29"/>
      <c r="BI168" s="29"/>
      <c r="BJ168" s="29"/>
      <c r="BK168" s="29"/>
      <c r="BL168" s="29"/>
      <c r="BM168" s="278"/>
    </row>
    <row r="169" spans="1:65" ht="13.5" thickBot="1">
      <c r="A169" s="544"/>
      <c r="B169" s="84"/>
      <c r="C169" s="94"/>
      <c r="D169" s="445"/>
      <c r="E169" s="445"/>
      <c r="F169" s="104" t="s">
        <v>285</v>
      </c>
      <c r="G169" s="96" t="s">
        <v>329</v>
      </c>
      <c r="H169" s="96"/>
      <c r="I169" s="128">
        <v>39479</v>
      </c>
      <c r="J169" s="536"/>
      <c r="K169" s="277"/>
      <c r="L169" s="29"/>
      <c r="M169" s="29">
        <f t="shared" si="8"/>
        <v>0</v>
      </c>
      <c r="N169" s="29"/>
      <c r="O169" s="29"/>
      <c r="P169" s="29"/>
      <c r="Q169" s="29"/>
      <c r="R169" s="29"/>
      <c r="S169" s="29"/>
      <c r="T169" s="29"/>
      <c r="U169" s="84"/>
      <c r="V169" s="277">
        <v>50000</v>
      </c>
      <c r="W169" s="29">
        <v>20</v>
      </c>
      <c r="X169" s="29">
        <f>W169*X$2*8</f>
        <v>8323.2</v>
      </c>
      <c r="Y169" s="29"/>
      <c r="Z169" s="29"/>
      <c r="AA169" s="29" t="s">
        <v>747</v>
      </c>
      <c r="AB169" s="29">
        <v>0.08</v>
      </c>
      <c r="AC169" s="29"/>
      <c r="AD169" s="29"/>
      <c r="AE169" s="29"/>
      <c r="AF169" s="278"/>
      <c r="AG169" s="277"/>
      <c r="AH169" s="29"/>
      <c r="AI169" s="29"/>
      <c r="AJ169" s="29"/>
      <c r="AK169" s="29"/>
      <c r="AL169" s="29"/>
      <c r="AM169" s="29"/>
      <c r="AN169" s="29"/>
      <c r="AO169" s="29"/>
      <c r="AP169" s="29"/>
      <c r="AQ169" s="278"/>
      <c r="AR169" s="277"/>
      <c r="AS169" s="29"/>
      <c r="AT169" s="29"/>
      <c r="AU169" s="29"/>
      <c r="AV169" s="29"/>
      <c r="AW169" s="29"/>
      <c r="AX169" s="29"/>
      <c r="AY169" s="29"/>
      <c r="AZ169" s="29"/>
      <c r="BA169" s="29"/>
      <c r="BB169" s="278"/>
      <c r="BC169" s="277"/>
      <c r="BD169" s="29"/>
      <c r="BE169" s="29"/>
      <c r="BF169" s="29"/>
      <c r="BG169" s="29"/>
      <c r="BH169" s="29"/>
      <c r="BI169" s="29"/>
      <c r="BJ169" s="29"/>
      <c r="BK169" s="29"/>
      <c r="BL169" s="29"/>
      <c r="BM169" s="278"/>
    </row>
    <row r="170" spans="1:65" ht="13.5" thickTop="1">
      <c r="A170" s="544"/>
      <c r="B170" s="29"/>
      <c r="C170" s="87"/>
      <c r="D170" s="103"/>
      <c r="E170" s="103"/>
      <c r="F170" s="88" t="s">
        <v>286</v>
      </c>
      <c r="G170" s="103"/>
      <c r="H170" s="103"/>
      <c r="I170" s="115"/>
      <c r="J170" s="268"/>
      <c r="K170" s="277"/>
      <c r="L170" s="29"/>
      <c r="M170" s="29">
        <f t="shared" si="8"/>
        <v>0</v>
      </c>
      <c r="N170" s="29"/>
      <c r="O170" s="29"/>
      <c r="P170" s="29"/>
      <c r="Q170" s="29"/>
      <c r="R170" s="29"/>
      <c r="S170" s="29"/>
      <c r="T170" s="29"/>
      <c r="U170" s="84"/>
      <c r="V170" s="277">
        <v>10000</v>
      </c>
      <c r="W170" s="29"/>
      <c r="X170" s="29"/>
      <c r="Y170" s="29"/>
      <c r="Z170" s="29"/>
      <c r="AA170" s="29" t="s">
        <v>745</v>
      </c>
      <c r="AB170" s="29">
        <v>0.04</v>
      </c>
      <c r="AC170" s="29"/>
      <c r="AD170" s="29"/>
      <c r="AE170" s="29"/>
      <c r="AF170" s="278"/>
      <c r="AG170" s="277"/>
      <c r="AH170" s="29"/>
      <c r="AI170" s="29"/>
      <c r="AJ170" s="29"/>
      <c r="AK170" s="29"/>
      <c r="AL170" s="29"/>
      <c r="AM170" s="29"/>
      <c r="AN170" s="29"/>
      <c r="AO170" s="29"/>
      <c r="AP170" s="29"/>
      <c r="AQ170" s="278"/>
      <c r="AR170" s="277"/>
      <c r="AS170" s="29"/>
      <c r="AT170" s="29"/>
      <c r="AU170" s="29"/>
      <c r="AV170" s="29"/>
      <c r="AW170" s="29"/>
      <c r="AX170" s="29"/>
      <c r="AY170" s="29"/>
      <c r="AZ170" s="29"/>
      <c r="BA170" s="29"/>
      <c r="BB170" s="278"/>
      <c r="BC170" s="277"/>
      <c r="BD170" s="29"/>
      <c r="BE170" s="29"/>
      <c r="BF170" s="29"/>
      <c r="BG170" s="29"/>
      <c r="BH170" s="29"/>
      <c r="BI170" s="29"/>
      <c r="BJ170" s="29"/>
      <c r="BK170" s="29"/>
      <c r="BL170" s="29"/>
      <c r="BM170" s="278"/>
    </row>
    <row r="171" spans="1:65" ht="13.5" thickBot="1">
      <c r="A171" s="544"/>
      <c r="B171" s="29"/>
      <c r="C171" s="97"/>
      <c r="D171" s="86"/>
      <c r="E171" s="86"/>
      <c r="F171" s="85"/>
      <c r="G171" s="86"/>
      <c r="H171" s="86"/>
      <c r="I171" s="74"/>
      <c r="J171" s="258"/>
      <c r="K171" s="277"/>
      <c r="L171" s="29"/>
      <c r="M171" s="29">
        <f t="shared" si="8"/>
        <v>0</v>
      </c>
      <c r="N171" s="29"/>
      <c r="O171" s="29"/>
      <c r="P171" s="29"/>
      <c r="Q171" s="29"/>
      <c r="R171" s="29"/>
      <c r="S171" s="29"/>
      <c r="T171" s="29"/>
      <c r="U171" s="84"/>
      <c r="V171" s="277"/>
      <c r="W171" s="29"/>
      <c r="X171" s="29"/>
      <c r="Y171" s="29"/>
      <c r="Z171" s="29"/>
      <c r="AA171" s="29"/>
      <c r="AB171" s="29"/>
      <c r="AC171" s="29"/>
      <c r="AD171" s="29"/>
      <c r="AE171" s="29"/>
      <c r="AF171" s="278"/>
      <c r="AG171" s="277"/>
      <c r="AH171" s="29"/>
      <c r="AI171" s="29"/>
      <c r="AJ171" s="29"/>
      <c r="AK171" s="29"/>
      <c r="AL171" s="29"/>
      <c r="AM171" s="29"/>
      <c r="AN171" s="29"/>
      <c r="AO171" s="29"/>
      <c r="AP171" s="29"/>
      <c r="AQ171" s="278"/>
      <c r="AR171" s="277"/>
      <c r="AS171" s="29"/>
      <c r="AT171" s="29"/>
      <c r="AU171" s="29"/>
      <c r="AV171" s="29"/>
      <c r="AW171" s="29"/>
      <c r="AX171" s="29"/>
      <c r="AY171" s="29"/>
      <c r="AZ171" s="29"/>
      <c r="BA171" s="29"/>
      <c r="BB171" s="278"/>
      <c r="BC171" s="277"/>
      <c r="BD171" s="29"/>
      <c r="BE171" s="29"/>
      <c r="BF171" s="29"/>
      <c r="BG171" s="29"/>
      <c r="BH171" s="29"/>
      <c r="BI171" s="29"/>
      <c r="BJ171" s="29"/>
      <c r="BK171" s="29"/>
      <c r="BL171" s="29"/>
      <c r="BM171" s="278"/>
    </row>
    <row r="172" spans="1:65" ht="13.5" thickTop="1">
      <c r="A172" s="544"/>
      <c r="B172" s="84"/>
      <c r="C172" s="310" t="s">
        <v>23</v>
      </c>
      <c r="D172" s="439" t="s">
        <v>732</v>
      </c>
      <c r="E172" s="439" t="s">
        <v>729</v>
      </c>
      <c r="F172" s="102" t="s">
        <v>71</v>
      </c>
      <c r="G172" s="111"/>
      <c r="H172" s="111"/>
      <c r="I172" s="126"/>
      <c r="J172" s="524">
        <v>40330</v>
      </c>
      <c r="K172" s="277"/>
      <c r="L172" s="29"/>
      <c r="M172" s="29">
        <f t="shared" si="8"/>
        <v>0</v>
      </c>
      <c r="N172" s="29"/>
      <c r="O172" s="29"/>
      <c r="P172" s="29"/>
      <c r="Q172" s="29"/>
      <c r="R172" s="29"/>
      <c r="S172" s="29"/>
      <c r="T172" s="29"/>
      <c r="U172" s="84"/>
      <c r="V172" s="277">
        <v>15000</v>
      </c>
      <c r="W172" s="29"/>
      <c r="X172" s="29"/>
      <c r="Y172" s="29"/>
      <c r="Z172" s="29"/>
      <c r="AA172" s="29"/>
      <c r="AB172" s="29"/>
      <c r="AC172" s="29"/>
      <c r="AD172" s="29"/>
      <c r="AE172" s="29"/>
      <c r="AF172" s="278"/>
      <c r="AG172" s="277">
        <v>100000</v>
      </c>
      <c r="AH172" s="29"/>
      <c r="AI172" s="29"/>
      <c r="AJ172" s="29">
        <v>0.25</v>
      </c>
      <c r="AK172" s="29">
        <f>AJ172*AK2</f>
        <v>28611</v>
      </c>
      <c r="AL172" s="29" t="s">
        <v>747</v>
      </c>
      <c r="AM172" s="29">
        <v>0.5</v>
      </c>
      <c r="AN172" s="29"/>
      <c r="AO172" s="29"/>
      <c r="AP172" s="29"/>
      <c r="AQ172" s="278"/>
      <c r="AR172" s="277"/>
      <c r="AS172" s="29"/>
      <c r="AT172" s="29"/>
      <c r="AU172" s="29"/>
      <c r="AV172" s="29"/>
      <c r="AW172" s="29"/>
      <c r="AX172" s="29"/>
      <c r="AY172" s="29"/>
      <c r="AZ172" s="29"/>
      <c r="BA172" s="29"/>
      <c r="BB172" s="278"/>
      <c r="BC172" s="277"/>
      <c r="BD172" s="29"/>
      <c r="BE172" s="29"/>
      <c r="BF172" s="29"/>
      <c r="BG172" s="29"/>
      <c r="BH172" s="29"/>
      <c r="BI172" s="29"/>
      <c r="BJ172" s="29"/>
      <c r="BK172" s="29"/>
      <c r="BL172" s="29"/>
      <c r="BM172" s="278"/>
    </row>
    <row r="173" spans="1:65" ht="13.5" thickBot="1">
      <c r="A173" s="544"/>
      <c r="B173" s="84"/>
      <c r="C173" s="94"/>
      <c r="D173" s="445"/>
      <c r="E173" s="445"/>
      <c r="F173" s="104" t="s">
        <v>330</v>
      </c>
      <c r="G173" s="96"/>
      <c r="H173" s="96"/>
      <c r="I173" s="129"/>
      <c r="J173" s="525"/>
      <c r="K173" s="277"/>
      <c r="L173" s="29"/>
      <c r="M173" s="29">
        <f t="shared" si="8"/>
        <v>0</v>
      </c>
      <c r="N173" s="29"/>
      <c r="O173" s="29"/>
      <c r="P173" s="29"/>
      <c r="Q173" s="29"/>
      <c r="R173" s="29"/>
      <c r="S173" s="29"/>
      <c r="T173" s="29"/>
      <c r="U173" s="84"/>
      <c r="V173" s="277">
        <v>15000</v>
      </c>
      <c r="W173" s="29"/>
      <c r="X173" s="29"/>
      <c r="Y173" s="29"/>
      <c r="Z173" s="29"/>
      <c r="AA173" s="29"/>
      <c r="AB173" s="29"/>
      <c r="AC173" s="29"/>
      <c r="AD173" s="29"/>
      <c r="AE173" s="29"/>
      <c r="AF173" s="278"/>
      <c r="AG173" s="277">
        <v>100000</v>
      </c>
      <c r="AH173" s="29"/>
      <c r="AI173" s="29"/>
      <c r="AJ173" s="29">
        <v>0.25</v>
      </c>
      <c r="AK173" s="29">
        <f>AJ173*AK2</f>
        <v>28611</v>
      </c>
      <c r="AL173" s="29"/>
      <c r="AM173" s="29"/>
      <c r="AN173" s="29"/>
      <c r="AO173" s="29"/>
      <c r="AP173" s="29"/>
      <c r="AQ173" s="278"/>
      <c r="AR173" s="277"/>
      <c r="AS173" s="29"/>
      <c r="AT173" s="29"/>
      <c r="AU173" s="29"/>
      <c r="AV173" s="29"/>
      <c r="AW173" s="29"/>
      <c r="AX173" s="29"/>
      <c r="AY173" s="29"/>
      <c r="AZ173" s="29"/>
      <c r="BA173" s="29"/>
      <c r="BB173" s="278"/>
      <c r="BC173" s="277"/>
      <c r="BD173" s="29"/>
      <c r="BE173" s="29"/>
      <c r="BF173" s="29"/>
      <c r="BG173" s="29"/>
      <c r="BH173" s="29"/>
      <c r="BI173" s="29"/>
      <c r="BJ173" s="29"/>
      <c r="BK173" s="29"/>
      <c r="BL173" s="29"/>
      <c r="BM173" s="278"/>
    </row>
    <row r="174" spans="1:65" ht="14.25" thickBot="1" thickTop="1">
      <c r="A174" s="544"/>
      <c r="B174" s="29"/>
      <c r="C174" s="106"/>
      <c r="D174" s="108"/>
      <c r="E174" s="108"/>
      <c r="F174" s="107"/>
      <c r="G174" s="108"/>
      <c r="H174" s="108"/>
      <c r="I174" s="78"/>
      <c r="J174" s="265"/>
      <c r="K174" s="277"/>
      <c r="L174" s="29"/>
      <c r="M174" s="29">
        <f t="shared" si="8"/>
        <v>0</v>
      </c>
      <c r="N174" s="29"/>
      <c r="O174" s="29"/>
      <c r="P174" s="29"/>
      <c r="Q174" s="29"/>
      <c r="R174" s="29"/>
      <c r="S174" s="29"/>
      <c r="T174" s="29"/>
      <c r="U174" s="84"/>
      <c r="V174" s="277"/>
      <c r="W174" s="29"/>
      <c r="X174" s="29"/>
      <c r="Y174" s="29"/>
      <c r="Z174" s="29"/>
      <c r="AA174" s="29"/>
      <c r="AB174" s="29"/>
      <c r="AC174" s="29"/>
      <c r="AD174" s="29"/>
      <c r="AE174" s="29"/>
      <c r="AF174" s="278"/>
      <c r="AG174" s="277"/>
      <c r="AH174" s="29"/>
      <c r="AI174" s="29"/>
      <c r="AJ174" s="29"/>
      <c r="AK174" s="29"/>
      <c r="AL174" s="29"/>
      <c r="AM174" s="29"/>
      <c r="AN174" s="29"/>
      <c r="AO174" s="29"/>
      <c r="AP174" s="29"/>
      <c r="AQ174" s="278"/>
      <c r="AR174" s="277"/>
      <c r="AS174" s="29"/>
      <c r="AT174" s="29"/>
      <c r="AU174" s="29"/>
      <c r="AV174" s="29"/>
      <c r="AW174" s="29"/>
      <c r="AX174" s="29"/>
      <c r="AY174" s="29"/>
      <c r="AZ174" s="29"/>
      <c r="BA174" s="29"/>
      <c r="BB174" s="278"/>
      <c r="BC174" s="277"/>
      <c r="BD174" s="29"/>
      <c r="BE174" s="29"/>
      <c r="BF174" s="29"/>
      <c r="BG174" s="29"/>
      <c r="BH174" s="29"/>
      <c r="BI174" s="29"/>
      <c r="BJ174" s="29"/>
      <c r="BK174" s="29"/>
      <c r="BL174" s="29"/>
      <c r="BM174" s="278"/>
    </row>
    <row r="175" spans="1:65" ht="14.25" thickBot="1" thickTop="1">
      <c r="A175" s="544"/>
      <c r="B175" s="84"/>
      <c r="C175" s="322" t="s">
        <v>287</v>
      </c>
      <c r="D175" s="109"/>
      <c r="E175" s="109"/>
      <c r="F175" s="100"/>
      <c r="G175" s="109"/>
      <c r="H175" s="109"/>
      <c r="I175" s="127"/>
      <c r="J175" s="271"/>
      <c r="K175" s="277"/>
      <c r="L175" s="29"/>
      <c r="M175" s="29">
        <f t="shared" si="8"/>
        <v>0</v>
      </c>
      <c r="N175" s="29"/>
      <c r="O175" s="29"/>
      <c r="P175" s="29"/>
      <c r="Q175" s="29"/>
      <c r="R175" s="29"/>
      <c r="S175" s="29"/>
      <c r="T175" s="29"/>
      <c r="U175" s="84"/>
      <c r="V175" s="277"/>
      <c r="W175" s="29"/>
      <c r="X175" s="29"/>
      <c r="Y175" s="29"/>
      <c r="Z175" s="29"/>
      <c r="AA175" s="29"/>
      <c r="AB175" s="29"/>
      <c r="AC175" s="29"/>
      <c r="AD175" s="29"/>
      <c r="AE175" s="29"/>
      <c r="AF175" s="278"/>
      <c r="AG175" s="277"/>
      <c r="AH175" s="29"/>
      <c r="AI175" s="29"/>
      <c r="AJ175" s="29"/>
      <c r="AK175" s="29"/>
      <c r="AL175" s="29"/>
      <c r="AM175" s="29"/>
      <c r="AN175" s="29"/>
      <c r="AO175" s="29"/>
      <c r="AP175" s="29"/>
      <c r="AQ175" s="278"/>
      <c r="AR175" s="277"/>
      <c r="AS175" s="29"/>
      <c r="AT175" s="29"/>
      <c r="AU175" s="29"/>
      <c r="AV175" s="29"/>
      <c r="AW175" s="29"/>
      <c r="AX175" s="29"/>
      <c r="AY175" s="29"/>
      <c r="AZ175" s="29"/>
      <c r="BA175" s="29"/>
      <c r="BB175" s="278"/>
      <c r="BC175" s="277"/>
      <c r="BD175" s="29"/>
      <c r="BE175" s="29"/>
      <c r="BF175" s="29"/>
      <c r="BG175" s="29"/>
      <c r="BH175" s="29"/>
      <c r="BI175" s="29"/>
      <c r="BJ175" s="29"/>
      <c r="BK175" s="29"/>
      <c r="BL175" s="29"/>
      <c r="BM175" s="278"/>
    </row>
    <row r="176" spans="1:65" ht="14.25" thickBot="1" thickTop="1">
      <c r="A176" s="544"/>
      <c r="B176" s="84"/>
      <c r="C176" s="130"/>
      <c r="D176" s="309"/>
      <c r="E176" s="309"/>
      <c r="F176" s="107"/>
      <c r="G176" s="108"/>
      <c r="H176" s="108"/>
      <c r="I176" s="78"/>
      <c r="J176" s="265"/>
      <c r="K176" s="277"/>
      <c r="L176" s="29"/>
      <c r="M176" s="29">
        <f t="shared" si="8"/>
        <v>0</v>
      </c>
      <c r="N176" s="29"/>
      <c r="O176" s="29"/>
      <c r="P176" s="29"/>
      <c r="Q176" s="29"/>
      <c r="R176" s="29"/>
      <c r="S176" s="29"/>
      <c r="T176" s="29"/>
      <c r="U176" s="84"/>
      <c r="V176" s="277"/>
      <c r="W176" s="29"/>
      <c r="X176" s="29"/>
      <c r="Y176" s="29"/>
      <c r="Z176" s="29"/>
      <c r="AA176" s="29"/>
      <c r="AB176" s="29"/>
      <c r="AC176" s="29"/>
      <c r="AD176" s="29"/>
      <c r="AE176" s="29"/>
      <c r="AF176" s="278"/>
      <c r="AG176" s="277"/>
      <c r="AH176" s="29"/>
      <c r="AI176" s="29"/>
      <c r="AJ176" s="29"/>
      <c r="AK176" s="29"/>
      <c r="AL176" s="29"/>
      <c r="AM176" s="29"/>
      <c r="AN176" s="29"/>
      <c r="AO176" s="29"/>
      <c r="AP176" s="29"/>
      <c r="AQ176" s="278"/>
      <c r="AR176" s="277"/>
      <c r="AS176" s="29"/>
      <c r="AT176" s="29"/>
      <c r="AU176" s="29"/>
      <c r="AV176" s="29"/>
      <c r="AW176" s="29"/>
      <c r="AX176" s="29"/>
      <c r="AY176" s="29"/>
      <c r="AZ176" s="29"/>
      <c r="BA176" s="29"/>
      <c r="BB176" s="278"/>
      <c r="BC176" s="277"/>
      <c r="BD176" s="29"/>
      <c r="BE176" s="29"/>
      <c r="BF176" s="29"/>
      <c r="BG176" s="29"/>
      <c r="BH176" s="29"/>
      <c r="BI176" s="29"/>
      <c r="BJ176" s="29"/>
      <c r="BK176" s="29"/>
      <c r="BL176" s="29"/>
      <c r="BM176" s="278"/>
    </row>
    <row r="177" spans="1:65" ht="13.5" thickTop="1">
      <c r="A177" s="544"/>
      <c r="B177" s="84" t="s">
        <v>194</v>
      </c>
      <c r="C177" s="310" t="s">
        <v>292</v>
      </c>
      <c r="D177" s="439" t="s">
        <v>723</v>
      </c>
      <c r="E177" s="439" t="s">
        <v>725</v>
      </c>
      <c r="F177" s="102" t="s">
        <v>288</v>
      </c>
      <c r="G177" s="111"/>
      <c r="H177" s="126"/>
      <c r="I177" s="287">
        <v>40179</v>
      </c>
      <c r="J177" s="284">
        <v>40210</v>
      </c>
      <c r="K177" s="277"/>
      <c r="L177" s="29"/>
      <c r="M177" s="29">
        <f t="shared" si="8"/>
        <v>0</v>
      </c>
      <c r="N177" s="29"/>
      <c r="O177" s="29"/>
      <c r="P177" s="29"/>
      <c r="Q177" s="29"/>
      <c r="R177" s="29"/>
      <c r="S177" s="29"/>
      <c r="T177" s="29"/>
      <c r="U177" s="84"/>
      <c r="V177" s="277"/>
      <c r="W177" s="29"/>
      <c r="X177" s="29"/>
      <c r="Y177" s="29"/>
      <c r="Z177" s="29"/>
      <c r="AA177" s="29"/>
      <c r="AB177" s="29"/>
      <c r="AC177" s="29"/>
      <c r="AD177" s="29"/>
      <c r="AE177" s="29"/>
      <c r="AF177" s="278"/>
      <c r="AG177" s="277"/>
      <c r="AH177" s="29"/>
      <c r="AI177" s="29"/>
      <c r="AJ177" s="425">
        <v>0.16</v>
      </c>
      <c r="AK177" s="425">
        <f>AJ177*AK2</f>
        <v>18311.04</v>
      </c>
      <c r="AL177" s="425" t="s">
        <v>745</v>
      </c>
      <c r="AM177" s="425">
        <v>0.16</v>
      </c>
      <c r="AN177" s="29"/>
      <c r="AO177" s="29"/>
      <c r="AP177" s="29"/>
      <c r="AQ177" s="278"/>
      <c r="AR177" s="277"/>
      <c r="AS177" s="29"/>
      <c r="AT177" s="29"/>
      <c r="AU177" s="29"/>
      <c r="AV177" s="29"/>
      <c r="AW177" s="29"/>
      <c r="AX177" s="29"/>
      <c r="AY177" s="29"/>
      <c r="AZ177" s="29"/>
      <c r="BA177" s="29"/>
      <c r="BB177" s="278"/>
      <c r="BC177" s="277"/>
      <c r="BD177" s="29"/>
      <c r="BE177" s="29"/>
      <c r="BF177" s="29"/>
      <c r="BG177" s="29"/>
      <c r="BH177" s="29"/>
      <c r="BI177" s="29"/>
      <c r="BJ177" s="29"/>
      <c r="BK177" s="29"/>
      <c r="BL177" s="29"/>
      <c r="BM177" s="278"/>
    </row>
    <row r="178" spans="1:65" ht="12.75">
      <c r="A178" s="544"/>
      <c r="B178" s="84"/>
      <c r="C178" s="93"/>
      <c r="D178" s="429"/>
      <c r="E178" s="429"/>
      <c r="F178" s="71" t="s">
        <v>289</v>
      </c>
      <c r="G178" s="75"/>
      <c r="H178" s="75"/>
      <c r="I178" s="288">
        <v>40179</v>
      </c>
      <c r="J178" s="285">
        <v>40210</v>
      </c>
      <c r="K178" s="277"/>
      <c r="L178" s="29"/>
      <c r="M178" s="29">
        <f t="shared" si="8"/>
        <v>0</v>
      </c>
      <c r="N178" s="29"/>
      <c r="O178" s="29"/>
      <c r="P178" s="29"/>
      <c r="Q178" s="29"/>
      <c r="R178" s="29"/>
      <c r="S178" s="29"/>
      <c r="T178" s="29"/>
      <c r="U178" s="84"/>
      <c r="V178" s="277"/>
      <c r="W178" s="29"/>
      <c r="X178" s="29"/>
      <c r="Y178" s="29"/>
      <c r="Z178" s="29"/>
      <c r="AA178" s="29"/>
      <c r="AB178" s="29"/>
      <c r="AC178" s="29"/>
      <c r="AD178" s="29"/>
      <c r="AE178" s="29"/>
      <c r="AF178" s="278"/>
      <c r="AG178" s="277"/>
      <c r="AH178" s="29"/>
      <c r="AI178" s="29"/>
      <c r="AJ178" s="426"/>
      <c r="AK178" s="426"/>
      <c r="AL178" s="426"/>
      <c r="AM178" s="426"/>
      <c r="AN178" s="29"/>
      <c r="AO178" s="29"/>
      <c r="AP178" s="29"/>
      <c r="AQ178" s="278"/>
      <c r="AR178" s="277"/>
      <c r="AS178" s="29"/>
      <c r="AT178" s="29"/>
      <c r="AU178" s="29"/>
      <c r="AV178" s="29"/>
      <c r="AW178" s="29"/>
      <c r="AX178" s="29"/>
      <c r="AY178" s="29"/>
      <c r="AZ178" s="29"/>
      <c r="BA178" s="29"/>
      <c r="BB178" s="278"/>
      <c r="BC178" s="277"/>
      <c r="BD178" s="29"/>
      <c r="BE178" s="29"/>
      <c r="BF178" s="29"/>
      <c r="BG178" s="29"/>
      <c r="BH178" s="29"/>
      <c r="BI178" s="29"/>
      <c r="BJ178" s="29"/>
      <c r="BK178" s="29"/>
      <c r="BL178" s="29"/>
      <c r="BM178" s="278"/>
    </row>
    <row r="179" spans="1:65" ht="13.5" thickBot="1">
      <c r="A179" s="544"/>
      <c r="B179" s="84"/>
      <c r="C179" s="94"/>
      <c r="D179" s="445"/>
      <c r="E179" s="445"/>
      <c r="F179" s="104" t="s">
        <v>290</v>
      </c>
      <c r="G179" s="96"/>
      <c r="H179" s="96"/>
      <c r="I179" s="289">
        <v>40179</v>
      </c>
      <c r="J179" s="286">
        <v>40210</v>
      </c>
      <c r="K179" s="277"/>
      <c r="L179" s="29"/>
      <c r="M179" s="29">
        <f t="shared" si="8"/>
        <v>0</v>
      </c>
      <c r="N179" s="29"/>
      <c r="O179" s="29"/>
      <c r="P179" s="29"/>
      <c r="Q179" s="29"/>
      <c r="R179" s="29"/>
      <c r="S179" s="29"/>
      <c r="T179" s="29"/>
      <c r="U179" s="84"/>
      <c r="V179" s="277"/>
      <c r="W179" s="29"/>
      <c r="X179" s="29"/>
      <c r="Y179" s="29"/>
      <c r="Z179" s="29"/>
      <c r="AA179" s="29"/>
      <c r="AB179" s="29"/>
      <c r="AC179" s="29"/>
      <c r="AD179" s="29"/>
      <c r="AE179" s="29"/>
      <c r="AF179" s="278"/>
      <c r="AG179" s="277"/>
      <c r="AH179" s="29"/>
      <c r="AI179" s="29"/>
      <c r="AJ179" s="427"/>
      <c r="AK179" s="427"/>
      <c r="AL179" s="427"/>
      <c r="AM179" s="427"/>
      <c r="AN179" s="29"/>
      <c r="AO179" s="29"/>
      <c r="AP179" s="29"/>
      <c r="AQ179" s="278"/>
      <c r="AR179" s="277"/>
      <c r="AS179" s="29"/>
      <c r="AT179" s="29"/>
      <c r="AU179" s="29"/>
      <c r="AV179" s="29"/>
      <c r="AW179" s="29"/>
      <c r="AX179" s="29"/>
      <c r="AY179" s="29"/>
      <c r="AZ179" s="29"/>
      <c r="BA179" s="29"/>
      <c r="BB179" s="278"/>
      <c r="BC179" s="277"/>
      <c r="BD179" s="29"/>
      <c r="BE179" s="29"/>
      <c r="BF179" s="29"/>
      <c r="BG179" s="29"/>
      <c r="BH179" s="29"/>
      <c r="BI179" s="29"/>
      <c r="BJ179" s="29"/>
      <c r="BK179" s="29"/>
      <c r="BL179" s="29"/>
      <c r="BM179" s="278"/>
    </row>
    <row r="180" spans="1:65" ht="14.25" thickBot="1" thickTop="1">
      <c r="A180" s="544"/>
      <c r="B180" s="29"/>
      <c r="C180" s="106"/>
      <c r="D180" s="108"/>
      <c r="E180" s="108"/>
      <c r="F180" s="107"/>
      <c r="G180" s="108"/>
      <c r="H180" s="108"/>
      <c r="I180" s="78"/>
      <c r="J180" s="265"/>
      <c r="K180" s="277"/>
      <c r="L180" s="29"/>
      <c r="M180" s="29">
        <f t="shared" si="8"/>
        <v>0</v>
      </c>
      <c r="N180" s="29"/>
      <c r="O180" s="29"/>
      <c r="P180" s="29"/>
      <c r="Q180" s="29"/>
      <c r="R180" s="29"/>
      <c r="S180" s="29"/>
      <c r="T180" s="29"/>
      <c r="U180" s="84"/>
      <c r="V180" s="277"/>
      <c r="W180" s="29"/>
      <c r="X180" s="29"/>
      <c r="Y180" s="29"/>
      <c r="Z180" s="29"/>
      <c r="AA180" s="29"/>
      <c r="AB180" s="29"/>
      <c r="AC180" s="29"/>
      <c r="AD180" s="29"/>
      <c r="AE180" s="29"/>
      <c r="AF180" s="278"/>
      <c r="AG180" s="277"/>
      <c r="AH180" s="29"/>
      <c r="AI180" s="29"/>
      <c r="AJ180" s="29"/>
      <c r="AK180" s="29"/>
      <c r="AL180" s="29"/>
      <c r="AM180" s="29"/>
      <c r="AN180" s="29"/>
      <c r="AO180" s="29"/>
      <c r="AP180" s="29"/>
      <c r="AQ180" s="278"/>
      <c r="AR180" s="277"/>
      <c r="AS180" s="29"/>
      <c r="AT180" s="29"/>
      <c r="AU180" s="29"/>
      <c r="AV180" s="29"/>
      <c r="AW180" s="29"/>
      <c r="AX180" s="29"/>
      <c r="AY180" s="29"/>
      <c r="AZ180" s="29"/>
      <c r="BA180" s="29"/>
      <c r="BB180" s="278"/>
      <c r="BC180" s="277"/>
      <c r="BD180" s="29"/>
      <c r="BE180" s="29"/>
      <c r="BF180" s="29"/>
      <c r="BG180" s="29"/>
      <c r="BH180" s="29"/>
      <c r="BI180" s="29"/>
      <c r="BJ180" s="29"/>
      <c r="BK180" s="29"/>
      <c r="BL180" s="29"/>
      <c r="BM180" s="278"/>
    </row>
    <row r="181" spans="1:65" ht="14.25" thickBot="1" thickTop="1">
      <c r="A181" s="544"/>
      <c r="B181" s="84"/>
      <c r="C181" s="322" t="s">
        <v>748</v>
      </c>
      <c r="D181" s="109" t="s">
        <v>723</v>
      </c>
      <c r="E181" s="109" t="s">
        <v>725</v>
      </c>
      <c r="F181" s="100"/>
      <c r="G181" s="109"/>
      <c r="H181" s="109"/>
      <c r="I181" s="127"/>
      <c r="J181" s="271"/>
      <c r="K181" s="277"/>
      <c r="L181" s="29"/>
      <c r="M181" s="29">
        <f t="shared" si="8"/>
        <v>0</v>
      </c>
      <c r="N181" s="29"/>
      <c r="O181" s="29"/>
      <c r="P181" s="29"/>
      <c r="Q181" s="29"/>
      <c r="R181" s="29"/>
      <c r="S181" s="29"/>
      <c r="T181" s="29"/>
      <c r="U181" s="84"/>
      <c r="V181" s="277"/>
      <c r="W181" s="29"/>
      <c r="X181" s="29"/>
      <c r="Y181" s="29"/>
      <c r="Z181" s="29"/>
      <c r="AA181" s="29"/>
      <c r="AB181" s="29"/>
      <c r="AC181" s="29"/>
      <c r="AD181" s="29"/>
      <c r="AE181" s="29"/>
      <c r="AF181" s="278"/>
      <c r="AG181" s="277"/>
      <c r="AH181" s="29"/>
      <c r="AI181" s="29"/>
      <c r="AJ181" s="29">
        <v>0.16</v>
      </c>
      <c r="AK181" s="29">
        <f>AJ181*AK$2</f>
        <v>18311.04</v>
      </c>
      <c r="AL181" s="29" t="s">
        <v>745</v>
      </c>
      <c r="AM181" s="29">
        <v>0.16</v>
      </c>
      <c r="AN181" s="29"/>
      <c r="AO181" s="29"/>
      <c r="AP181" s="29"/>
      <c r="AQ181" s="278"/>
      <c r="AR181" s="277"/>
      <c r="AS181" s="29"/>
      <c r="AT181" s="29"/>
      <c r="AU181" s="29"/>
      <c r="AV181" s="29"/>
      <c r="AW181" s="29"/>
      <c r="AX181" s="29"/>
      <c r="AY181" s="29"/>
      <c r="AZ181" s="29"/>
      <c r="BA181" s="29"/>
      <c r="BB181" s="278"/>
      <c r="BC181" s="277"/>
      <c r="BD181" s="29"/>
      <c r="BE181" s="29"/>
      <c r="BF181" s="29"/>
      <c r="BG181" s="29"/>
      <c r="BH181" s="29"/>
      <c r="BI181" s="29"/>
      <c r="BJ181" s="29"/>
      <c r="BK181" s="29"/>
      <c r="BL181" s="29"/>
      <c r="BM181" s="278"/>
    </row>
    <row r="182" spans="1:65" ht="14.25" thickBot="1" thickTop="1">
      <c r="A182" s="544"/>
      <c r="B182" s="29"/>
      <c r="C182" s="106"/>
      <c r="D182" s="108"/>
      <c r="E182" s="108"/>
      <c r="F182" s="107"/>
      <c r="G182" s="108"/>
      <c r="H182" s="108"/>
      <c r="I182" s="78"/>
      <c r="J182" s="265"/>
      <c r="K182" s="277"/>
      <c r="L182" s="29"/>
      <c r="M182" s="29">
        <f t="shared" si="8"/>
        <v>0</v>
      </c>
      <c r="N182" s="29"/>
      <c r="O182" s="29"/>
      <c r="P182" s="29"/>
      <c r="Q182" s="29"/>
      <c r="R182" s="29"/>
      <c r="S182" s="29"/>
      <c r="T182" s="29"/>
      <c r="U182" s="84"/>
      <c r="V182" s="277"/>
      <c r="W182" s="29"/>
      <c r="X182" s="29"/>
      <c r="Y182" s="29"/>
      <c r="Z182" s="29"/>
      <c r="AA182" s="29"/>
      <c r="AB182" s="29"/>
      <c r="AC182" s="29"/>
      <c r="AD182" s="29"/>
      <c r="AE182" s="29"/>
      <c r="AF182" s="278"/>
      <c r="AG182" s="277"/>
      <c r="AH182" s="29"/>
      <c r="AI182" s="29"/>
      <c r="AJ182" s="29"/>
      <c r="AK182" s="29"/>
      <c r="AL182" s="29"/>
      <c r="AM182" s="29"/>
      <c r="AN182" s="29"/>
      <c r="AO182" s="29"/>
      <c r="AP182" s="29"/>
      <c r="AQ182" s="278"/>
      <c r="AR182" s="277"/>
      <c r="AS182" s="29"/>
      <c r="AT182" s="29"/>
      <c r="AU182" s="29"/>
      <c r="AV182" s="29"/>
      <c r="AW182" s="29"/>
      <c r="AX182" s="29"/>
      <c r="AY182" s="29"/>
      <c r="AZ182" s="29"/>
      <c r="BA182" s="29"/>
      <c r="BB182" s="278"/>
      <c r="BC182" s="277"/>
      <c r="BD182" s="29"/>
      <c r="BE182" s="29"/>
      <c r="BF182" s="29"/>
      <c r="BG182" s="29"/>
      <c r="BH182" s="29"/>
      <c r="BI182" s="29"/>
      <c r="BJ182" s="29"/>
      <c r="BK182" s="29"/>
      <c r="BL182" s="29"/>
      <c r="BM182" s="278"/>
    </row>
    <row r="183" spans="1:65" ht="13.5" thickTop="1">
      <c r="A183" s="544"/>
      <c r="B183" s="84"/>
      <c r="C183" s="310" t="s">
        <v>295</v>
      </c>
      <c r="D183" s="439" t="s">
        <v>723</v>
      </c>
      <c r="E183" s="439" t="s">
        <v>725</v>
      </c>
      <c r="F183" s="102" t="s">
        <v>293</v>
      </c>
      <c r="G183" s="111"/>
      <c r="H183" s="111"/>
      <c r="I183" s="287">
        <v>40210</v>
      </c>
      <c r="J183" s="284">
        <v>40269</v>
      </c>
      <c r="K183" s="277"/>
      <c r="L183" s="29"/>
      <c r="M183" s="29">
        <f t="shared" si="8"/>
        <v>0</v>
      </c>
      <c r="N183" s="29"/>
      <c r="O183" s="29"/>
      <c r="P183" s="29"/>
      <c r="Q183" s="29"/>
      <c r="R183" s="29"/>
      <c r="S183" s="29"/>
      <c r="T183" s="29"/>
      <c r="U183" s="84"/>
      <c r="V183" s="277"/>
      <c r="W183" s="29"/>
      <c r="X183" s="29"/>
      <c r="Y183" s="29"/>
      <c r="Z183" s="29"/>
      <c r="AA183" s="29"/>
      <c r="AB183" s="29"/>
      <c r="AC183" s="29"/>
      <c r="AD183" s="29"/>
      <c r="AE183" s="29"/>
      <c r="AF183" s="278"/>
      <c r="AG183" s="277"/>
      <c r="AH183" s="29"/>
      <c r="AI183" s="29"/>
      <c r="AJ183" s="29">
        <v>0.16</v>
      </c>
      <c r="AK183" s="29">
        <f aca="true" t="shared" si="10" ref="AK183:AK188">AJ183*AK$2</f>
        <v>18311.04</v>
      </c>
      <c r="AL183" s="29" t="s">
        <v>745</v>
      </c>
      <c r="AM183" s="29">
        <v>0.16</v>
      </c>
      <c r="AN183" s="29"/>
      <c r="AO183" s="29"/>
      <c r="AP183" s="29"/>
      <c r="AQ183" s="278"/>
      <c r="AR183" s="277"/>
      <c r="AS183" s="29"/>
      <c r="AT183" s="29"/>
      <c r="AU183" s="29"/>
      <c r="AV183" s="29"/>
      <c r="AW183" s="29"/>
      <c r="AX183" s="29"/>
      <c r="AY183" s="29"/>
      <c r="AZ183" s="29"/>
      <c r="BA183" s="29"/>
      <c r="BB183" s="278"/>
      <c r="BC183" s="277"/>
      <c r="BD183" s="29"/>
      <c r="BE183" s="29"/>
      <c r="BF183" s="29"/>
      <c r="BG183" s="29"/>
      <c r="BH183" s="29"/>
      <c r="BI183" s="29"/>
      <c r="BJ183" s="29"/>
      <c r="BK183" s="29"/>
      <c r="BL183" s="29"/>
      <c r="BM183" s="278"/>
    </row>
    <row r="184" spans="1:65" ht="12.75">
      <c r="A184" s="544"/>
      <c r="B184" s="84"/>
      <c r="C184" s="313"/>
      <c r="D184" s="429"/>
      <c r="E184" s="429"/>
      <c r="F184" s="71" t="s">
        <v>294</v>
      </c>
      <c r="G184" s="75"/>
      <c r="H184" s="75"/>
      <c r="I184" s="288">
        <v>40269</v>
      </c>
      <c r="J184" s="285">
        <v>40283</v>
      </c>
      <c r="K184" s="277"/>
      <c r="L184" s="29"/>
      <c r="M184" s="29">
        <f t="shared" si="8"/>
        <v>0</v>
      </c>
      <c r="N184" s="29"/>
      <c r="O184" s="29"/>
      <c r="P184" s="29"/>
      <c r="Q184" s="29"/>
      <c r="R184" s="29"/>
      <c r="S184" s="29"/>
      <c r="T184" s="29"/>
      <c r="U184" s="84"/>
      <c r="V184" s="277"/>
      <c r="W184" s="29"/>
      <c r="X184" s="29"/>
      <c r="Y184" s="29"/>
      <c r="Z184" s="29"/>
      <c r="AA184" s="29"/>
      <c r="AB184" s="29"/>
      <c r="AC184" s="29"/>
      <c r="AD184" s="29"/>
      <c r="AE184" s="29"/>
      <c r="AF184" s="278"/>
      <c r="AG184" s="277"/>
      <c r="AH184" s="29"/>
      <c r="AI184" s="29"/>
      <c r="AJ184" s="29">
        <v>0.08</v>
      </c>
      <c r="AK184" s="29">
        <f t="shared" si="10"/>
        <v>9155.52</v>
      </c>
      <c r="AL184" s="29" t="s">
        <v>745</v>
      </c>
      <c r="AM184" s="29">
        <v>0.08</v>
      </c>
      <c r="AN184" s="29"/>
      <c r="AO184" s="29"/>
      <c r="AP184" s="29"/>
      <c r="AQ184" s="278"/>
      <c r="AR184" s="277"/>
      <c r="AS184" s="29"/>
      <c r="AT184" s="29"/>
      <c r="AU184" s="29"/>
      <c r="AV184" s="29"/>
      <c r="AW184" s="29"/>
      <c r="AX184" s="29"/>
      <c r="AY184" s="29"/>
      <c r="AZ184" s="29"/>
      <c r="BA184" s="29"/>
      <c r="BB184" s="278"/>
      <c r="BC184" s="277"/>
      <c r="BD184" s="29"/>
      <c r="BE184" s="29"/>
      <c r="BF184" s="29"/>
      <c r="BG184" s="29"/>
      <c r="BH184" s="29"/>
      <c r="BI184" s="29"/>
      <c r="BJ184" s="29"/>
      <c r="BK184" s="29"/>
      <c r="BL184" s="29"/>
      <c r="BM184" s="278"/>
    </row>
    <row r="185" spans="1:65" ht="12.75">
      <c r="A185" s="544"/>
      <c r="B185" s="84"/>
      <c r="C185" s="313"/>
      <c r="D185" s="429"/>
      <c r="E185" s="429"/>
      <c r="F185" s="71" t="s">
        <v>87</v>
      </c>
      <c r="G185" s="75"/>
      <c r="H185" s="75"/>
      <c r="I185" s="288">
        <v>40283</v>
      </c>
      <c r="J185" s="285">
        <v>40330</v>
      </c>
      <c r="K185" s="277"/>
      <c r="L185" s="29"/>
      <c r="M185" s="29">
        <f t="shared" si="8"/>
        <v>0</v>
      </c>
      <c r="N185" s="29"/>
      <c r="O185" s="29"/>
      <c r="P185" s="29"/>
      <c r="Q185" s="29"/>
      <c r="R185" s="29"/>
      <c r="S185" s="29"/>
      <c r="T185" s="29"/>
      <c r="U185" s="84"/>
      <c r="V185" s="277"/>
      <c r="W185" s="29"/>
      <c r="X185" s="29"/>
      <c r="Y185" s="29"/>
      <c r="Z185" s="29"/>
      <c r="AA185" s="29"/>
      <c r="AB185" s="29"/>
      <c r="AC185" s="29"/>
      <c r="AD185" s="29"/>
      <c r="AE185" s="29"/>
      <c r="AF185" s="278"/>
      <c r="AG185" s="277"/>
      <c r="AH185" s="29"/>
      <c r="AI185" s="29"/>
      <c r="AJ185" s="29">
        <v>0.16</v>
      </c>
      <c r="AK185" s="29">
        <f t="shared" si="10"/>
        <v>18311.04</v>
      </c>
      <c r="AL185" s="29" t="s">
        <v>745</v>
      </c>
      <c r="AM185" s="29">
        <v>0.16</v>
      </c>
      <c r="AN185" s="29"/>
      <c r="AO185" s="29"/>
      <c r="AP185" s="29"/>
      <c r="AQ185" s="278"/>
      <c r="AR185" s="277"/>
      <c r="AS185" s="29"/>
      <c r="AT185" s="29"/>
      <c r="AU185" s="29"/>
      <c r="AV185" s="29"/>
      <c r="AW185" s="29"/>
      <c r="AX185" s="29"/>
      <c r="AY185" s="29"/>
      <c r="AZ185" s="29"/>
      <c r="BA185" s="29"/>
      <c r="BB185" s="278"/>
      <c r="BC185" s="277"/>
      <c r="BD185" s="29"/>
      <c r="BE185" s="29"/>
      <c r="BF185" s="29"/>
      <c r="BG185" s="29"/>
      <c r="BH185" s="29"/>
      <c r="BI185" s="29"/>
      <c r="BJ185" s="29"/>
      <c r="BK185" s="29"/>
      <c r="BL185" s="29"/>
      <c r="BM185" s="278"/>
    </row>
    <row r="186" spans="1:65" ht="12.75">
      <c r="A186" s="544"/>
      <c r="B186" s="84"/>
      <c r="C186" s="313" t="s">
        <v>226</v>
      </c>
      <c r="D186" s="429"/>
      <c r="E186" s="429"/>
      <c r="F186" s="71" t="s">
        <v>296</v>
      </c>
      <c r="G186" s="75"/>
      <c r="H186" s="75"/>
      <c r="I186" s="288">
        <v>40330</v>
      </c>
      <c r="J186" s="285">
        <v>40360</v>
      </c>
      <c r="K186" s="277"/>
      <c r="L186" s="29"/>
      <c r="M186" s="29">
        <f t="shared" si="8"/>
        <v>0</v>
      </c>
      <c r="N186" s="29"/>
      <c r="O186" s="29"/>
      <c r="P186" s="29"/>
      <c r="Q186" s="29"/>
      <c r="R186" s="29"/>
      <c r="S186" s="29"/>
      <c r="T186" s="29"/>
      <c r="U186" s="84"/>
      <c r="V186" s="277"/>
      <c r="W186" s="29"/>
      <c r="X186" s="29"/>
      <c r="Y186" s="29"/>
      <c r="Z186" s="29"/>
      <c r="AA186" s="29"/>
      <c r="AB186" s="29"/>
      <c r="AC186" s="29"/>
      <c r="AD186" s="29"/>
      <c r="AE186" s="29"/>
      <c r="AF186" s="278"/>
      <c r="AG186" s="277"/>
      <c r="AH186" s="29"/>
      <c r="AI186" s="29"/>
      <c r="AJ186" s="29">
        <v>0.08</v>
      </c>
      <c r="AK186" s="29">
        <f t="shared" si="10"/>
        <v>9155.52</v>
      </c>
      <c r="AL186" s="29" t="s">
        <v>745</v>
      </c>
      <c r="AM186" s="29">
        <v>0.04</v>
      </c>
      <c r="AN186" s="29"/>
      <c r="AO186" s="29"/>
      <c r="AP186" s="29"/>
      <c r="AQ186" s="278"/>
      <c r="AR186" s="277"/>
      <c r="AS186" s="29"/>
      <c r="AT186" s="29"/>
      <c r="AU186" s="29"/>
      <c r="AV186" s="29"/>
      <c r="AW186" s="29"/>
      <c r="AX186" s="29"/>
      <c r="AY186" s="29"/>
      <c r="AZ186" s="29"/>
      <c r="BA186" s="29"/>
      <c r="BB186" s="278"/>
      <c r="BC186" s="277"/>
      <c r="BD186" s="29"/>
      <c r="BE186" s="29"/>
      <c r="BF186" s="29"/>
      <c r="BG186" s="29"/>
      <c r="BH186" s="29"/>
      <c r="BI186" s="29"/>
      <c r="BJ186" s="29"/>
      <c r="BK186" s="29"/>
      <c r="BL186" s="29"/>
      <c r="BM186" s="278"/>
    </row>
    <row r="187" spans="1:65" ht="12.75">
      <c r="A187" s="544"/>
      <c r="B187" s="84"/>
      <c r="C187" s="313"/>
      <c r="D187" s="429"/>
      <c r="E187" s="429"/>
      <c r="F187" s="71" t="s">
        <v>297</v>
      </c>
      <c r="G187" s="75"/>
      <c r="H187" s="75"/>
      <c r="I187" s="288">
        <v>40360</v>
      </c>
      <c r="J187" s="285">
        <v>40391</v>
      </c>
      <c r="K187" s="277"/>
      <c r="L187" s="29"/>
      <c r="M187" s="29">
        <f t="shared" si="8"/>
        <v>0</v>
      </c>
      <c r="N187" s="29"/>
      <c r="O187" s="29"/>
      <c r="P187" s="29"/>
      <c r="Q187" s="29"/>
      <c r="R187" s="29"/>
      <c r="S187" s="29"/>
      <c r="T187" s="29"/>
      <c r="U187" s="84"/>
      <c r="V187" s="277"/>
      <c r="W187" s="29"/>
      <c r="X187" s="29"/>
      <c r="Y187" s="29"/>
      <c r="Z187" s="29"/>
      <c r="AA187" s="29"/>
      <c r="AB187" s="29"/>
      <c r="AC187" s="29"/>
      <c r="AD187" s="29"/>
      <c r="AE187" s="29"/>
      <c r="AF187" s="278"/>
      <c r="AG187" s="277"/>
      <c r="AH187" s="29"/>
      <c r="AI187" s="29"/>
      <c r="AJ187" s="29">
        <v>0.08</v>
      </c>
      <c r="AK187" s="29">
        <f t="shared" si="10"/>
        <v>9155.52</v>
      </c>
      <c r="AL187" s="29" t="s">
        <v>745</v>
      </c>
      <c r="AM187" s="29">
        <v>0.08</v>
      </c>
      <c r="AN187" s="29"/>
      <c r="AO187" s="29"/>
      <c r="AP187" s="29"/>
      <c r="AQ187" s="278"/>
      <c r="AR187" s="277"/>
      <c r="AS187" s="29"/>
      <c r="AT187" s="29"/>
      <c r="AU187" s="29"/>
      <c r="AV187" s="29"/>
      <c r="AW187" s="29"/>
      <c r="AX187" s="29"/>
      <c r="AY187" s="29"/>
      <c r="AZ187" s="29"/>
      <c r="BA187" s="29"/>
      <c r="BB187" s="278"/>
      <c r="BC187" s="277"/>
      <c r="BD187" s="29"/>
      <c r="BE187" s="29"/>
      <c r="BF187" s="29"/>
      <c r="BG187" s="29"/>
      <c r="BH187" s="29"/>
      <c r="BI187" s="29"/>
      <c r="BJ187" s="29"/>
      <c r="BK187" s="29"/>
      <c r="BL187" s="29"/>
      <c r="BM187" s="278"/>
    </row>
    <row r="188" spans="1:65" ht="12.75">
      <c r="A188" s="544"/>
      <c r="B188" s="84"/>
      <c r="C188" s="313" t="s">
        <v>298</v>
      </c>
      <c r="D188" s="429"/>
      <c r="E188" s="429"/>
      <c r="F188" s="71" t="s">
        <v>299</v>
      </c>
      <c r="G188" s="75"/>
      <c r="H188" s="75"/>
      <c r="I188" s="288">
        <v>40391</v>
      </c>
      <c r="J188" s="285">
        <v>40422</v>
      </c>
      <c r="K188" s="277"/>
      <c r="L188" s="29"/>
      <c r="M188" s="29">
        <f t="shared" si="8"/>
        <v>0</v>
      </c>
      <c r="N188" s="29"/>
      <c r="O188" s="29"/>
      <c r="P188" s="29"/>
      <c r="Q188" s="29"/>
      <c r="R188" s="29"/>
      <c r="S188" s="29"/>
      <c r="T188" s="29"/>
      <c r="U188" s="84"/>
      <c r="V188" s="277"/>
      <c r="W188" s="29"/>
      <c r="X188" s="29"/>
      <c r="Y188" s="29"/>
      <c r="Z188" s="29"/>
      <c r="AA188" s="29"/>
      <c r="AB188" s="29"/>
      <c r="AC188" s="29"/>
      <c r="AD188" s="29"/>
      <c r="AE188" s="29"/>
      <c r="AF188" s="278"/>
      <c r="AG188" s="277"/>
      <c r="AH188" s="29"/>
      <c r="AI188" s="29"/>
      <c r="AJ188" s="29">
        <v>0.16</v>
      </c>
      <c r="AK188" s="29">
        <f t="shared" si="10"/>
        <v>18311.04</v>
      </c>
      <c r="AL188" s="29" t="s">
        <v>745</v>
      </c>
      <c r="AM188" s="29">
        <v>0.16</v>
      </c>
      <c r="AN188" s="29"/>
      <c r="AO188" s="29"/>
      <c r="AP188" s="29"/>
      <c r="AQ188" s="278"/>
      <c r="AR188" s="277"/>
      <c r="AS188" s="29"/>
      <c r="AT188" s="29"/>
      <c r="AU188" s="29"/>
      <c r="AV188" s="29"/>
      <c r="AW188" s="29"/>
      <c r="AX188" s="29"/>
      <c r="AY188" s="29"/>
      <c r="AZ188" s="29"/>
      <c r="BA188" s="29"/>
      <c r="BB188" s="278"/>
      <c r="BC188" s="277"/>
      <c r="BD188" s="29"/>
      <c r="BE188" s="29"/>
      <c r="BF188" s="29"/>
      <c r="BG188" s="29"/>
      <c r="BH188" s="29"/>
      <c r="BI188" s="29"/>
      <c r="BJ188" s="29"/>
      <c r="BK188" s="29"/>
      <c r="BL188" s="29"/>
      <c r="BM188" s="278"/>
    </row>
    <row r="189" spans="1:65" ht="12.75">
      <c r="A189" s="544"/>
      <c r="B189" s="84"/>
      <c r="C189" s="327"/>
      <c r="D189" s="429"/>
      <c r="E189" s="429"/>
      <c r="F189" s="85" t="s">
        <v>751</v>
      </c>
      <c r="G189" s="86"/>
      <c r="H189" s="86"/>
      <c r="I189" s="328"/>
      <c r="J189" s="292"/>
      <c r="K189" s="277"/>
      <c r="L189" s="29"/>
      <c r="M189" s="29"/>
      <c r="N189" s="29"/>
      <c r="O189" s="29"/>
      <c r="P189" s="29"/>
      <c r="Q189" s="29"/>
      <c r="R189" s="29"/>
      <c r="S189" s="29"/>
      <c r="T189" s="29"/>
      <c r="U189" s="84"/>
      <c r="V189" s="277"/>
      <c r="W189" s="29"/>
      <c r="X189" s="29"/>
      <c r="Y189" s="29"/>
      <c r="Z189" s="29"/>
      <c r="AA189" s="29"/>
      <c r="AB189" s="29"/>
      <c r="AC189" s="29"/>
      <c r="AD189" s="29"/>
      <c r="AE189" s="29"/>
      <c r="AF189" s="278"/>
      <c r="AG189" s="277"/>
      <c r="AH189" s="29"/>
      <c r="AI189" s="29"/>
      <c r="AJ189" s="29"/>
      <c r="AK189" s="29"/>
      <c r="AL189" s="29"/>
      <c r="AM189" s="29"/>
      <c r="AN189" s="29"/>
      <c r="AO189" s="29"/>
      <c r="AP189" s="29"/>
      <c r="AQ189" s="278"/>
      <c r="AR189" s="277"/>
      <c r="AS189" s="29"/>
      <c r="AT189" s="29"/>
      <c r="AU189" s="29"/>
      <c r="AV189" s="29"/>
      <c r="AW189" s="29"/>
      <c r="AX189" s="29"/>
      <c r="AY189" s="29"/>
      <c r="AZ189" s="29"/>
      <c r="BA189" s="29"/>
      <c r="BB189" s="278"/>
      <c r="BC189" s="277"/>
      <c r="BD189" s="29"/>
      <c r="BE189" s="29"/>
      <c r="BF189" s="29"/>
      <c r="BG189" s="29"/>
      <c r="BH189" s="29"/>
      <c r="BI189" s="29"/>
      <c r="BJ189" s="29"/>
      <c r="BK189" s="29"/>
      <c r="BL189" s="29"/>
      <c r="BM189" s="278"/>
    </row>
    <row r="190" spans="1:65" ht="13.5" thickBot="1">
      <c r="A190" s="544"/>
      <c r="B190" s="84"/>
      <c r="C190" s="327"/>
      <c r="D190" s="429"/>
      <c r="E190" s="429"/>
      <c r="F190" s="85" t="s">
        <v>300</v>
      </c>
      <c r="G190" s="86"/>
      <c r="H190" s="86"/>
      <c r="I190" s="328">
        <v>40391</v>
      </c>
      <c r="J190" s="292">
        <v>40422</v>
      </c>
      <c r="K190" s="277"/>
      <c r="L190" s="29"/>
      <c r="M190" s="29">
        <f aca="true" t="shared" si="11" ref="M190:M217">L190*M$2*8</f>
        <v>0</v>
      </c>
      <c r="N190" s="29"/>
      <c r="O190" s="29"/>
      <c r="P190" s="29"/>
      <c r="Q190" s="29"/>
      <c r="R190" s="29"/>
      <c r="S190" s="29"/>
      <c r="T190" s="29"/>
      <c r="U190" s="84"/>
      <c r="V190" s="277"/>
      <c r="W190" s="29"/>
      <c r="X190" s="29"/>
      <c r="Y190" s="29"/>
      <c r="Z190" s="29"/>
      <c r="AA190" s="29"/>
      <c r="AB190" s="29"/>
      <c r="AC190" s="29"/>
      <c r="AD190" s="29"/>
      <c r="AE190" s="29"/>
      <c r="AF190" s="278"/>
      <c r="AG190" s="277"/>
      <c r="AH190" s="29"/>
      <c r="AI190" s="29"/>
      <c r="AJ190" s="29"/>
      <c r="AK190" s="29"/>
      <c r="AL190" s="29" t="s">
        <v>745</v>
      </c>
      <c r="AM190" s="29">
        <v>0.08</v>
      </c>
      <c r="AN190" s="29"/>
      <c r="AO190" s="29"/>
      <c r="AP190" s="29"/>
      <c r="AQ190" s="278"/>
      <c r="AR190" s="277"/>
      <c r="AS190" s="29"/>
      <c r="AT190" s="29"/>
      <c r="AU190" s="29"/>
      <c r="AV190" s="29"/>
      <c r="AW190" s="29"/>
      <c r="AX190" s="29"/>
      <c r="AY190" s="29"/>
      <c r="AZ190" s="29"/>
      <c r="BA190" s="29"/>
      <c r="BB190" s="278"/>
      <c r="BC190" s="277"/>
      <c r="BD190" s="29"/>
      <c r="BE190" s="29"/>
      <c r="BF190" s="29"/>
      <c r="BG190" s="29"/>
      <c r="BH190" s="29"/>
      <c r="BI190" s="29"/>
      <c r="BJ190" s="29"/>
      <c r="BK190" s="29"/>
      <c r="BL190" s="29"/>
      <c r="BM190" s="278"/>
    </row>
    <row r="191" spans="1:65" ht="14.25" thickBot="1" thickTop="1">
      <c r="A191" s="544"/>
      <c r="B191" s="84"/>
      <c r="C191" s="98" t="s">
        <v>68</v>
      </c>
      <c r="D191" s="109" t="s">
        <v>728</v>
      </c>
      <c r="E191" s="109" t="s">
        <v>729</v>
      </c>
      <c r="F191" s="100" t="s">
        <v>68</v>
      </c>
      <c r="G191" s="109"/>
      <c r="H191" s="109"/>
      <c r="I191" s="329">
        <v>40452</v>
      </c>
      <c r="J191" s="330">
        <v>40513</v>
      </c>
      <c r="K191" s="277"/>
      <c r="L191" s="29"/>
      <c r="M191" s="29">
        <f t="shared" si="11"/>
        <v>0</v>
      </c>
      <c r="N191" s="29"/>
      <c r="O191" s="29"/>
      <c r="P191" s="29"/>
      <c r="Q191" s="29"/>
      <c r="R191" s="29"/>
      <c r="S191" s="29"/>
      <c r="T191" s="29"/>
      <c r="U191" s="84"/>
      <c r="V191" s="277"/>
      <c r="W191" s="29"/>
      <c r="X191" s="29"/>
      <c r="Y191" s="29"/>
      <c r="Z191" s="29"/>
      <c r="AA191" s="29"/>
      <c r="AB191" s="29"/>
      <c r="AC191" s="29"/>
      <c r="AD191" s="29"/>
      <c r="AE191" s="29"/>
      <c r="AF191" s="278"/>
      <c r="AG191" s="277"/>
      <c r="AH191" s="29"/>
      <c r="AI191" s="29"/>
      <c r="AJ191" s="29"/>
      <c r="AK191" s="29"/>
      <c r="AL191" s="29" t="s">
        <v>745</v>
      </c>
      <c r="AM191" s="29">
        <v>0.32</v>
      </c>
      <c r="AN191" s="29"/>
      <c r="AO191" s="29"/>
      <c r="AP191" s="29"/>
      <c r="AQ191" s="278"/>
      <c r="AR191" s="277"/>
      <c r="AS191" s="29"/>
      <c r="AT191" s="29"/>
      <c r="AU191" s="29"/>
      <c r="AV191" s="29"/>
      <c r="AW191" s="29"/>
      <c r="AX191" s="29"/>
      <c r="AY191" s="29"/>
      <c r="AZ191" s="29"/>
      <c r="BA191" s="29"/>
      <c r="BB191" s="278"/>
      <c r="BC191" s="277"/>
      <c r="BD191" s="29"/>
      <c r="BE191" s="29"/>
      <c r="BF191" s="29"/>
      <c r="BG191" s="29"/>
      <c r="BH191" s="29"/>
      <c r="BI191" s="29"/>
      <c r="BJ191" s="29"/>
      <c r="BK191" s="29"/>
      <c r="BL191" s="29"/>
      <c r="BM191" s="278"/>
    </row>
    <row r="192" spans="1:65" ht="14.25" thickBot="1" thickTop="1">
      <c r="A192" s="544"/>
      <c r="B192" s="84"/>
      <c r="C192" s="131"/>
      <c r="D192" s="108"/>
      <c r="E192" s="108"/>
      <c r="F192" s="107"/>
      <c r="G192" s="108"/>
      <c r="H192" s="108"/>
      <c r="I192" s="339"/>
      <c r="J192" s="272"/>
      <c r="K192" s="277"/>
      <c r="L192" s="29"/>
      <c r="M192" s="29">
        <f t="shared" si="11"/>
        <v>0</v>
      </c>
      <c r="N192" s="29"/>
      <c r="O192" s="29"/>
      <c r="P192" s="29"/>
      <c r="Q192" s="29"/>
      <c r="R192" s="29"/>
      <c r="S192" s="29"/>
      <c r="T192" s="29"/>
      <c r="U192" s="84"/>
      <c r="V192" s="277"/>
      <c r="W192" s="29"/>
      <c r="X192" s="29"/>
      <c r="Y192" s="29"/>
      <c r="Z192" s="29"/>
      <c r="AA192" s="29"/>
      <c r="AB192" s="29"/>
      <c r="AC192" s="29"/>
      <c r="AD192" s="29"/>
      <c r="AE192" s="29"/>
      <c r="AF192" s="278"/>
      <c r="AG192" s="277"/>
      <c r="AH192" s="29"/>
      <c r="AI192" s="29"/>
      <c r="AJ192" s="29"/>
      <c r="AK192" s="29"/>
      <c r="AL192" s="29"/>
      <c r="AM192" s="29"/>
      <c r="AN192" s="29"/>
      <c r="AO192" s="29"/>
      <c r="AP192" s="29"/>
      <c r="AQ192" s="278"/>
      <c r="AR192" s="277"/>
      <c r="AS192" s="29"/>
      <c r="AT192" s="29"/>
      <c r="AU192" s="29"/>
      <c r="AV192" s="29"/>
      <c r="AW192" s="29"/>
      <c r="AX192" s="29"/>
      <c r="AY192" s="29"/>
      <c r="AZ192" s="29"/>
      <c r="BA192" s="29"/>
      <c r="BB192" s="278"/>
      <c r="BC192" s="277"/>
      <c r="BD192" s="29"/>
      <c r="BE192" s="29"/>
      <c r="BF192" s="29"/>
      <c r="BG192" s="29"/>
      <c r="BH192" s="29"/>
      <c r="BI192" s="29"/>
      <c r="BJ192" s="29"/>
      <c r="BK192" s="29"/>
      <c r="BL192" s="29"/>
      <c r="BM192" s="278"/>
    </row>
    <row r="193" spans="1:65" ht="13.5" thickTop="1">
      <c r="A193" s="544"/>
      <c r="B193" s="84"/>
      <c r="C193" s="90" t="s">
        <v>302</v>
      </c>
      <c r="D193" s="439" t="s">
        <v>692</v>
      </c>
      <c r="E193" s="439" t="s">
        <v>722</v>
      </c>
      <c r="F193" s="102"/>
      <c r="G193" s="111"/>
      <c r="H193" s="134"/>
      <c r="I193" s="137"/>
      <c r="J193" s="270"/>
      <c r="K193" s="277"/>
      <c r="L193" s="29"/>
      <c r="M193" s="29">
        <f t="shared" si="11"/>
        <v>0</v>
      </c>
      <c r="N193" s="29"/>
      <c r="O193" s="29"/>
      <c r="P193" s="29"/>
      <c r="Q193" s="29"/>
      <c r="R193" s="29"/>
      <c r="S193" s="29"/>
      <c r="T193" s="29"/>
      <c r="U193" s="84"/>
      <c r="V193" s="277"/>
      <c r="W193" s="29"/>
      <c r="X193" s="29"/>
      <c r="Y193" s="29"/>
      <c r="Z193" s="29"/>
      <c r="AA193" s="29"/>
      <c r="AB193" s="29"/>
      <c r="AC193" s="29"/>
      <c r="AD193" s="29"/>
      <c r="AE193" s="29"/>
      <c r="AF193" s="278"/>
      <c r="AG193" s="277"/>
      <c r="AH193" s="29"/>
      <c r="AI193" s="29"/>
      <c r="AJ193" s="29"/>
      <c r="AK193" s="29"/>
      <c r="AL193" s="29"/>
      <c r="AM193" s="29"/>
      <c r="AN193" s="29"/>
      <c r="AO193" s="29"/>
      <c r="AP193" s="29"/>
      <c r="AQ193" s="278"/>
      <c r="AR193" s="277"/>
      <c r="AS193" s="29"/>
      <c r="AT193" s="29"/>
      <c r="AU193" s="29"/>
      <c r="AV193" s="29"/>
      <c r="AW193" s="29"/>
      <c r="AX193" s="29"/>
      <c r="AY193" s="29"/>
      <c r="AZ193" s="29"/>
      <c r="BA193" s="29"/>
      <c r="BB193" s="278"/>
      <c r="BC193" s="277"/>
      <c r="BD193" s="29"/>
      <c r="BE193" s="29"/>
      <c r="BF193" s="29"/>
      <c r="BG193" s="29"/>
      <c r="BH193" s="29"/>
      <c r="BI193" s="29"/>
      <c r="BJ193" s="29"/>
      <c r="BK193" s="29"/>
      <c r="BL193" s="29"/>
      <c r="BM193" s="278"/>
    </row>
    <row r="194" spans="1:65" ht="12.75">
      <c r="A194" s="544"/>
      <c r="B194" s="84"/>
      <c r="C194" s="93" t="s">
        <v>303</v>
      </c>
      <c r="D194" s="429"/>
      <c r="E194" s="429"/>
      <c r="F194" s="71"/>
      <c r="G194" s="75"/>
      <c r="H194" s="135"/>
      <c r="I194" s="133"/>
      <c r="J194" s="273"/>
      <c r="K194" s="277"/>
      <c r="L194" s="29"/>
      <c r="M194" s="29">
        <f t="shared" si="11"/>
        <v>0</v>
      </c>
      <c r="N194" s="29"/>
      <c r="O194" s="29"/>
      <c r="P194" s="29"/>
      <c r="Q194" s="29"/>
      <c r="R194" s="29"/>
      <c r="S194" s="29"/>
      <c r="T194" s="29"/>
      <c r="U194" s="84"/>
      <c r="V194" s="277"/>
      <c r="W194" s="29"/>
      <c r="X194" s="29"/>
      <c r="Y194" s="29"/>
      <c r="Z194" s="29"/>
      <c r="AA194" s="29"/>
      <c r="AB194" s="29"/>
      <c r="AC194" s="29"/>
      <c r="AD194" s="29"/>
      <c r="AE194" s="29"/>
      <c r="AF194" s="278"/>
      <c r="AG194" s="277"/>
      <c r="AH194" s="29"/>
      <c r="AI194" s="29"/>
      <c r="AJ194" s="29"/>
      <c r="AK194" s="29"/>
      <c r="AL194" s="29"/>
      <c r="AM194" s="29"/>
      <c r="AN194" s="29"/>
      <c r="AO194" s="29"/>
      <c r="AP194" s="29"/>
      <c r="AQ194" s="278"/>
      <c r="AR194" s="277"/>
      <c r="AS194" s="29"/>
      <c r="AT194" s="29"/>
      <c r="AU194" s="29"/>
      <c r="AV194" s="29"/>
      <c r="AW194" s="29"/>
      <c r="AX194" s="29"/>
      <c r="AY194" s="29"/>
      <c r="AZ194" s="29"/>
      <c r="BA194" s="29"/>
      <c r="BB194" s="278"/>
      <c r="BC194" s="277"/>
      <c r="BD194" s="29"/>
      <c r="BE194" s="29"/>
      <c r="BF194" s="29"/>
      <c r="BG194" s="29"/>
      <c r="BH194" s="29"/>
      <c r="BI194" s="29"/>
      <c r="BJ194" s="29"/>
      <c r="BK194" s="29"/>
      <c r="BL194" s="29"/>
      <c r="BM194" s="278"/>
    </row>
    <row r="195" spans="1:65" ht="13.5" thickBot="1">
      <c r="A195" s="544"/>
      <c r="B195" s="84"/>
      <c r="C195" s="94" t="s">
        <v>304</v>
      </c>
      <c r="D195" s="445"/>
      <c r="E195" s="445"/>
      <c r="F195" s="104"/>
      <c r="G195" s="96"/>
      <c r="H195" s="136"/>
      <c r="I195" s="138"/>
      <c r="J195" s="274"/>
      <c r="K195" s="277"/>
      <c r="L195" s="29"/>
      <c r="M195" s="29">
        <f t="shared" si="11"/>
        <v>0</v>
      </c>
      <c r="N195" s="29"/>
      <c r="O195" s="29"/>
      <c r="P195" s="29"/>
      <c r="Q195" s="29"/>
      <c r="R195" s="29"/>
      <c r="S195" s="29"/>
      <c r="T195" s="29"/>
      <c r="U195" s="84"/>
      <c r="V195" s="277"/>
      <c r="W195" s="29"/>
      <c r="X195" s="29"/>
      <c r="Y195" s="29"/>
      <c r="Z195" s="29"/>
      <c r="AA195" s="29"/>
      <c r="AB195" s="29"/>
      <c r="AC195" s="29"/>
      <c r="AD195" s="29"/>
      <c r="AE195" s="29"/>
      <c r="AF195" s="278"/>
      <c r="AG195" s="277"/>
      <c r="AH195" s="29"/>
      <c r="AI195" s="29"/>
      <c r="AJ195" s="29"/>
      <c r="AK195" s="29"/>
      <c r="AL195" s="29"/>
      <c r="AM195" s="29"/>
      <c r="AN195" s="29"/>
      <c r="AO195" s="29"/>
      <c r="AP195" s="29"/>
      <c r="AQ195" s="278"/>
      <c r="AR195" s="277"/>
      <c r="AS195" s="29"/>
      <c r="AT195" s="29"/>
      <c r="AU195" s="29"/>
      <c r="AV195" s="29"/>
      <c r="AW195" s="29"/>
      <c r="AX195" s="29"/>
      <c r="AY195" s="29"/>
      <c r="AZ195" s="29"/>
      <c r="BA195" s="29"/>
      <c r="BB195" s="278"/>
      <c r="BC195" s="277"/>
      <c r="BD195" s="29"/>
      <c r="BE195" s="29"/>
      <c r="BF195" s="29"/>
      <c r="BG195" s="29"/>
      <c r="BH195" s="29"/>
      <c r="BI195" s="29"/>
      <c r="BJ195" s="29"/>
      <c r="BK195" s="29"/>
      <c r="BL195" s="29"/>
      <c r="BM195" s="278"/>
    </row>
    <row r="196" spans="1:65" ht="14.25" thickBot="1" thickTop="1">
      <c r="A196" s="544"/>
      <c r="B196" s="29"/>
      <c r="C196" s="87"/>
      <c r="D196" s="103"/>
      <c r="E196" s="103"/>
      <c r="F196" s="88"/>
      <c r="G196" s="103"/>
      <c r="H196" s="103"/>
      <c r="I196" s="115"/>
      <c r="J196" s="268"/>
      <c r="K196" s="277"/>
      <c r="L196" s="29"/>
      <c r="M196" s="29">
        <f t="shared" si="11"/>
        <v>0</v>
      </c>
      <c r="N196" s="29"/>
      <c r="O196" s="29"/>
      <c r="P196" s="29"/>
      <c r="Q196" s="29"/>
      <c r="R196" s="29"/>
      <c r="S196" s="29"/>
      <c r="T196" s="29"/>
      <c r="U196" s="84"/>
      <c r="V196" s="277"/>
      <c r="W196" s="29"/>
      <c r="X196" s="29"/>
      <c r="Y196" s="29"/>
      <c r="Z196" s="29"/>
      <c r="AA196" s="29"/>
      <c r="AB196" s="29"/>
      <c r="AC196" s="29"/>
      <c r="AD196" s="29"/>
      <c r="AE196" s="29"/>
      <c r="AF196" s="278"/>
      <c r="AG196" s="277"/>
      <c r="AH196" s="29"/>
      <c r="AI196" s="29"/>
      <c r="AJ196" s="29"/>
      <c r="AK196" s="29"/>
      <c r="AL196" s="29"/>
      <c r="AM196" s="29"/>
      <c r="AN196" s="29"/>
      <c r="AO196" s="29"/>
      <c r="AP196" s="29"/>
      <c r="AQ196" s="278"/>
      <c r="AR196" s="277"/>
      <c r="AS196" s="29"/>
      <c r="AT196" s="29"/>
      <c r="AU196" s="29"/>
      <c r="AV196" s="29"/>
      <c r="AW196" s="29"/>
      <c r="AX196" s="29"/>
      <c r="AY196" s="29"/>
      <c r="AZ196" s="29"/>
      <c r="BA196" s="29"/>
      <c r="BB196" s="278"/>
      <c r="BC196" s="277"/>
      <c r="BD196" s="29"/>
      <c r="BE196" s="29"/>
      <c r="BF196" s="29"/>
      <c r="BG196" s="29"/>
      <c r="BH196" s="29"/>
      <c r="BI196" s="29"/>
      <c r="BJ196" s="29"/>
      <c r="BK196" s="29"/>
      <c r="BL196" s="29"/>
      <c r="BM196" s="278"/>
    </row>
    <row r="197" spans="1:65" ht="13.5" thickBot="1">
      <c r="A197" s="291"/>
      <c r="B197" s="84"/>
      <c r="C197" s="246" t="s">
        <v>771</v>
      </c>
      <c r="D197" s="250" t="s">
        <v>168</v>
      </c>
      <c r="E197" s="250"/>
      <c r="F197" s="248"/>
      <c r="G197" s="249"/>
      <c r="H197" s="250"/>
      <c r="I197" s="363">
        <v>40179</v>
      </c>
      <c r="J197" s="364">
        <v>40543</v>
      </c>
      <c r="K197" s="277"/>
      <c r="L197" s="30"/>
      <c r="M197" s="29">
        <f t="shared" si="11"/>
        <v>0</v>
      </c>
      <c r="N197" s="29"/>
      <c r="O197" s="29"/>
      <c r="P197" s="30"/>
      <c r="Q197" s="29"/>
      <c r="R197" s="29"/>
      <c r="S197" s="29"/>
      <c r="T197" s="29"/>
      <c r="U197" s="84"/>
      <c r="V197" s="277"/>
      <c r="W197" s="30">
        <v>60</v>
      </c>
      <c r="X197" s="29">
        <f>W197*51*8</f>
        <v>24480</v>
      </c>
      <c r="Y197" s="29"/>
      <c r="Z197" s="29"/>
      <c r="AA197" s="30"/>
      <c r="AB197" s="29"/>
      <c r="AC197" s="29"/>
      <c r="AD197" s="29"/>
      <c r="AE197" s="29"/>
      <c r="AF197" s="278"/>
      <c r="AG197" s="277"/>
      <c r="AH197" s="30">
        <f>5*4.25*5</f>
        <v>106.25</v>
      </c>
      <c r="AI197" s="30">
        <f>AH197*AI2</f>
        <v>5637.6675000000005</v>
      </c>
      <c r="AJ197" s="29"/>
      <c r="AK197" s="29"/>
      <c r="AL197" s="30"/>
      <c r="AM197" s="29"/>
      <c r="AN197" s="29"/>
      <c r="AO197" s="29"/>
      <c r="AP197" s="29"/>
      <c r="AQ197" s="278"/>
      <c r="AR197" s="277"/>
      <c r="AS197" s="30"/>
      <c r="AT197" s="30"/>
      <c r="AU197" s="29"/>
      <c r="AV197" s="29"/>
      <c r="AW197" s="30"/>
      <c r="AX197" s="29"/>
      <c r="AY197" s="29"/>
      <c r="AZ197" s="29"/>
      <c r="BA197" s="29"/>
      <c r="BB197" s="278"/>
      <c r="BC197" s="277"/>
      <c r="BD197" s="30"/>
      <c r="BE197" s="30"/>
      <c r="BF197" s="29"/>
      <c r="BG197" s="29"/>
      <c r="BH197" s="30"/>
      <c r="BI197" s="29"/>
      <c r="BJ197" s="29"/>
      <c r="BK197" s="29"/>
      <c r="BL197" s="29"/>
      <c r="BM197" s="278"/>
    </row>
    <row r="198" spans="1:65" ht="13.5" thickBot="1">
      <c r="A198" s="541" t="s">
        <v>301</v>
      </c>
      <c r="B198" s="29" t="s">
        <v>192</v>
      </c>
      <c r="C198" s="97"/>
      <c r="D198" s="86"/>
      <c r="E198" s="86"/>
      <c r="F198" s="85"/>
      <c r="G198" s="86"/>
      <c r="H198" s="86"/>
      <c r="I198" s="74"/>
      <c r="J198" s="273"/>
      <c r="K198" s="277"/>
      <c r="L198" s="29"/>
      <c r="M198" s="29">
        <f t="shared" si="11"/>
        <v>0</v>
      </c>
      <c r="N198" s="29"/>
      <c r="O198" s="29"/>
      <c r="P198" s="29"/>
      <c r="Q198" s="29"/>
      <c r="R198" s="29"/>
      <c r="S198" s="29"/>
      <c r="T198" s="29"/>
      <c r="U198" s="84"/>
      <c r="V198" s="277"/>
      <c r="W198" s="29"/>
      <c r="X198" s="29"/>
      <c r="Y198" s="29"/>
      <c r="Z198" s="29"/>
      <c r="AA198" s="29"/>
      <c r="AB198" s="29"/>
      <c r="AC198" s="29"/>
      <c r="AD198" s="29"/>
      <c r="AE198" s="29"/>
      <c r="AF198" s="278"/>
      <c r="AG198" s="277"/>
      <c r="AH198" s="29"/>
      <c r="AI198" s="29"/>
      <c r="AJ198" s="29"/>
      <c r="AK198" s="29"/>
      <c r="AL198" s="29"/>
      <c r="AM198" s="29"/>
      <c r="AN198" s="29"/>
      <c r="AO198" s="29"/>
      <c r="AP198" s="29"/>
      <c r="AQ198" s="278"/>
      <c r="AR198" s="277"/>
      <c r="AS198" s="29"/>
      <c r="AT198" s="29"/>
      <c r="AU198" s="29"/>
      <c r="AV198" s="29"/>
      <c r="AW198" s="29"/>
      <c r="AX198" s="29"/>
      <c r="AY198" s="29"/>
      <c r="AZ198" s="29"/>
      <c r="BA198" s="29"/>
      <c r="BB198" s="278"/>
      <c r="BC198" s="277"/>
      <c r="BD198" s="29"/>
      <c r="BE198" s="29"/>
      <c r="BF198" s="29"/>
      <c r="BG198" s="29"/>
      <c r="BH198" s="29"/>
      <c r="BI198" s="29"/>
      <c r="BJ198" s="29"/>
      <c r="BK198" s="29"/>
      <c r="BL198" s="29"/>
      <c r="BM198" s="278"/>
    </row>
    <row r="199" spans="1:65" ht="12.75">
      <c r="A199" s="541"/>
      <c r="B199" s="84"/>
      <c r="C199" s="332" t="s">
        <v>145</v>
      </c>
      <c r="D199" s="437" t="s">
        <v>727</v>
      </c>
      <c r="E199" s="334"/>
      <c r="F199" s="335" t="s">
        <v>750</v>
      </c>
      <c r="G199" s="334"/>
      <c r="H199" s="334"/>
      <c r="I199" s="449" t="s">
        <v>754</v>
      </c>
      <c r="J199" s="452">
        <v>40543</v>
      </c>
      <c r="K199" s="314"/>
      <c r="L199" s="29"/>
      <c r="M199" s="29">
        <f t="shared" si="11"/>
        <v>0</v>
      </c>
      <c r="N199" s="29"/>
      <c r="O199" s="29"/>
      <c r="P199" s="29"/>
      <c r="Q199" s="29"/>
      <c r="R199" s="29"/>
      <c r="S199" s="29"/>
      <c r="T199" s="29"/>
      <c r="U199" s="84"/>
      <c r="V199" s="277"/>
      <c r="W199" s="29"/>
      <c r="X199" s="29"/>
      <c r="Y199" s="29"/>
      <c r="Z199" s="29"/>
      <c r="AA199" s="29"/>
      <c r="AB199" s="29"/>
      <c r="AC199" s="29"/>
      <c r="AD199" s="29"/>
      <c r="AE199" s="29"/>
      <c r="AF199" s="278"/>
      <c r="AG199" s="277">
        <f>'component cost estimation jens'!I46</f>
        <v>936000</v>
      </c>
      <c r="AH199" s="29"/>
      <c r="AI199" s="29"/>
      <c r="AJ199" s="29"/>
      <c r="AK199" s="29"/>
      <c r="AL199" s="29"/>
      <c r="AM199" s="29"/>
      <c r="AN199" s="29"/>
      <c r="AO199" s="29"/>
      <c r="AP199" s="29"/>
      <c r="AQ199" s="278"/>
      <c r="AR199" s="277"/>
      <c r="AS199" s="29"/>
      <c r="AT199" s="29"/>
      <c r="AU199" s="29"/>
      <c r="AV199" s="29"/>
      <c r="AW199" s="29"/>
      <c r="AX199" s="29"/>
      <c r="AY199" s="29"/>
      <c r="AZ199" s="29"/>
      <c r="BA199" s="29"/>
      <c r="BB199" s="278"/>
      <c r="BC199" s="277"/>
      <c r="BD199" s="29"/>
      <c r="BE199" s="29"/>
      <c r="BF199" s="29"/>
      <c r="BG199" s="29"/>
      <c r="BH199" s="29"/>
      <c r="BI199" s="29"/>
      <c r="BJ199" s="29"/>
      <c r="BK199" s="29"/>
      <c r="BL199" s="29"/>
      <c r="BM199" s="278"/>
    </row>
    <row r="200" spans="1:65" ht="12.75">
      <c r="A200" s="541"/>
      <c r="B200" s="84"/>
      <c r="C200" s="277" t="s">
        <v>751</v>
      </c>
      <c r="D200" s="429"/>
      <c r="E200" s="75"/>
      <c r="F200" s="71" t="s">
        <v>751</v>
      </c>
      <c r="G200" s="75"/>
      <c r="H200" s="75"/>
      <c r="I200" s="450"/>
      <c r="J200" s="453"/>
      <c r="K200" s="314"/>
      <c r="L200" s="29"/>
      <c r="M200" s="29">
        <f t="shared" si="11"/>
        <v>0</v>
      </c>
      <c r="N200" s="29"/>
      <c r="O200" s="29"/>
      <c r="P200" s="29"/>
      <c r="Q200" s="29"/>
      <c r="R200" s="29"/>
      <c r="S200" s="29"/>
      <c r="T200" s="29"/>
      <c r="U200" s="84"/>
      <c r="V200" s="277"/>
      <c r="W200" s="29"/>
      <c r="X200" s="29"/>
      <c r="Y200" s="29"/>
      <c r="Z200" s="29"/>
      <c r="AA200" s="29"/>
      <c r="AB200" s="29"/>
      <c r="AC200" s="29"/>
      <c r="AD200" s="29"/>
      <c r="AE200" s="29"/>
      <c r="AF200" s="278"/>
      <c r="AG200" s="277">
        <f>'component cost estimation jens'!I42</f>
        <v>270000</v>
      </c>
      <c r="AH200" s="29"/>
      <c r="AI200" s="29"/>
      <c r="AJ200" s="29"/>
      <c r="AK200" s="29"/>
      <c r="AL200" s="29"/>
      <c r="AM200" s="29"/>
      <c r="AN200" s="29"/>
      <c r="AO200" s="29"/>
      <c r="AP200" s="29"/>
      <c r="AQ200" s="278"/>
      <c r="AR200" s="277"/>
      <c r="AS200" s="29"/>
      <c r="AT200" s="29"/>
      <c r="AU200" s="29"/>
      <c r="AV200" s="29"/>
      <c r="AW200" s="29"/>
      <c r="AX200" s="29"/>
      <c r="AY200" s="29"/>
      <c r="AZ200" s="29"/>
      <c r="BA200" s="29"/>
      <c r="BB200" s="278"/>
      <c r="BC200" s="277"/>
      <c r="BD200" s="29"/>
      <c r="BE200" s="29"/>
      <c r="BF200" s="29"/>
      <c r="BG200" s="29"/>
      <c r="BH200" s="29"/>
      <c r="BI200" s="29"/>
      <c r="BJ200" s="29"/>
      <c r="BK200" s="29"/>
      <c r="BL200" s="29"/>
      <c r="BM200" s="278"/>
    </row>
    <row r="201" spans="1:65" ht="13.5" thickBot="1">
      <c r="A201" s="541"/>
      <c r="B201" s="84"/>
      <c r="C201" s="280" t="s">
        <v>710</v>
      </c>
      <c r="D201" s="438"/>
      <c r="E201" s="336"/>
      <c r="F201" s="337"/>
      <c r="G201" s="336"/>
      <c r="H201" s="336"/>
      <c r="I201" s="451"/>
      <c r="J201" s="454"/>
      <c r="K201" s="314"/>
      <c r="L201" s="29"/>
      <c r="M201" s="29">
        <f t="shared" si="11"/>
        <v>0</v>
      </c>
      <c r="N201" s="29"/>
      <c r="O201" s="29"/>
      <c r="P201" s="29"/>
      <c r="Q201" s="29"/>
      <c r="R201" s="29"/>
      <c r="S201" s="29"/>
      <c r="T201" s="29"/>
      <c r="U201" s="84"/>
      <c r="V201" s="277"/>
      <c r="W201" s="29"/>
      <c r="X201" s="29"/>
      <c r="Y201" s="29"/>
      <c r="Z201" s="29"/>
      <c r="AA201" s="29"/>
      <c r="AB201" s="29"/>
      <c r="AC201" s="29"/>
      <c r="AD201" s="29"/>
      <c r="AE201" s="29"/>
      <c r="AF201" s="278"/>
      <c r="AG201" s="277" t="e">
        <f>'component cost estimation jens'!#REF!</f>
        <v>#REF!</v>
      </c>
      <c r="AH201" s="29"/>
      <c r="AI201" s="29"/>
      <c r="AJ201" s="29"/>
      <c r="AK201" s="29"/>
      <c r="AL201" s="29"/>
      <c r="AM201" s="29"/>
      <c r="AN201" s="29"/>
      <c r="AO201" s="29"/>
      <c r="AP201" s="29"/>
      <c r="AQ201" s="278"/>
      <c r="AR201" s="277"/>
      <c r="AS201" s="29"/>
      <c r="AT201" s="29"/>
      <c r="AU201" s="29"/>
      <c r="AV201" s="29"/>
      <c r="AW201" s="29"/>
      <c r="AX201" s="29"/>
      <c r="AY201" s="29"/>
      <c r="AZ201" s="29"/>
      <c r="BA201" s="29"/>
      <c r="BB201" s="278"/>
      <c r="BC201" s="277"/>
      <c r="BD201" s="29"/>
      <c r="BE201" s="29"/>
      <c r="BF201" s="29"/>
      <c r="BG201" s="29"/>
      <c r="BH201" s="29"/>
      <c r="BI201" s="29"/>
      <c r="BJ201" s="29"/>
      <c r="BK201" s="29"/>
      <c r="BL201" s="29"/>
      <c r="BM201" s="278"/>
    </row>
    <row r="202" spans="1:65" ht="13.5" thickBot="1">
      <c r="A202" s="541"/>
      <c r="B202" s="29"/>
      <c r="C202" s="106"/>
      <c r="D202" s="108"/>
      <c r="E202" s="108"/>
      <c r="F202" s="107"/>
      <c r="G202" s="108"/>
      <c r="H202" s="108"/>
      <c r="I202" s="265"/>
      <c r="J202" s="338"/>
      <c r="K202" s="314"/>
      <c r="L202" s="29"/>
      <c r="M202" s="29">
        <f t="shared" si="11"/>
        <v>0</v>
      </c>
      <c r="N202" s="29"/>
      <c r="O202" s="29"/>
      <c r="P202" s="29"/>
      <c r="Q202" s="29"/>
      <c r="R202" s="29"/>
      <c r="S202" s="29"/>
      <c r="T202" s="29"/>
      <c r="U202" s="84"/>
      <c r="V202" s="277"/>
      <c r="W202" s="29"/>
      <c r="X202" s="29"/>
      <c r="Y202" s="29"/>
      <c r="Z202" s="29"/>
      <c r="AA202" s="29"/>
      <c r="AB202" s="29"/>
      <c r="AC202" s="29"/>
      <c r="AD202" s="29"/>
      <c r="AE202" s="29"/>
      <c r="AF202" s="278"/>
      <c r="AG202" s="277"/>
      <c r="AH202" s="29"/>
      <c r="AI202" s="29"/>
      <c r="AJ202" s="29"/>
      <c r="AK202" s="29"/>
      <c r="AL202" s="29"/>
      <c r="AM202" s="29"/>
      <c r="AN202" s="29"/>
      <c r="AO202" s="29"/>
      <c r="AP202" s="29"/>
      <c r="AQ202" s="278"/>
      <c r="AR202" s="277"/>
      <c r="AS202" s="29"/>
      <c r="AT202" s="29"/>
      <c r="AU202" s="29"/>
      <c r="AV202" s="29"/>
      <c r="AW202" s="29"/>
      <c r="AX202" s="29"/>
      <c r="AY202" s="29"/>
      <c r="AZ202" s="29"/>
      <c r="BA202" s="29"/>
      <c r="BB202" s="278"/>
      <c r="BC202" s="277"/>
      <c r="BD202" s="29"/>
      <c r="BE202" s="29"/>
      <c r="BF202" s="29"/>
      <c r="BG202" s="29"/>
      <c r="BH202" s="29"/>
      <c r="BI202" s="29"/>
      <c r="BJ202" s="29"/>
      <c r="BK202" s="29"/>
      <c r="BL202" s="29"/>
      <c r="BM202" s="278"/>
    </row>
    <row r="203" spans="1:65" ht="12.75">
      <c r="A203" s="541"/>
      <c r="B203" s="84"/>
      <c r="C203" s="332" t="s">
        <v>753</v>
      </c>
      <c r="D203" s="437" t="s">
        <v>728</v>
      </c>
      <c r="E203" s="437" t="s">
        <v>729</v>
      </c>
      <c r="F203" s="335"/>
      <c r="G203" s="334"/>
      <c r="H203" s="334"/>
      <c r="I203" s="449">
        <v>40238</v>
      </c>
      <c r="J203" s="449">
        <v>40543</v>
      </c>
      <c r="K203" s="314"/>
      <c r="L203" s="29"/>
      <c r="M203" s="29">
        <f t="shared" si="11"/>
        <v>0</v>
      </c>
      <c r="N203" s="29"/>
      <c r="O203" s="29"/>
      <c r="P203" s="29"/>
      <c r="Q203" s="29"/>
      <c r="R203" s="29"/>
      <c r="S203" s="29"/>
      <c r="T203" s="29"/>
      <c r="U203" s="84"/>
      <c r="V203" s="277"/>
      <c r="W203" s="29"/>
      <c r="X203" s="29"/>
      <c r="Y203" s="29"/>
      <c r="Z203" s="29"/>
      <c r="AA203" s="29"/>
      <c r="AB203" s="29"/>
      <c r="AC203" s="29"/>
      <c r="AD203" s="29"/>
      <c r="AE203" s="29"/>
      <c r="AF203" s="278"/>
      <c r="AG203" s="277" t="e">
        <f>'component cost estimation jens'!#REF!</f>
        <v>#REF!</v>
      </c>
      <c r="AH203" s="29"/>
      <c r="AI203" s="29"/>
      <c r="AJ203" s="29"/>
      <c r="AK203" s="29"/>
      <c r="AL203" s="29" t="s">
        <v>747</v>
      </c>
      <c r="AM203" s="29">
        <v>1</v>
      </c>
      <c r="AN203" s="29"/>
      <c r="AO203" s="29"/>
      <c r="AP203" s="29"/>
      <c r="AQ203" s="278"/>
      <c r="AR203" s="277"/>
      <c r="AS203" s="29"/>
      <c r="AT203" s="29"/>
      <c r="AU203" s="29"/>
      <c r="AV203" s="29"/>
      <c r="AW203" s="29"/>
      <c r="AX203" s="29"/>
      <c r="AY203" s="29"/>
      <c r="AZ203" s="29"/>
      <c r="BA203" s="29"/>
      <c r="BB203" s="278"/>
      <c r="BC203" s="277"/>
      <c r="BD203" s="29"/>
      <c r="BE203" s="29"/>
      <c r="BF203" s="29"/>
      <c r="BG203" s="29"/>
      <c r="BH203" s="29"/>
      <c r="BI203" s="29"/>
      <c r="BJ203" s="29"/>
      <c r="BK203" s="29"/>
      <c r="BL203" s="29"/>
      <c r="BM203" s="278"/>
    </row>
    <row r="204" spans="1:65" ht="13.5" thickBot="1">
      <c r="A204" s="541"/>
      <c r="B204" s="84"/>
      <c r="C204" s="280" t="s">
        <v>706</v>
      </c>
      <c r="D204" s="438"/>
      <c r="E204" s="438"/>
      <c r="F204" s="337"/>
      <c r="G204" s="336"/>
      <c r="H204" s="336"/>
      <c r="I204" s="451"/>
      <c r="J204" s="451"/>
      <c r="K204" s="314"/>
      <c r="L204" s="29"/>
      <c r="M204" s="29">
        <f t="shared" si="11"/>
        <v>0</v>
      </c>
      <c r="N204" s="29"/>
      <c r="O204" s="29"/>
      <c r="P204" s="29"/>
      <c r="Q204" s="29"/>
      <c r="R204" s="29"/>
      <c r="S204" s="29"/>
      <c r="T204" s="29"/>
      <c r="U204" s="84"/>
      <c r="V204" s="277"/>
      <c r="W204" s="29"/>
      <c r="X204" s="29"/>
      <c r="Y204" s="29"/>
      <c r="Z204" s="29"/>
      <c r="AA204" s="29"/>
      <c r="AB204" s="29"/>
      <c r="AC204" s="29"/>
      <c r="AD204" s="29"/>
      <c r="AE204" s="29"/>
      <c r="AF204" s="278"/>
      <c r="AG204" s="277" t="e">
        <f>'component cost estimation jens'!#REF!</f>
        <v>#REF!</v>
      </c>
      <c r="AH204" s="29"/>
      <c r="AI204" s="29"/>
      <c r="AJ204" s="29"/>
      <c r="AK204" s="29"/>
      <c r="AL204" s="29" t="s">
        <v>745</v>
      </c>
      <c r="AM204" s="29">
        <v>1</v>
      </c>
      <c r="AN204" s="29"/>
      <c r="AO204" s="29"/>
      <c r="AP204" s="29"/>
      <c r="AQ204" s="278"/>
      <c r="AR204" s="277"/>
      <c r="AS204" s="29"/>
      <c r="AT204" s="29"/>
      <c r="AU204" s="29"/>
      <c r="AV204" s="29"/>
      <c r="AW204" s="29"/>
      <c r="AX204" s="29"/>
      <c r="AY204" s="29"/>
      <c r="AZ204" s="29"/>
      <c r="BA204" s="29"/>
      <c r="BB204" s="278"/>
      <c r="BC204" s="277"/>
      <c r="BD204" s="29"/>
      <c r="BE204" s="29"/>
      <c r="BF204" s="29"/>
      <c r="BG204" s="29"/>
      <c r="BH204" s="29"/>
      <c r="BI204" s="29"/>
      <c r="BJ204" s="29"/>
      <c r="BK204" s="29"/>
      <c r="BL204" s="29"/>
      <c r="BM204" s="278"/>
    </row>
    <row r="205" spans="1:65" ht="13.5" thickBot="1">
      <c r="A205" s="541"/>
      <c r="B205" s="29"/>
      <c r="C205" s="106"/>
      <c r="D205" s="108"/>
      <c r="E205" s="108"/>
      <c r="F205" s="107"/>
      <c r="G205" s="108"/>
      <c r="H205" s="108"/>
      <c r="I205" s="265"/>
      <c r="J205" s="338"/>
      <c r="K205" s="314"/>
      <c r="L205" s="29"/>
      <c r="M205" s="29">
        <f t="shared" si="11"/>
        <v>0</v>
      </c>
      <c r="N205" s="29"/>
      <c r="O205" s="29"/>
      <c r="P205" s="29"/>
      <c r="Q205" s="29"/>
      <c r="R205" s="29"/>
      <c r="S205" s="29"/>
      <c r="T205" s="29"/>
      <c r="U205" s="84"/>
      <c r="V205" s="277"/>
      <c r="W205" s="29"/>
      <c r="X205" s="29"/>
      <c r="Y205" s="29"/>
      <c r="Z205" s="29"/>
      <c r="AA205" s="29"/>
      <c r="AB205" s="29"/>
      <c r="AC205" s="29"/>
      <c r="AD205" s="29"/>
      <c r="AE205" s="29"/>
      <c r="AF205" s="278"/>
      <c r="AG205" s="277"/>
      <c r="AH205" s="29"/>
      <c r="AI205" s="29"/>
      <c r="AJ205" s="29"/>
      <c r="AK205" s="29"/>
      <c r="AL205" s="29"/>
      <c r="AM205" s="29"/>
      <c r="AN205" s="29"/>
      <c r="AO205" s="29"/>
      <c r="AP205" s="29"/>
      <c r="AQ205" s="278"/>
      <c r="AR205" s="277"/>
      <c r="AS205" s="29"/>
      <c r="AT205" s="29"/>
      <c r="AU205" s="29"/>
      <c r="AV205" s="29"/>
      <c r="AW205" s="29"/>
      <c r="AX205" s="29"/>
      <c r="AY205" s="29"/>
      <c r="AZ205" s="29"/>
      <c r="BA205" s="29"/>
      <c r="BB205" s="278"/>
      <c r="BC205" s="277"/>
      <c r="BD205" s="29"/>
      <c r="BE205" s="29"/>
      <c r="BF205" s="29"/>
      <c r="BG205" s="29"/>
      <c r="BH205" s="29"/>
      <c r="BI205" s="29"/>
      <c r="BJ205" s="29"/>
      <c r="BK205" s="29"/>
      <c r="BL205" s="29"/>
      <c r="BM205" s="278"/>
    </row>
    <row r="206" spans="1:65" ht="13.5" thickBot="1">
      <c r="A206" s="541"/>
      <c r="B206" s="84"/>
      <c r="C206" s="246" t="s">
        <v>755</v>
      </c>
      <c r="D206" s="250" t="s">
        <v>756</v>
      </c>
      <c r="E206" s="250" t="s">
        <v>729</v>
      </c>
      <c r="F206" s="248"/>
      <c r="G206" s="250"/>
      <c r="H206" s="250"/>
      <c r="I206" s="340">
        <v>40695</v>
      </c>
      <c r="J206" s="341">
        <v>41061</v>
      </c>
      <c r="K206" s="314"/>
      <c r="L206" s="29"/>
      <c r="M206" s="29">
        <f t="shared" si="11"/>
        <v>0</v>
      </c>
      <c r="N206" s="29"/>
      <c r="O206" s="29"/>
      <c r="P206" s="29"/>
      <c r="Q206" s="29"/>
      <c r="R206" s="29"/>
      <c r="S206" s="29"/>
      <c r="T206" s="29"/>
      <c r="U206" s="84"/>
      <c r="V206" s="277"/>
      <c r="W206" s="29"/>
      <c r="X206" s="29"/>
      <c r="Y206" s="29"/>
      <c r="Z206" s="29"/>
      <c r="AA206" s="29"/>
      <c r="AB206" s="29"/>
      <c r="AC206" s="29"/>
      <c r="AD206" s="29"/>
      <c r="AE206" s="29"/>
      <c r="AF206" s="278"/>
      <c r="AG206" s="277"/>
      <c r="AH206" s="29"/>
      <c r="AI206" s="29"/>
      <c r="AJ206" s="29"/>
      <c r="AK206" s="29"/>
      <c r="AL206" s="29"/>
      <c r="AM206" s="29"/>
      <c r="AN206" s="29"/>
      <c r="AO206" s="29"/>
      <c r="AP206" s="29"/>
      <c r="AQ206" s="278"/>
      <c r="AR206" s="331">
        <f>'component cost estimation jens'!I52</f>
        <v>1672650</v>
      </c>
      <c r="AS206" s="29"/>
      <c r="AT206" s="29"/>
      <c r="AU206" s="29"/>
      <c r="AV206" s="29"/>
      <c r="AW206" s="29"/>
      <c r="AX206" s="29"/>
      <c r="AY206" s="29"/>
      <c r="AZ206" s="29"/>
      <c r="BA206" s="29"/>
      <c r="BB206" s="278"/>
      <c r="BC206" s="277"/>
      <c r="BD206" s="29"/>
      <c r="BE206" s="29"/>
      <c r="BF206" s="29"/>
      <c r="BG206" s="29"/>
      <c r="BH206" s="29"/>
      <c r="BI206" s="29"/>
      <c r="BJ206" s="29"/>
      <c r="BK206" s="29"/>
      <c r="BL206" s="29"/>
      <c r="BM206" s="278"/>
    </row>
    <row r="207" spans="1:65" ht="13.5" thickBot="1">
      <c r="A207" s="541"/>
      <c r="B207" s="29"/>
      <c r="C207" s="106"/>
      <c r="D207" s="108"/>
      <c r="E207" s="108"/>
      <c r="F207" s="107"/>
      <c r="G207" s="108"/>
      <c r="H207" s="108"/>
      <c r="I207" s="342"/>
      <c r="J207" s="343"/>
      <c r="K207" s="314"/>
      <c r="L207" s="29"/>
      <c r="M207" s="29">
        <f t="shared" si="11"/>
        <v>0</v>
      </c>
      <c r="N207" s="29"/>
      <c r="O207" s="29"/>
      <c r="P207" s="29"/>
      <c r="Q207" s="29"/>
      <c r="R207" s="29"/>
      <c r="S207" s="29"/>
      <c r="T207" s="29"/>
      <c r="U207" s="84"/>
      <c r="V207" s="277"/>
      <c r="W207" s="29"/>
      <c r="X207" s="29"/>
      <c r="Y207" s="29"/>
      <c r="Z207" s="29"/>
      <c r="AA207" s="29"/>
      <c r="AB207" s="29"/>
      <c r="AC207" s="29"/>
      <c r="AD207" s="29"/>
      <c r="AE207" s="29"/>
      <c r="AF207" s="278"/>
      <c r="AG207" s="277"/>
      <c r="AH207" s="29"/>
      <c r="AI207" s="29"/>
      <c r="AJ207" s="29"/>
      <c r="AK207" s="29"/>
      <c r="AL207" s="29"/>
      <c r="AM207" s="29"/>
      <c r="AN207" s="29"/>
      <c r="AO207" s="29"/>
      <c r="AP207" s="29"/>
      <c r="AQ207" s="278"/>
      <c r="AR207" s="277"/>
      <c r="AS207" s="29"/>
      <c r="AT207" s="29"/>
      <c r="AU207" s="29"/>
      <c r="AV207" s="29"/>
      <c r="AW207" s="29"/>
      <c r="AX207" s="29"/>
      <c r="AY207" s="29"/>
      <c r="AZ207" s="29"/>
      <c r="BA207" s="29"/>
      <c r="BB207" s="278"/>
      <c r="BC207" s="277"/>
      <c r="BD207" s="29"/>
      <c r="BE207" s="29"/>
      <c r="BF207" s="29"/>
      <c r="BG207" s="29"/>
      <c r="BH207" s="29"/>
      <c r="BI207" s="29"/>
      <c r="BJ207" s="29"/>
      <c r="BK207" s="29"/>
      <c r="BL207" s="29"/>
      <c r="BM207" s="278"/>
    </row>
    <row r="208" spans="1:65" ht="12.75">
      <c r="A208" s="541"/>
      <c r="B208" s="84" t="s">
        <v>757</v>
      </c>
      <c r="C208" s="332" t="s">
        <v>761</v>
      </c>
      <c r="D208" s="437" t="s">
        <v>762</v>
      </c>
      <c r="E208" s="437" t="s">
        <v>725</v>
      </c>
      <c r="F208" s="335"/>
      <c r="G208" s="334"/>
      <c r="H208" s="334"/>
      <c r="I208" s="431">
        <v>40544</v>
      </c>
      <c r="J208" s="434">
        <v>41061</v>
      </c>
      <c r="K208" s="314"/>
      <c r="L208" s="29"/>
      <c r="M208" s="29">
        <f t="shared" si="11"/>
        <v>0</v>
      </c>
      <c r="N208" s="29"/>
      <c r="O208" s="29"/>
      <c r="P208" s="29"/>
      <c r="Q208" s="29"/>
      <c r="R208" s="29"/>
      <c r="S208" s="29"/>
      <c r="T208" s="29"/>
      <c r="U208" s="84"/>
      <c r="V208" s="277"/>
      <c r="W208" s="29"/>
      <c r="X208" s="29"/>
      <c r="Y208" s="29"/>
      <c r="Z208" s="29"/>
      <c r="AA208" s="29"/>
      <c r="AB208" s="29"/>
      <c r="AC208" s="29"/>
      <c r="AD208" s="29"/>
      <c r="AE208" s="29"/>
      <c r="AF208" s="278"/>
      <c r="AG208" s="277"/>
      <c r="AH208" s="29"/>
      <c r="AI208" s="29"/>
      <c r="AJ208" s="29"/>
      <c r="AK208" s="29"/>
      <c r="AL208" s="29"/>
      <c r="AM208" s="29"/>
      <c r="AN208" s="29"/>
      <c r="AO208" s="29"/>
      <c r="AP208" s="29"/>
      <c r="AQ208" s="278"/>
      <c r="AR208" s="277"/>
      <c r="AS208" s="29"/>
      <c r="AT208" s="29"/>
      <c r="AU208" s="29"/>
      <c r="AV208" s="29"/>
      <c r="AW208" s="29"/>
      <c r="AX208" s="29"/>
      <c r="AY208" s="29"/>
      <c r="AZ208" s="29"/>
      <c r="BA208" s="29"/>
      <c r="BB208" s="278"/>
      <c r="BC208" s="277"/>
      <c r="BD208" s="29"/>
      <c r="BE208" s="29"/>
      <c r="BF208" s="29"/>
      <c r="BG208" s="29"/>
      <c r="BH208" s="29"/>
      <c r="BI208" s="29"/>
      <c r="BJ208" s="29"/>
      <c r="BK208" s="29"/>
      <c r="BL208" s="29"/>
      <c r="BM208" s="278"/>
    </row>
    <row r="209" spans="1:65" ht="12.75">
      <c r="A209" s="541"/>
      <c r="B209" s="84"/>
      <c r="C209" s="277"/>
      <c r="D209" s="429"/>
      <c r="E209" s="429"/>
      <c r="F209" s="71" t="s">
        <v>758</v>
      </c>
      <c r="G209" s="75"/>
      <c r="H209" s="75"/>
      <c r="I209" s="432"/>
      <c r="J209" s="435"/>
      <c r="K209" s="314"/>
      <c r="L209" s="29"/>
      <c r="M209" s="29">
        <f t="shared" si="11"/>
        <v>0</v>
      </c>
      <c r="N209" s="29"/>
      <c r="O209" s="29"/>
      <c r="P209" s="29"/>
      <c r="Q209" s="29"/>
      <c r="R209" s="29"/>
      <c r="S209" s="29"/>
      <c r="T209" s="29"/>
      <c r="U209" s="84"/>
      <c r="V209" s="277"/>
      <c r="W209" s="29"/>
      <c r="X209" s="29"/>
      <c r="Y209" s="29"/>
      <c r="Z209" s="29"/>
      <c r="AA209" s="29"/>
      <c r="AB209" s="29"/>
      <c r="AC209" s="29"/>
      <c r="AD209" s="29"/>
      <c r="AE209" s="29"/>
      <c r="AF209" s="278"/>
      <c r="AG209" s="277"/>
      <c r="AH209" s="29"/>
      <c r="AI209" s="29"/>
      <c r="AJ209" s="29"/>
      <c r="AK209" s="29"/>
      <c r="AL209" s="29"/>
      <c r="AM209" s="29"/>
      <c r="AN209" s="29"/>
      <c r="AO209" s="29"/>
      <c r="AP209" s="29"/>
      <c r="AQ209" s="278"/>
      <c r="AR209" s="277"/>
      <c r="AS209" s="29"/>
      <c r="AT209" s="29"/>
      <c r="AU209" s="29">
        <f>'assembly personnel jens'!C19</f>
        <v>5.6</v>
      </c>
      <c r="AV209" s="29">
        <f aca="true" t="shared" si="12" ref="AV209:AV214">AU209*AV$2</f>
        <v>653704.128</v>
      </c>
      <c r="AW209" s="29" t="s">
        <v>745</v>
      </c>
      <c r="AX209" s="29">
        <f>SUM('assembly personnel jens'!D19:E19)</f>
        <v>0.1</v>
      </c>
      <c r="AY209" s="29"/>
      <c r="AZ209" s="29"/>
      <c r="BA209" s="29"/>
      <c r="BB209" s="278"/>
      <c r="BC209" s="277"/>
      <c r="BD209" s="29"/>
      <c r="BE209" s="29"/>
      <c r="BF209" s="29">
        <f aca="true" t="shared" si="13" ref="BF209:BF214">AU209/2</f>
        <v>2.8</v>
      </c>
      <c r="BG209" s="29">
        <f aca="true" t="shared" si="14" ref="BG209:BG214">BF209*BG$2</f>
        <v>333389.10528</v>
      </c>
      <c r="BH209" s="29" t="s">
        <v>745</v>
      </c>
      <c r="BI209" s="29">
        <f aca="true" t="shared" si="15" ref="BI209:BI214">AX209/2</f>
        <v>0.05</v>
      </c>
      <c r="BJ209" s="29"/>
      <c r="BK209" s="29"/>
      <c r="BL209" s="29"/>
      <c r="BM209" s="278"/>
    </row>
    <row r="210" spans="1:65" ht="12.75">
      <c r="A210" s="541"/>
      <c r="B210" s="84"/>
      <c r="C210" s="277"/>
      <c r="D210" s="429"/>
      <c r="E210" s="429"/>
      <c r="F210" s="71" t="s">
        <v>622</v>
      </c>
      <c r="G210" s="75"/>
      <c r="H210" s="75"/>
      <c r="I210" s="432"/>
      <c r="J210" s="435"/>
      <c r="K210" s="314"/>
      <c r="L210" s="29"/>
      <c r="M210" s="29">
        <f t="shared" si="11"/>
        <v>0</v>
      </c>
      <c r="N210" s="29"/>
      <c r="O210" s="29"/>
      <c r="P210" s="29"/>
      <c r="Q210" s="29"/>
      <c r="R210" s="29"/>
      <c r="S210" s="29"/>
      <c r="T210" s="29"/>
      <c r="U210" s="84"/>
      <c r="V210" s="277"/>
      <c r="W210" s="29"/>
      <c r="X210" s="29"/>
      <c r="Y210" s="29"/>
      <c r="Z210" s="29"/>
      <c r="AA210" s="29"/>
      <c r="AB210" s="29"/>
      <c r="AC210" s="29"/>
      <c r="AD210" s="29"/>
      <c r="AE210" s="29"/>
      <c r="AF210" s="278"/>
      <c r="AG210" s="277"/>
      <c r="AH210" s="29"/>
      <c r="AI210" s="29"/>
      <c r="AJ210" s="29"/>
      <c r="AK210" s="29"/>
      <c r="AL210" s="29"/>
      <c r="AM210" s="29"/>
      <c r="AN210" s="29"/>
      <c r="AO210" s="29"/>
      <c r="AP210" s="29"/>
      <c r="AQ210" s="278"/>
      <c r="AR210" s="277"/>
      <c r="AS210" s="29"/>
      <c r="AT210" s="29"/>
      <c r="AU210" s="29">
        <f>'assembly personnel jens'!C31</f>
        <v>3.2</v>
      </c>
      <c r="AV210" s="29">
        <f t="shared" si="12"/>
        <v>373545.216</v>
      </c>
      <c r="AW210" s="29" t="s">
        <v>738</v>
      </c>
      <c r="AX210" s="29">
        <f>SUM('assembly personnel jens'!D31:E31)</f>
        <v>0.2</v>
      </c>
      <c r="AY210" s="29"/>
      <c r="AZ210" s="29"/>
      <c r="BA210" s="29"/>
      <c r="BB210" s="278"/>
      <c r="BC210" s="277"/>
      <c r="BD210" s="29"/>
      <c r="BE210" s="29"/>
      <c r="BF210" s="29">
        <f t="shared" si="13"/>
        <v>1.6</v>
      </c>
      <c r="BG210" s="29">
        <f t="shared" si="14"/>
        <v>190508.06016000002</v>
      </c>
      <c r="BH210" s="29" t="s">
        <v>738</v>
      </c>
      <c r="BI210" s="29">
        <f t="shared" si="15"/>
        <v>0.1</v>
      </c>
      <c r="BJ210" s="29"/>
      <c r="BK210" s="29"/>
      <c r="BL210" s="29"/>
      <c r="BM210" s="278"/>
    </row>
    <row r="211" spans="1:65" ht="12.75">
      <c r="A211" s="541"/>
      <c r="B211" s="84"/>
      <c r="C211" s="277"/>
      <c r="D211" s="429"/>
      <c r="E211" s="429"/>
      <c r="F211" s="71" t="s">
        <v>759</v>
      </c>
      <c r="G211" s="75"/>
      <c r="H211" s="75"/>
      <c r="I211" s="432"/>
      <c r="J211" s="435"/>
      <c r="K211" s="314"/>
      <c r="L211" s="29"/>
      <c r="M211" s="29">
        <f t="shared" si="11"/>
        <v>0</v>
      </c>
      <c r="N211" s="29"/>
      <c r="O211" s="29"/>
      <c r="P211" s="29"/>
      <c r="Q211" s="29"/>
      <c r="R211" s="29"/>
      <c r="S211" s="29"/>
      <c r="T211" s="29"/>
      <c r="U211" s="84"/>
      <c r="V211" s="277"/>
      <c r="W211" s="29"/>
      <c r="X211" s="29"/>
      <c r="Y211" s="29"/>
      <c r="Z211" s="29"/>
      <c r="AA211" s="29"/>
      <c r="AB211" s="29"/>
      <c r="AC211" s="29"/>
      <c r="AD211" s="29"/>
      <c r="AE211" s="29"/>
      <c r="AF211" s="278"/>
      <c r="AG211" s="277"/>
      <c r="AH211" s="29"/>
      <c r="AI211" s="29"/>
      <c r="AJ211" s="29"/>
      <c r="AK211" s="29"/>
      <c r="AL211" s="29"/>
      <c r="AM211" s="29"/>
      <c r="AN211" s="29"/>
      <c r="AO211" s="29"/>
      <c r="AP211" s="29"/>
      <c r="AQ211" s="278"/>
      <c r="AR211" s="277"/>
      <c r="AS211" s="29"/>
      <c r="AT211" s="29"/>
      <c r="AU211" s="29">
        <f>'assembly personnel jens'!C41</f>
        <v>2.4</v>
      </c>
      <c r="AV211" s="29">
        <f t="shared" si="12"/>
        <v>280158.912</v>
      </c>
      <c r="AW211" s="29" t="s">
        <v>738</v>
      </c>
      <c r="AX211" s="29">
        <f>SUM('assembly personnel jens'!D41:E41)</f>
        <v>0.4</v>
      </c>
      <c r="AY211" s="29"/>
      <c r="AZ211" s="29"/>
      <c r="BA211" s="29"/>
      <c r="BB211" s="278"/>
      <c r="BC211" s="277"/>
      <c r="BD211" s="29"/>
      <c r="BE211" s="29"/>
      <c r="BF211" s="29">
        <f t="shared" si="13"/>
        <v>1.2</v>
      </c>
      <c r="BG211" s="29">
        <f t="shared" si="14"/>
        <v>142881.04512</v>
      </c>
      <c r="BH211" s="29" t="s">
        <v>738</v>
      </c>
      <c r="BI211" s="29">
        <f t="shared" si="15"/>
        <v>0.2</v>
      </c>
      <c r="BJ211" s="29"/>
      <c r="BK211" s="29"/>
      <c r="BL211" s="29"/>
      <c r="BM211" s="278"/>
    </row>
    <row r="212" spans="1:65" ht="12.75">
      <c r="A212" s="541"/>
      <c r="B212" s="84"/>
      <c r="C212" s="277"/>
      <c r="D212" s="429"/>
      <c r="E212" s="429"/>
      <c r="F212" s="71" t="s">
        <v>637</v>
      </c>
      <c r="G212" s="75"/>
      <c r="H212" s="75"/>
      <c r="I212" s="432"/>
      <c r="J212" s="435"/>
      <c r="K212" s="314"/>
      <c r="L212" s="29"/>
      <c r="M212" s="29">
        <f t="shared" si="11"/>
        <v>0</v>
      </c>
      <c r="N212" s="29"/>
      <c r="O212" s="29"/>
      <c r="P212" s="29"/>
      <c r="Q212" s="29"/>
      <c r="R212" s="29"/>
      <c r="S212" s="29"/>
      <c r="T212" s="29"/>
      <c r="U212" s="84"/>
      <c r="V212" s="277"/>
      <c r="W212" s="29"/>
      <c r="X212" s="29"/>
      <c r="Y212" s="29"/>
      <c r="Z212" s="29"/>
      <c r="AA212" s="29"/>
      <c r="AB212" s="29"/>
      <c r="AC212" s="29"/>
      <c r="AD212" s="29"/>
      <c r="AE212" s="29"/>
      <c r="AF212" s="278"/>
      <c r="AG212" s="277"/>
      <c r="AH212" s="29"/>
      <c r="AI212" s="29"/>
      <c r="AJ212" s="29"/>
      <c r="AK212" s="29"/>
      <c r="AL212" s="29"/>
      <c r="AM212" s="29"/>
      <c r="AN212" s="29"/>
      <c r="AO212" s="29"/>
      <c r="AP212" s="29"/>
      <c r="AQ212" s="278"/>
      <c r="AR212" s="277"/>
      <c r="AS212" s="29"/>
      <c r="AT212" s="29"/>
      <c r="AU212" s="29">
        <f>'assembly personnel jens'!C52</f>
        <v>4.2</v>
      </c>
      <c r="AV212" s="29">
        <f t="shared" si="12"/>
        <v>490278.096</v>
      </c>
      <c r="AW212" s="29" t="s">
        <v>745</v>
      </c>
      <c r="AX212" s="29">
        <f>SUM('assembly personnel jens'!D52:E52)</f>
        <v>0.4</v>
      </c>
      <c r="AY212" s="29"/>
      <c r="AZ212" s="29"/>
      <c r="BA212" s="29"/>
      <c r="BB212" s="278"/>
      <c r="BC212" s="277"/>
      <c r="BD212" s="29"/>
      <c r="BE212" s="29"/>
      <c r="BF212" s="29">
        <f t="shared" si="13"/>
        <v>2.1</v>
      </c>
      <c r="BG212" s="29">
        <f t="shared" si="14"/>
        <v>250041.82896000004</v>
      </c>
      <c r="BH212" s="29" t="s">
        <v>745</v>
      </c>
      <c r="BI212" s="29">
        <f t="shared" si="15"/>
        <v>0.2</v>
      </c>
      <c r="BJ212" s="29"/>
      <c r="BK212" s="29"/>
      <c r="BL212" s="29"/>
      <c r="BM212" s="278"/>
    </row>
    <row r="213" spans="1:65" ht="12.75">
      <c r="A213" s="541"/>
      <c r="B213" s="84"/>
      <c r="C213" s="277"/>
      <c r="D213" s="429"/>
      <c r="E213" s="429"/>
      <c r="F213" s="71" t="s">
        <v>638</v>
      </c>
      <c r="G213" s="75"/>
      <c r="H213" s="75"/>
      <c r="I213" s="432"/>
      <c r="J213" s="435"/>
      <c r="K213" s="314"/>
      <c r="L213" s="29"/>
      <c r="M213" s="29">
        <f t="shared" si="11"/>
        <v>0</v>
      </c>
      <c r="N213" s="29"/>
      <c r="O213" s="29"/>
      <c r="P213" s="29"/>
      <c r="Q213" s="29"/>
      <c r="R213" s="29"/>
      <c r="S213" s="29"/>
      <c r="T213" s="29"/>
      <c r="U213" s="84"/>
      <c r="V213" s="277"/>
      <c r="W213" s="29"/>
      <c r="X213" s="29"/>
      <c r="Y213" s="29"/>
      <c r="Z213" s="29"/>
      <c r="AA213" s="29"/>
      <c r="AB213" s="29"/>
      <c r="AC213" s="29"/>
      <c r="AD213" s="29"/>
      <c r="AE213" s="29"/>
      <c r="AF213" s="278"/>
      <c r="AG213" s="277"/>
      <c r="AH213" s="29"/>
      <c r="AI213" s="29"/>
      <c r="AJ213" s="29"/>
      <c r="AK213" s="29"/>
      <c r="AL213" s="29"/>
      <c r="AM213" s="29"/>
      <c r="AN213" s="29"/>
      <c r="AO213" s="29"/>
      <c r="AP213" s="29"/>
      <c r="AQ213" s="278"/>
      <c r="AR213" s="277"/>
      <c r="AS213" s="29"/>
      <c r="AT213" s="29"/>
      <c r="AU213" s="29">
        <f>'assembly personnel jens'!C62</f>
        <v>2.45</v>
      </c>
      <c r="AV213" s="29">
        <f t="shared" si="12"/>
        <v>285995.55600000004</v>
      </c>
      <c r="AW213" s="29" t="s">
        <v>738</v>
      </c>
      <c r="AX213" s="29">
        <f>SUM('assembly personnel jens'!D62:E62)</f>
        <v>0.8</v>
      </c>
      <c r="AY213" s="29"/>
      <c r="AZ213" s="29"/>
      <c r="BA213" s="29"/>
      <c r="BB213" s="278"/>
      <c r="BC213" s="277"/>
      <c r="BD213" s="29"/>
      <c r="BE213" s="29"/>
      <c r="BF213" s="29">
        <f t="shared" si="13"/>
        <v>1.225</v>
      </c>
      <c r="BG213" s="29">
        <f t="shared" si="14"/>
        <v>145857.73356000002</v>
      </c>
      <c r="BH213" s="29" t="s">
        <v>738</v>
      </c>
      <c r="BI213" s="29">
        <f t="shared" si="15"/>
        <v>0.4</v>
      </c>
      <c r="BJ213" s="29"/>
      <c r="BK213" s="29"/>
      <c r="BL213" s="29"/>
      <c r="BM213" s="278"/>
    </row>
    <row r="214" spans="1:65" ht="13.5" thickBot="1">
      <c r="A214" s="541"/>
      <c r="B214" s="84"/>
      <c r="C214" s="280"/>
      <c r="D214" s="438"/>
      <c r="E214" s="438"/>
      <c r="F214" s="337" t="s">
        <v>760</v>
      </c>
      <c r="G214" s="336"/>
      <c r="H214" s="336"/>
      <c r="I214" s="433"/>
      <c r="J214" s="436"/>
      <c r="K214" s="314"/>
      <c r="L214" s="29"/>
      <c r="M214" s="29">
        <f t="shared" si="11"/>
        <v>0</v>
      </c>
      <c r="N214" s="29"/>
      <c r="O214" s="29"/>
      <c r="P214" s="29"/>
      <c r="Q214" s="29"/>
      <c r="R214" s="29"/>
      <c r="S214" s="29"/>
      <c r="T214" s="29"/>
      <c r="U214" s="84"/>
      <c r="V214" s="277"/>
      <c r="W214" s="29"/>
      <c r="X214" s="29"/>
      <c r="Y214" s="29"/>
      <c r="Z214" s="29"/>
      <c r="AA214" s="29"/>
      <c r="AB214" s="29"/>
      <c r="AC214" s="29"/>
      <c r="AD214" s="29"/>
      <c r="AE214" s="29"/>
      <c r="AF214" s="278"/>
      <c r="AG214" s="277"/>
      <c r="AH214" s="29"/>
      <c r="AI214" s="29"/>
      <c r="AJ214" s="29"/>
      <c r="AK214" s="29"/>
      <c r="AL214" s="29"/>
      <c r="AM214" s="29"/>
      <c r="AN214" s="29"/>
      <c r="AO214" s="29"/>
      <c r="AP214" s="29"/>
      <c r="AQ214" s="278"/>
      <c r="AR214" s="277"/>
      <c r="AS214" s="29"/>
      <c r="AT214" s="29"/>
      <c r="AU214" s="29">
        <f>'assembly personnel jens'!C77</f>
        <v>9.2</v>
      </c>
      <c r="AV214" s="29">
        <f t="shared" si="12"/>
        <v>1073942.496</v>
      </c>
      <c r="AW214" s="29" t="s">
        <v>745</v>
      </c>
      <c r="AX214" s="29">
        <f>SUM('assembly personnel jens'!D76:E77)</f>
        <v>1.1</v>
      </c>
      <c r="AY214" s="29"/>
      <c r="AZ214" s="29"/>
      <c r="BA214" s="29"/>
      <c r="BB214" s="278"/>
      <c r="BC214" s="277"/>
      <c r="BD214" s="29"/>
      <c r="BE214" s="29"/>
      <c r="BF214" s="29">
        <f t="shared" si="13"/>
        <v>4.6</v>
      </c>
      <c r="BG214" s="29">
        <f t="shared" si="14"/>
        <v>547710.67296</v>
      </c>
      <c r="BH214" s="29" t="s">
        <v>745</v>
      </c>
      <c r="BI214" s="29">
        <f t="shared" si="15"/>
        <v>0.55</v>
      </c>
      <c r="BJ214" s="29"/>
      <c r="BK214" s="29"/>
      <c r="BL214" s="29"/>
      <c r="BM214" s="278"/>
    </row>
    <row r="215" spans="1:65" ht="13.5" thickBot="1">
      <c r="A215" s="541"/>
      <c r="B215" s="29"/>
      <c r="C215" s="106"/>
      <c r="D215" s="108"/>
      <c r="E215" s="108"/>
      <c r="F215" s="107"/>
      <c r="G215" s="108"/>
      <c r="H215" s="108"/>
      <c r="I215" s="265"/>
      <c r="J215" s="339"/>
      <c r="K215" s="314"/>
      <c r="L215" s="29"/>
      <c r="M215" s="29">
        <f t="shared" si="11"/>
        <v>0</v>
      </c>
      <c r="N215" s="29"/>
      <c r="O215" s="29"/>
      <c r="P215" s="29"/>
      <c r="Q215" s="29"/>
      <c r="R215" s="29"/>
      <c r="S215" s="29"/>
      <c r="T215" s="29"/>
      <c r="U215" s="84"/>
      <c r="V215" s="277"/>
      <c r="W215" s="29"/>
      <c r="X215" s="29"/>
      <c r="Y215" s="29"/>
      <c r="Z215" s="29"/>
      <c r="AA215" s="29"/>
      <c r="AB215" s="29"/>
      <c r="AC215" s="29"/>
      <c r="AD215" s="29"/>
      <c r="AE215" s="29"/>
      <c r="AF215" s="278"/>
      <c r="AG215" s="277"/>
      <c r="AH215" s="29"/>
      <c r="AI215" s="29"/>
      <c r="AJ215" s="29"/>
      <c r="AK215" s="29"/>
      <c r="AL215" s="29"/>
      <c r="AM215" s="29"/>
      <c r="AN215" s="29"/>
      <c r="AO215" s="29"/>
      <c r="AP215" s="29"/>
      <c r="AQ215" s="278"/>
      <c r="AR215" s="277"/>
      <c r="AS215" s="29"/>
      <c r="AT215" s="29"/>
      <c r="AU215" s="29"/>
      <c r="AV215" s="29"/>
      <c r="AW215" s="29"/>
      <c r="AX215" s="29"/>
      <c r="AY215" s="29"/>
      <c r="AZ215" s="29"/>
      <c r="BA215" s="29"/>
      <c r="BB215" s="278"/>
      <c r="BC215" s="277"/>
      <c r="BD215" s="29"/>
      <c r="BE215" s="29"/>
      <c r="BF215" s="29"/>
      <c r="BG215" s="29"/>
      <c r="BH215" s="29"/>
      <c r="BI215" s="29"/>
      <c r="BJ215" s="29"/>
      <c r="BK215" s="29"/>
      <c r="BL215" s="29"/>
      <c r="BM215" s="278"/>
    </row>
    <row r="216" spans="1:65" ht="13.5" thickBot="1">
      <c r="A216" s="541"/>
      <c r="B216" s="365"/>
      <c r="C216" s="366" t="s">
        <v>763</v>
      </c>
      <c r="D216" s="333" t="s">
        <v>692</v>
      </c>
      <c r="E216" s="333" t="s">
        <v>731</v>
      </c>
      <c r="F216" s="367"/>
      <c r="G216" s="333"/>
      <c r="H216" s="333"/>
      <c r="I216" s="368" t="s">
        <v>765</v>
      </c>
      <c r="J216" s="347">
        <v>40940</v>
      </c>
      <c r="K216" s="314"/>
      <c r="L216" s="29"/>
      <c r="M216" s="29">
        <f t="shared" si="11"/>
        <v>0</v>
      </c>
      <c r="N216" s="29"/>
      <c r="O216" s="29"/>
      <c r="P216" s="29"/>
      <c r="Q216" s="29"/>
      <c r="R216" s="29"/>
      <c r="S216" s="29"/>
      <c r="T216" s="29"/>
      <c r="U216" s="84"/>
      <c r="V216" s="277"/>
      <c r="W216" s="29"/>
      <c r="X216" s="29"/>
      <c r="Y216" s="29"/>
      <c r="Z216" s="29"/>
      <c r="AA216" s="29"/>
      <c r="AB216" s="29"/>
      <c r="AC216" s="29"/>
      <c r="AD216" s="29"/>
      <c r="AE216" s="29"/>
      <c r="AF216" s="278"/>
      <c r="AG216" s="277" t="e">
        <f>'component cost estimation jens'!#REF!</f>
        <v>#REF!</v>
      </c>
      <c r="AH216" s="29"/>
      <c r="AI216" s="29"/>
      <c r="AJ216" s="29"/>
      <c r="AK216" s="29"/>
      <c r="AL216" s="29"/>
      <c r="AM216" s="29"/>
      <c r="AN216" s="29"/>
      <c r="AO216" s="29"/>
      <c r="AP216" s="29"/>
      <c r="AQ216" s="278"/>
      <c r="AR216" s="277"/>
      <c r="AS216" s="29"/>
      <c r="AT216" s="29"/>
      <c r="AU216" s="29"/>
      <c r="AV216" s="29"/>
      <c r="AW216" s="29"/>
      <c r="AX216" s="29"/>
      <c r="AY216" s="29"/>
      <c r="AZ216" s="29"/>
      <c r="BA216" s="29"/>
      <c r="BB216" s="278"/>
      <c r="BC216" s="277"/>
      <c r="BD216" s="29"/>
      <c r="BE216" s="29"/>
      <c r="BF216" s="29"/>
      <c r="BG216" s="29"/>
      <c r="BH216" s="29"/>
      <c r="BI216" s="29"/>
      <c r="BJ216" s="29"/>
      <c r="BK216" s="29"/>
      <c r="BL216" s="29"/>
      <c r="BM216" s="278"/>
    </row>
    <row r="217" spans="1:65" ht="13.5" thickBot="1">
      <c r="A217" s="542"/>
      <c r="B217" s="246" t="s">
        <v>772</v>
      </c>
      <c r="C217" s="247" t="s">
        <v>773</v>
      </c>
      <c r="D217" s="250" t="s">
        <v>168</v>
      </c>
      <c r="E217" s="250"/>
      <c r="F217" s="248"/>
      <c r="G217" s="250"/>
      <c r="H217" s="250"/>
      <c r="I217" s="369">
        <v>40544</v>
      </c>
      <c r="J217" s="370">
        <v>41061</v>
      </c>
      <c r="K217" s="277"/>
      <c r="L217" s="29"/>
      <c r="M217" s="29">
        <f t="shared" si="11"/>
        <v>0</v>
      </c>
      <c r="N217" s="29"/>
      <c r="O217" s="29"/>
      <c r="P217" s="29"/>
      <c r="Q217" s="29"/>
      <c r="R217" s="29"/>
      <c r="S217" s="29"/>
      <c r="T217" s="29"/>
      <c r="U217" s="84"/>
      <c r="V217" s="277"/>
      <c r="W217" s="29"/>
      <c r="X217" s="29"/>
      <c r="Y217" s="29"/>
      <c r="Z217" s="29"/>
      <c r="AA217" s="29"/>
      <c r="AB217" s="29"/>
      <c r="AC217" s="29"/>
      <c r="AD217" s="29"/>
      <c r="AE217" s="29"/>
      <c r="AF217" s="278"/>
      <c r="AG217" s="277"/>
      <c r="AH217" s="29"/>
      <c r="AI217" s="29"/>
      <c r="AJ217" s="29"/>
      <c r="AK217" s="29"/>
      <c r="AL217" s="29"/>
      <c r="AM217" s="29"/>
      <c r="AN217" s="29"/>
      <c r="AO217" s="29"/>
      <c r="AP217" s="29"/>
      <c r="AQ217" s="278"/>
      <c r="AR217" s="277">
        <f>0.7*'component cost estimation jens'!I53</f>
        <v>0</v>
      </c>
      <c r="AS217" s="29"/>
      <c r="AT217" s="29"/>
      <c r="AU217" s="29"/>
      <c r="AV217" s="29"/>
      <c r="AW217" s="29"/>
      <c r="AX217" s="29"/>
      <c r="AY217" s="29"/>
      <c r="AZ217" s="29"/>
      <c r="BA217" s="29"/>
      <c r="BB217" s="278"/>
      <c r="BC217" s="277">
        <f>0.3*'component cost estimation jens'!I53</f>
        <v>0</v>
      </c>
      <c r="BD217" s="29"/>
      <c r="BE217" s="29"/>
      <c r="BF217" s="29"/>
      <c r="BG217" s="29"/>
      <c r="BH217" s="29"/>
      <c r="BI217" s="29"/>
      <c r="BJ217" s="29"/>
      <c r="BK217" s="29"/>
      <c r="BL217" s="29"/>
      <c r="BM217" s="278"/>
    </row>
    <row r="218" spans="1:65" ht="13.5" thickBot="1">
      <c r="A218" s="541"/>
      <c r="B218" s="106"/>
      <c r="C218" s="106"/>
      <c r="D218" s="108"/>
      <c r="E218" s="108"/>
      <c r="F218" s="107"/>
      <c r="G218" s="108"/>
      <c r="H218" s="108"/>
      <c r="I218" s="339"/>
      <c r="J218" s="272"/>
      <c r="K218" s="277"/>
      <c r="L218" s="29"/>
      <c r="M218" s="29"/>
      <c r="N218" s="29"/>
      <c r="O218" s="29"/>
      <c r="P218" s="29"/>
      <c r="Q218" s="29"/>
      <c r="R218" s="29"/>
      <c r="S218" s="29"/>
      <c r="T218" s="29"/>
      <c r="U218" s="84"/>
      <c r="V218" s="277"/>
      <c r="W218" s="29"/>
      <c r="X218" s="29"/>
      <c r="Y218" s="29"/>
      <c r="Z218" s="29"/>
      <c r="AA218" s="29"/>
      <c r="AB218" s="29"/>
      <c r="AC218" s="29"/>
      <c r="AD218" s="29"/>
      <c r="AE218" s="29"/>
      <c r="AF218" s="278"/>
      <c r="AG218" s="277"/>
      <c r="AH218" s="29"/>
      <c r="AI218" s="29"/>
      <c r="AJ218" s="29"/>
      <c r="AK218" s="29"/>
      <c r="AL218" s="29"/>
      <c r="AM218" s="29"/>
      <c r="AN218" s="29"/>
      <c r="AO218" s="29"/>
      <c r="AP218" s="29"/>
      <c r="AQ218" s="278"/>
      <c r="AR218" s="277"/>
      <c r="AS218" s="29"/>
      <c r="AT218" s="29"/>
      <c r="AU218" s="29"/>
      <c r="AV218" s="29"/>
      <c r="AW218" s="29"/>
      <c r="AX218" s="29"/>
      <c r="AY218" s="29"/>
      <c r="AZ218" s="29"/>
      <c r="BA218" s="29"/>
      <c r="BB218" s="278"/>
      <c r="BC218" s="277"/>
      <c r="BD218" s="29"/>
      <c r="BE218" s="29"/>
      <c r="BF218" s="29"/>
      <c r="BG218" s="29"/>
      <c r="BH218" s="29"/>
      <c r="BI218" s="29"/>
      <c r="BJ218" s="29"/>
      <c r="BK218" s="29"/>
      <c r="BL218" s="29"/>
      <c r="BM218" s="278"/>
    </row>
    <row r="219" spans="1:65" ht="13.5" thickBot="1">
      <c r="A219" s="542"/>
      <c r="B219" s="246" t="s">
        <v>68</v>
      </c>
      <c r="C219" s="247" t="s">
        <v>764</v>
      </c>
      <c r="D219" s="250" t="s">
        <v>728</v>
      </c>
      <c r="E219" s="250" t="s">
        <v>729</v>
      </c>
      <c r="F219" s="248"/>
      <c r="G219" s="250"/>
      <c r="H219" s="250"/>
      <c r="I219" s="344">
        <v>40544</v>
      </c>
      <c r="J219" s="345">
        <v>41061</v>
      </c>
      <c r="K219" s="277"/>
      <c r="L219" s="29"/>
      <c r="M219" s="29">
        <f>L219*M$2*8</f>
        <v>0</v>
      </c>
      <c r="N219" s="29"/>
      <c r="O219" s="29"/>
      <c r="P219" s="29"/>
      <c r="Q219" s="29"/>
      <c r="R219" s="29"/>
      <c r="S219" s="29"/>
      <c r="T219" s="29"/>
      <c r="U219" s="84"/>
      <c r="V219" s="277"/>
      <c r="W219" s="29"/>
      <c r="X219" s="29"/>
      <c r="Y219" s="29"/>
      <c r="Z219" s="29"/>
      <c r="AA219" s="29"/>
      <c r="AB219" s="29"/>
      <c r="AC219" s="29"/>
      <c r="AD219" s="29"/>
      <c r="AE219" s="29"/>
      <c r="AF219" s="278"/>
      <c r="AG219" s="277"/>
      <c r="AH219" s="29"/>
      <c r="AI219" s="29"/>
      <c r="AJ219" s="29"/>
      <c r="AK219" s="29"/>
      <c r="AL219" s="29"/>
      <c r="AM219" s="29"/>
      <c r="AN219" s="29"/>
      <c r="AO219" s="29"/>
      <c r="AP219" s="29"/>
      <c r="AQ219" s="278"/>
      <c r="AR219" s="277"/>
      <c r="AS219" s="29"/>
      <c r="AT219" s="29"/>
      <c r="AU219" s="29">
        <f>SUM('assembly personnel jens'!C92)</f>
        <v>5.6</v>
      </c>
      <c r="AV219" s="281">
        <f>AU219*AV2</f>
        <v>653704.128</v>
      </c>
      <c r="AW219" s="29" t="s">
        <v>744</v>
      </c>
      <c r="AX219" s="29">
        <f>SUM('assembly personnel jens'!D92:E92)</f>
        <v>0.5</v>
      </c>
      <c r="AY219" s="29"/>
      <c r="AZ219" s="29"/>
      <c r="BA219" s="29"/>
      <c r="BB219" s="278"/>
      <c r="BC219" s="277"/>
      <c r="BD219" s="29"/>
      <c r="BE219" s="29"/>
      <c r="BF219" s="29">
        <f>AU219/2</f>
        <v>2.8</v>
      </c>
      <c r="BG219" s="281">
        <f>BF219*BG2</f>
        <v>333389.10528</v>
      </c>
      <c r="BH219" s="29" t="s">
        <v>744</v>
      </c>
      <c r="BI219" s="29">
        <f>AX219/2</f>
        <v>0.25</v>
      </c>
      <c r="BJ219" s="29"/>
      <c r="BK219" s="29"/>
      <c r="BL219" s="29"/>
      <c r="BM219" s="278"/>
    </row>
    <row r="220" spans="1:65" ht="13.5" thickBot="1">
      <c r="A220" s="542"/>
      <c r="B220" s="366" t="s">
        <v>741</v>
      </c>
      <c r="C220" s="383" t="s">
        <v>740</v>
      </c>
      <c r="D220" s="333" t="s">
        <v>730</v>
      </c>
      <c r="E220" s="333" t="s">
        <v>742</v>
      </c>
      <c r="F220" s="367"/>
      <c r="G220" s="333"/>
      <c r="H220" s="333"/>
      <c r="I220" s="346">
        <v>40756</v>
      </c>
      <c r="J220" s="380">
        <v>40878</v>
      </c>
      <c r="K220" s="381"/>
      <c r="L220" s="97"/>
      <c r="M220" s="97">
        <f>L220*M$2*8</f>
        <v>0</v>
      </c>
      <c r="N220" s="97"/>
      <c r="O220" s="97"/>
      <c r="P220" s="97"/>
      <c r="Q220" s="97"/>
      <c r="R220" s="97"/>
      <c r="S220" s="97"/>
      <c r="T220" s="97"/>
      <c r="U220" s="365"/>
      <c r="V220" s="381"/>
      <c r="W220" s="97"/>
      <c r="X220" s="97"/>
      <c r="Y220" s="97"/>
      <c r="Z220" s="97"/>
      <c r="AA220" s="97"/>
      <c r="AB220" s="97"/>
      <c r="AC220" s="97"/>
      <c r="AD220" s="97"/>
      <c r="AE220" s="97"/>
      <c r="AF220" s="382"/>
      <c r="AG220" s="381"/>
      <c r="AH220" s="97"/>
      <c r="AI220" s="97"/>
      <c r="AJ220" s="97"/>
      <c r="AK220" s="97"/>
      <c r="AL220" s="97"/>
      <c r="AM220" s="97"/>
      <c r="AN220" s="97"/>
      <c r="AO220" s="97"/>
      <c r="AP220" s="97"/>
      <c r="AQ220" s="382"/>
      <c r="AR220" s="381"/>
      <c r="AS220" s="97"/>
      <c r="AT220" s="97"/>
      <c r="AU220" s="97">
        <v>0.3</v>
      </c>
      <c r="AV220" s="97">
        <f>AU220*AV2</f>
        <v>35019.864</v>
      </c>
      <c r="AW220" s="97" t="s">
        <v>743</v>
      </c>
      <c r="AX220" s="97">
        <v>0.6</v>
      </c>
      <c r="AY220" s="97"/>
      <c r="AZ220" s="97"/>
      <c r="BA220" s="97"/>
      <c r="BB220" s="382"/>
      <c r="BC220" s="381"/>
      <c r="BD220" s="97"/>
      <c r="BE220" s="97"/>
      <c r="BF220" s="97"/>
      <c r="BG220" s="97"/>
      <c r="BH220" s="97"/>
      <c r="BI220" s="97"/>
      <c r="BJ220" s="97"/>
      <c r="BK220" s="97"/>
      <c r="BL220" s="97"/>
      <c r="BM220" s="382"/>
    </row>
    <row r="221" spans="1:61" s="384" customFormat="1" ht="13.5" thickTop="1">
      <c r="A221" s="521" t="s">
        <v>788</v>
      </c>
      <c r="C221" s="385" t="s">
        <v>789</v>
      </c>
      <c r="D221" s="386"/>
      <c r="E221" s="386"/>
      <c r="F221" s="387"/>
      <c r="G221" s="386"/>
      <c r="H221" s="386"/>
      <c r="I221" s="388"/>
      <c r="J221" s="388"/>
      <c r="Q221" s="384">
        <v>0.8</v>
      </c>
      <c r="AA221" s="384">
        <v>0.8</v>
      </c>
      <c r="AM221" s="384">
        <v>0.8</v>
      </c>
      <c r="AX221" s="384">
        <v>0.8</v>
      </c>
      <c r="BI221" s="384">
        <v>0.6</v>
      </c>
    </row>
    <row r="222" spans="1:61" s="389" customFormat="1" ht="12.75">
      <c r="A222" s="522"/>
      <c r="C222" s="390" t="s">
        <v>726</v>
      </c>
      <c r="D222" s="391"/>
      <c r="E222" s="391"/>
      <c r="F222" s="392"/>
      <c r="G222" s="391"/>
      <c r="H222" s="391"/>
      <c r="I222" s="393"/>
      <c r="J222" s="393"/>
      <c r="Q222" s="389">
        <v>0.5</v>
      </c>
      <c r="AA222" s="389">
        <v>0.6</v>
      </c>
      <c r="AM222" s="389">
        <v>0.7</v>
      </c>
      <c r="AX222" s="389">
        <v>0.7</v>
      </c>
      <c r="BI222" s="389">
        <v>0.6</v>
      </c>
    </row>
    <row r="223" spans="1:61" s="389" customFormat="1" ht="12.75">
      <c r="A223" s="522"/>
      <c r="C223" s="390" t="s">
        <v>790</v>
      </c>
      <c r="D223" s="391"/>
      <c r="E223" s="391"/>
      <c r="F223" s="392"/>
      <c r="G223" s="391"/>
      <c r="H223" s="391"/>
      <c r="I223" s="393"/>
      <c r="J223" s="393"/>
      <c r="Q223" s="389">
        <v>0.6</v>
      </c>
      <c r="AA223" s="389">
        <v>0.8</v>
      </c>
      <c r="AM223" s="389">
        <v>0.8</v>
      </c>
      <c r="AX223" s="389">
        <v>0.5</v>
      </c>
      <c r="BI223" s="389">
        <v>0.2</v>
      </c>
    </row>
    <row r="224" spans="1:61" s="389" customFormat="1" ht="12.75">
      <c r="A224" s="522"/>
      <c r="C224" s="394" t="s">
        <v>812</v>
      </c>
      <c r="D224" s="391"/>
      <c r="E224" s="391"/>
      <c r="F224" s="392"/>
      <c r="G224" s="391"/>
      <c r="H224" s="391"/>
      <c r="I224" s="393"/>
      <c r="J224" s="393"/>
      <c r="Q224" s="389">
        <v>0.25</v>
      </c>
      <c r="AA224" s="389">
        <v>0.6</v>
      </c>
      <c r="AM224" s="389">
        <v>0.7</v>
      </c>
      <c r="AX224" s="389">
        <v>0.5</v>
      </c>
      <c r="BI224" s="389">
        <v>0.2</v>
      </c>
    </row>
    <row r="225" spans="1:10" s="389" customFormat="1" ht="12.75">
      <c r="A225" s="522"/>
      <c r="D225" s="391"/>
      <c r="E225" s="391"/>
      <c r="F225" s="392"/>
      <c r="G225" s="391"/>
      <c r="H225" s="391"/>
      <c r="I225" s="393"/>
      <c r="J225" s="393"/>
    </row>
    <row r="226" spans="1:10" s="395" customFormat="1" ht="13.5" thickBot="1">
      <c r="A226" s="523"/>
      <c r="D226" s="396"/>
      <c r="E226" s="396"/>
      <c r="F226" s="397"/>
      <c r="G226" s="396"/>
      <c r="H226" s="396"/>
      <c r="I226" s="398"/>
      <c r="J226" s="398"/>
    </row>
    <row r="227" spans="4:10" ht="13.5" thickTop="1">
      <c r="D227" s="70"/>
      <c r="E227" s="70"/>
      <c r="I227" s="77"/>
      <c r="J227" s="77"/>
    </row>
    <row r="228" spans="4:10" ht="13.5" thickBot="1">
      <c r="D228" s="70"/>
      <c r="E228" s="70"/>
      <c r="I228" s="77"/>
      <c r="J228" s="77"/>
    </row>
    <row r="229" spans="4:65" ht="15.75">
      <c r="D229" s="70"/>
      <c r="E229" s="70"/>
      <c r="I229" s="77"/>
      <c r="J229" s="77"/>
      <c r="K229" s="422" t="s">
        <v>153</v>
      </c>
      <c r="L229" s="423"/>
      <c r="M229" s="423"/>
      <c r="N229" s="423"/>
      <c r="O229" s="423"/>
      <c r="P229" s="423"/>
      <c r="Q229" s="423"/>
      <c r="R229" s="423"/>
      <c r="S229" s="423"/>
      <c r="T229" s="423"/>
      <c r="U229" s="424"/>
      <c r="V229" s="422" t="s">
        <v>154</v>
      </c>
      <c r="W229" s="423"/>
      <c r="X229" s="423"/>
      <c r="Y229" s="423"/>
      <c r="Z229" s="423"/>
      <c r="AA229" s="423"/>
      <c r="AB229" s="423"/>
      <c r="AC229" s="423"/>
      <c r="AD229" s="423"/>
      <c r="AE229" s="423"/>
      <c r="AF229" s="424"/>
      <c r="AG229" s="422" t="s">
        <v>155</v>
      </c>
      <c r="AH229" s="423"/>
      <c r="AI229" s="423"/>
      <c r="AJ229" s="423"/>
      <c r="AK229" s="423"/>
      <c r="AL229" s="423"/>
      <c r="AM229" s="423"/>
      <c r="AN229" s="423"/>
      <c r="AO229" s="423"/>
      <c r="AP229" s="423"/>
      <c r="AQ229" s="424"/>
      <c r="AR229" s="422" t="s">
        <v>156</v>
      </c>
      <c r="AS229" s="423"/>
      <c r="AT229" s="423"/>
      <c r="AU229" s="423"/>
      <c r="AV229" s="423"/>
      <c r="AW229" s="423"/>
      <c r="AX229" s="423"/>
      <c r="AY229" s="423"/>
      <c r="AZ229" s="423"/>
      <c r="BA229" s="423"/>
      <c r="BB229" s="424"/>
      <c r="BC229" s="422" t="s">
        <v>157</v>
      </c>
      <c r="BD229" s="423"/>
      <c r="BE229" s="423"/>
      <c r="BF229" s="423"/>
      <c r="BG229" s="423"/>
      <c r="BH229" s="423"/>
      <c r="BI229" s="423"/>
      <c r="BJ229" s="423"/>
      <c r="BK229" s="423"/>
      <c r="BL229" s="423"/>
      <c r="BM229" s="424"/>
    </row>
    <row r="230" spans="4:65" ht="12.75">
      <c r="D230" s="70"/>
      <c r="E230" s="70"/>
      <c r="I230" s="77"/>
      <c r="J230" s="77"/>
      <c r="K230" s="275" t="s">
        <v>57</v>
      </c>
      <c r="L230" s="72" t="s">
        <v>342</v>
      </c>
      <c r="M230" s="72" t="s">
        <v>678</v>
      </c>
      <c r="N230" s="71" t="s">
        <v>333</v>
      </c>
      <c r="O230" s="71" t="s">
        <v>334</v>
      </c>
      <c r="P230" s="72" t="s">
        <v>336</v>
      </c>
      <c r="Q230" s="294" t="s">
        <v>680</v>
      </c>
      <c r="R230" s="71" t="s">
        <v>335</v>
      </c>
      <c r="S230" s="72" t="s">
        <v>337</v>
      </c>
      <c r="T230" s="72" t="s">
        <v>338</v>
      </c>
      <c r="U230" s="282" t="s">
        <v>334</v>
      </c>
      <c r="V230" s="275" t="s">
        <v>57</v>
      </c>
      <c r="W230" s="72" t="s">
        <v>342</v>
      </c>
      <c r="X230" s="72" t="s">
        <v>678</v>
      </c>
      <c r="Y230" s="71" t="s">
        <v>333</v>
      </c>
      <c r="Z230" s="71" t="s">
        <v>334</v>
      </c>
      <c r="AA230" s="72" t="s">
        <v>336</v>
      </c>
      <c r="AB230" s="72" t="s">
        <v>680</v>
      </c>
      <c r="AC230" s="71" t="s">
        <v>335</v>
      </c>
      <c r="AD230" s="72" t="s">
        <v>337</v>
      </c>
      <c r="AE230" s="72" t="s">
        <v>338</v>
      </c>
      <c r="AF230" s="282" t="s">
        <v>334</v>
      </c>
      <c r="AG230" s="275" t="s">
        <v>57</v>
      </c>
      <c r="AH230" s="72" t="s">
        <v>342</v>
      </c>
      <c r="AI230" s="72" t="s">
        <v>678</v>
      </c>
      <c r="AJ230" s="71" t="s">
        <v>333</v>
      </c>
      <c r="AK230" s="71" t="s">
        <v>334</v>
      </c>
      <c r="AL230" s="72" t="s">
        <v>336</v>
      </c>
      <c r="AM230" s="72" t="s">
        <v>680</v>
      </c>
      <c r="AN230" s="71" t="s">
        <v>335</v>
      </c>
      <c r="AO230" s="72" t="s">
        <v>337</v>
      </c>
      <c r="AP230" s="72" t="s">
        <v>338</v>
      </c>
      <c r="AQ230" s="282" t="s">
        <v>334</v>
      </c>
      <c r="AR230" s="275" t="s">
        <v>57</v>
      </c>
      <c r="AS230" s="72" t="s">
        <v>342</v>
      </c>
      <c r="AT230" s="72" t="s">
        <v>678</v>
      </c>
      <c r="AU230" s="71" t="s">
        <v>333</v>
      </c>
      <c r="AV230" s="71" t="s">
        <v>334</v>
      </c>
      <c r="AW230" s="72" t="s">
        <v>336</v>
      </c>
      <c r="AX230" s="72" t="s">
        <v>680</v>
      </c>
      <c r="AY230" s="71" t="s">
        <v>335</v>
      </c>
      <c r="AZ230" s="72" t="s">
        <v>337</v>
      </c>
      <c r="BA230" s="72" t="s">
        <v>338</v>
      </c>
      <c r="BB230" s="282" t="s">
        <v>334</v>
      </c>
      <c r="BC230" s="275" t="s">
        <v>57</v>
      </c>
      <c r="BD230" s="72" t="s">
        <v>342</v>
      </c>
      <c r="BE230" s="72" t="s">
        <v>678</v>
      </c>
      <c r="BF230" s="71" t="s">
        <v>333</v>
      </c>
      <c r="BG230" s="71" t="s">
        <v>334</v>
      </c>
      <c r="BH230" s="72" t="s">
        <v>336</v>
      </c>
      <c r="BI230" s="72" t="s">
        <v>680</v>
      </c>
      <c r="BJ230" s="71" t="s">
        <v>335</v>
      </c>
      <c r="BK230" s="72" t="s">
        <v>337</v>
      </c>
      <c r="BL230" s="72" t="s">
        <v>338</v>
      </c>
      <c r="BM230" s="282" t="s">
        <v>334</v>
      </c>
    </row>
    <row r="231" spans="4:65" ht="12.75">
      <c r="D231" s="70"/>
      <c r="E231" s="70"/>
      <c r="I231" s="77"/>
      <c r="J231" s="77"/>
      <c r="K231" s="349">
        <f>SUM(K5:K226)</f>
        <v>386420</v>
      </c>
      <c r="L231" s="349">
        <f>SUM(L5:L226)</f>
        <v>482.875</v>
      </c>
      <c r="M231" s="349">
        <f aca="true" t="shared" si="16" ref="M231:BM231">SUM(M5:M226)</f>
        <v>197013</v>
      </c>
      <c r="N231" s="349">
        <f t="shared" si="16"/>
        <v>0.8800000000000001</v>
      </c>
      <c r="O231" s="349">
        <f t="shared" si="16"/>
        <v>92800</v>
      </c>
      <c r="P231" s="349">
        <f>SUM(P5:P226)</f>
        <v>0</v>
      </c>
      <c r="Q231" s="349">
        <f>SUM(Q5:Q226)</f>
        <v>3.2100000000000004</v>
      </c>
      <c r="R231" s="349">
        <f t="shared" si="16"/>
        <v>0</v>
      </c>
      <c r="S231" s="349">
        <f t="shared" si="16"/>
        <v>0</v>
      </c>
      <c r="T231" s="349">
        <f t="shared" si="16"/>
        <v>1.1</v>
      </c>
      <c r="U231" s="349">
        <f t="shared" si="16"/>
        <v>30000</v>
      </c>
      <c r="V231" s="349" t="e">
        <f t="shared" si="16"/>
        <v>#REF!</v>
      </c>
      <c r="W231" s="349">
        <f t="shared" si="16"/>
        <v>1654.5</v>
      </c>
      <c r="X231" s="349">
        <f t="shared" si="16"/>
        <v>680172.7199999997</v>
      </c>
      <c r="Y231" s="349">
        <f t="shared" si="16"/>
        <v>1.62</v>
      </c>
      <c r="Z231" s="349">
        <f t="shared" si="16"/>
        <v>167080</v>
      </c>
      <c r="AA231" s="349">
        <f t="shared" si="16"/>
        <v>2.8000000000000003</v>
      </c>
      <c r="AB231" s="349">
        <f t="shared" si="16"/>
        <v>4.440000000000001</v>
      </c>
      <c r="AC231" s="349">
        <f t="shared" si="16"/>
        <v>0</v>
      </c>
      <c r="AD231" s="349">
        <f t="shared" si="16"/>
        <v>0</v>
      </c>
      <c r="AE231" s="349">
        <f t="shared" si="16"/>
        <v>0.6</v>
      </c>
      <c r="AF231" s="349">
        <f t="shared" si="16"/>
        <v>0</v>
      </c>
      <c r="AG231" s="349" t="e">
        <f t="shared" si="16"/>
        <v>#REF!</v>
      </c>
      <c r="AH231" s="349">
        <f t="shared" si="16"/>
        <v>623.75</v>
      </c>
      <c r="AI231" s="349">
        <f t="shared" si="16"/>
        <v>160682.35950000002</v>
      </c>
      <c r="AJ231" s="349">
        <f t="shared" si="16"/>
        <v>2.54</v>
      </c>
      <c r="AK231" s="349">
        <f t="shared" si="16"/>
        <v>290687.76</v>
      </c>
      <c r="AL231" s="349">
        <f t="shared" si="16"/>
        <v>0</v>
      </c>
      <c r="AM231" s="349">
        <f t="shared" si="16"/>
        <v>8.200000000000001</v>
      </c>
      <c r="AN231" s="349">
        <f t="shared" si="16"/>
        <v>0</v>
      </c>
      <c r="AO231" s="349">
        <f t="shared" si="16"/>
        <v>0</v>
      </c>
      <c r="AP231" s="349">
        <f t="shared" si="16"/>
        <v>0</v>
      </c>
      <c r="AQ231" s="349">
        <f t="shared" si="16"/>
        <v>0</v>
      </c>
      <c r="AR231" s="349">
        <f t="shared" si="16"/>
        <v>1672650</v>
      </c>
      <c r="AS231" s="349">
        <f t="shared" si="16"/>
        <v>238.75</v>
      </c>
      <c r="AT231" s="349">
        <f t="shared" si="16"/>
        <v>101873.89944</v>
      </c>
      <c r="AU231" s="349">
        <f t="shared" si="16"/>
        <v>32.949999999999996</v>
      </c>
      <c r="AV231" s="349">
        <f t="shared" si="16"/>
        <v>3846348.396</v>
      </c>
      <c r="AW231" s="349">
        <f t="shared" si="16"/>
        <v>0</v>
      </c>
      <c r="AX231" s="349">
        <f t="shared" si="16"/>
        <v>7.6</v>
      </c>
      <c r="AY231" s="349">
        <f t="shared" si="16"/>
        <v>0</v>
      </c>
      <c r="AZ231" s="349">
        <f t="shared" si="16"/>
        <v>0</v>
      </c>
      <c r="BA231" s="349">
        <f t="shared" si="16"/>
        <v>0</v>
      </c>
      <c r="BB231" s="349">
        <f t="shared" si="16"/>
        <v>0</v>
      </c>
      <c r="BC231" s="349">
        <f t="shared" si="16"/>
        <v>0</v>
      </c>
      <c r="BD231" s="349">
        <f t="shared" si="16"/>
        <v>60</v>
      </c>
      <c r="BE231" s="349">
        <f t="shared" si="16"/>
        <v>24480</v>
      </c>
      <c r="BF231" s="349">
        <f t="shared" si="16"/>
        <v>16.325</v>
      </c>
      <c r="BG231" s="349">
        <f t="shared" si="16"/>
        <v>1943777.5513200003</v>
      </c>
      <c r="BH231" s="349">
        <f t="shared" si="16"/>
        <v>0</v>
      </c>
      <c r="BI231" s="349">
        <f>SUM(BI5:BI226)</f>
        <v>3.5500000000000003</v>
      </c>
      <c r="BJ231" s="349">
        <f t="shared" si="16"/>
        <v>0</v>
      </c>
      <c r="BK231" s="349">
        <f t="shared" si="16"/>
        <v>0</v>
      </c>
      <c r="BL231" s="349">
        <f t="shared" si="16"/>
        <v>0</v>
      </c>
      <c r="BM231" s="349">
        <f t="shared" si="16"/>
        <v>0</v>
      </c>
    </row>
    <row r="232" spans="4:10" ht="12.75">
      <c r="D232" s="70"/>
      <c r="E232" s="70"/>
      <c r="I232" s="77"/>
      <c r="J232" s="77"/>
    </row>
    <row r="233" spans="4:50" ht="12.75">
      <c r="D233" s="70"/>
      <c r="E233" s="70"/>
      <c r="I233" s="77"/>
      <c r="J233" s="77"/>
      <c r="AX233">
        <f>SUM(AX209:AX220)</f>
        <v>4.1</v>
      </c>
    </row>
    <row r="234" spans="4:10" ht="12.75">
      <c r="D234" s="70"/>
      <c r="E234" s="70"/>
      <c r="I234" s="77"/>
      <c r="J234" s="77"/>
    </row>
    <row r="235" spans="4:55" ht="12.75">
      <c r="D235" s="70"/>
      <c r="E235" s="70"/>
      <c r="I235" s="77"/>
      <c r="J235" s="408" t="s">
        <v>139</v>
      </c>
      <c r="K235" s="349">
        <f>K62+K63+K64+K66+K67+K68+K69+K70+K72+K73+K152+K153</f>
        <v>139000</v>
      </c>
      <c r="U235" s="408" t="s">
        <v>139</v>
      </c>
      <c r="V235">
        <f>SUM(V153:V170)+SUM(V172:V173)</f>
        <v>1252500</v>
      </c>
      <c r="AF235" s="408" t="s">
        <v>139</v>
      </c>
      <c r="AG235">
        <f>SUM(AG172:AG173)</f>
        <v>200000</v>
      </c>
      <c r="AQ235" s="408" t="s">
        <v>139</v>
      </c>
      <c r="AR235">
        <f>SUM(AR172:AR173)</f>
        <v>0</v>
      </c>
      <c r="AX235">
        <f>SUM(AX221:AX226)</f>
        <v>2.5</v>
      </c>
      <c r="BB235" s="408" t="s">
        <v>139</v>
      </c>
      <c r="BC235">
        <f>SUM(BC172:BC173)</f>
        <v>0</v>
      </c>
    </row>
    <row r="236" spans="4:55" ht="12.75">
      <c r="D236" s="70"/>
      <c r="E236" s="70"/>
      <c r="I236" s="77"/>
      <c r="J236" s="408" t="s">
        <v>818</v>
      </c>
      <c r="K236" s="349">
        <f>K231-K235</f>
        <v>247420</v>
      </c>
      <c r="U236" s="408" t="s">
        <v>818</v>
      </c>
      <c r="V236" s="349" t="e">
        <f>V231-V235</f>
        <v>#REF!</v>
      </c>
      <c r="AF236" s="408" t="s">
        <v>818</v>
      </c>
      <c r="AG236" s="349" t="e">
        <f>AG231-AG235</f>
        <v>#REF!</v>
      </c>
      <c r="AQ236" s="408" t="s">
        <v>818</v>
      </c>
      <c r="AR236" s="349">
        <f>AR231-AR235</f>
        <v>1672650</v>
      </c>
      <c r="BB236" s="408" t="s">
        <v>818</v>
      </c>
      <c r="BC236" s="349">
        <f>BC231-BC235</f>
        <v>0</v>
      </c>
    </row>
    <row r="237" spans="4:10" ht="12.75">
      <c r="D237" s="70"/>
      <c r="E237" s="70"/>
      <c r="I237" s="77"/>
      <c r="J237" s="408"/>
    </row>
    <row r="238" spans="4:10" ht="12.75">
      <c r="D238" s="70"/>
      <c r="E238" s="70"/>
      <c r="I238" s="77"/>
      <c r="J238" s="77"/>
    </row>
    <row r="239" spans="4:10" ht="12.75">
      <c r="D239" s="70"/>
      <c r="E239" s="70"/>
      <c r="I239" s="77"/>
      <c r="J239" s="77"/>
    </row>
    <row r="240" spans="4:10" ht="12.75">
      <c r="D240" s="70"/>
      <c r="E240" s="70"/>
      <c r="I240" s="77"/>
      <c r="J240" s="77"/>
    </row>
    <row r="241" spans="4:10" ht="12.75">
      <c r="D241" s="70"/>
      <c r="E241" s="70"/>
      <c r="I241" s="77"/>
      <c r="J241" s="77"/>
    </row>
    <row r="242" spans="4:10" ht="12.75">
      <c r="D242" s="70"/>
      <c r="E242" s="70"/>
      <c r="I242" s="77"/>
      <c r="J242" s="77"/>
    </row>
    <row r="243" spans="4:10" ht="12.75">
      <c r="D243" s="70"/>
      <c r="E243" s="70"/>
      <c r="I243" s="77"/>
      <c r="J243" s="77"/>
    </row>
    <row r="244" spans="4:10" ht="12.75">
      <c r="D244" s="70"/>
      <c r="E244" s="70"/>
      <c r="I244" s="77"/>
      <c r="J244" s="77"/>
    </row>
    <row r="245" spans="4:10" ht="12.75">
      <c r="D245" s="70"/>
      <c r="E245" s="70"/>
      <c r="I245" s="77"/>
      <c r="J245" s="77"/>
    </row>
    <row r="246" spans="4:10" ht="12.75">
      <c r="D246" s="70"/>
      <c r="E246" s="70"/>
      <c r="I246" s="77"/>
      <c r="J246" s="77"/>
    </row>
    <row r="247" spans="4:10" ht="12.75">
      <c r="D247" s="70"/>
      <c r="E247" s="70"/>
      <c r="I247" s="77"/>
      <c r="J247" s="77"/>
    </row>
    <row r="248" spans="4:10" ht="12.75">
      <c r="D248" s="70"/>
      <c r="E248" s="70"/>
      <c r="I248" s="77"/>
      <c r="J248" s="77"/>
    </row>
    <row r="249" spans="4:10" ht="12.75">
      <c r="D249" s="70"/>
      <c r="E249" s="70"/>
      <c r="I249" s="77"/>
      <c r="J249" s="77"/>
    </row>
    <row r="250" spans="4:10" ht="12.75">
      <c r="D250" s="70"/>
      <c r="E250" s="70"/>
      <c r="I250" s="77"/>
      <c r="J250" s="77"/>
    </row>
    <row r="251" spans="4:10" ht="12.75">
      <c r="D251" s="70"/>
      <c r="E251" s="70"/>
      <c r="I251" s="77"/>
      <c r="J251" s="77"/>
    </row>
    <row r="252" spans="4:10" ht="12.75">
      <c r="D252" s="70"/>
      <c r="E252" s="70"/>
      <c r="I252" s="77"/>
      <c r="J252" s="77"/>
    </row>
    <row r="253" spans="4:10" ht="12.75">
      <c r="D253" s="70"/>
      <c r="E253" s="70"/>
      <c r="I253" s="77"/>
      <c r="J253" s="77"/>
    </row>
    <row r="254" spans="4:10" ht="12.75">
      <c r="D254" s="70"/>
      <c r="E254" s="70"/>
      <c r="I254" s="77"/>
      <c r="J254" s="77"/>
    </row>
    <row r="255" spans="4:10" ht="12.75">
      <c r="D255" s="70"/>
      <c r="E255" s="70"/>
      <c r="I255" s="77"/>
      <c r="J255" s="77"/>
    </row>
    <row r="256" spans="4:10" ht="12.75">
      <c r="D256" s="70"/>
      <c r="E256" s="70"/>
      <c r="I256" s="77"/>
      <c r="J256" s="77"/>
    </row>
    <row r="257" spans="4:10" ht="12.75">
      <c r="D257" s="70"/>
      <c r="E257" s="70"/>
      <c r="I257" s="77"/>
      <c r="J257" s="77"/>
    </row>
    <row r="258" spans="4:10" ht="12.75">
      <c r="D258" s="70"/>
      <c r="E258" s="70"/>
      <c r="I258" s="77"/>
      <c r="J258" s="77"/>
    </row>
    <row r="259" spans="4:10" ht="12.75">
      <c r="D259" s="70"/>
      <c r="E259" s="70"/>
      <c r="I259" s="77"/>
      <c r="J259" s="77"/>
    </row>
    <row r="260" spans="4:10" ht="12.75">
      <c r="D260" s="70"/>
      <c r="E260" s="70"/>
      <c r="I260" s="77"/>
      <c r="J260" s="77"/>
    </row>
    <row r="261" spans="4:10" ht="12.75">
      <c r="D261" s="70"/>
      <c r="E261" s="70"/>
      <c r="I261" s="77"/>
      <c r="J261" s="77"/>
    </row>
    <row r="262" spans="4:10" ht="12.75">
      <c r="D262" s="70"/>
      <c r="E262" s="70"/>
      <c r="I262" s="77"/>
      <c r="J262" s="77"/>
    </row>
    <row r="263" spans="4:10" ht="12.75">
      <c r="D263" s="70"/>
      <c r="E263" s="70"/>
      <c r="I263" s="77"/>
      <c r="J263" s="77"/>
    </row>
    <row r="264" spans="4:10" ht="12.75">
      <c r="D264" s="70"/>
      <c r="E264" s="70"/>
      <c r="I264" s="77"/>
      <c r="J264" s="77"/>
    </row>
    <row r="265" spans="4:10" ht="12.75">
      <c r="D265" s="70"/>
      <c r="E265" s="70"/>
      <c r="I265" s="77"/>
      <c r="J265" s="77"/>
    </row>
    <row r="266" spans="4:10" ht="12.75">
      <c r="D266" s="70"/>
      <c r="E266" s="70"/>
      <c r="I266" s="77"/>
      <c r="J266" s="77"/>
    </row>
    <row r="267" spans="4:10" ht="12.75">
      <c r="D267" s="70"/>
      <c r="E267" s="70"/>
      <c r="I267" s="77"/>
      <c r="J267" s="77"/>
    </row>
    <row r="268" spans="4:10" ht="12.75">
      <c r="D268" s="70"/>
      <c r="E268" s="70"/>
      <c r="I268" s="77"/>
      <c r="J268" s="77"/>
    </row>
    <row r="269" spans="4:10" ht="12.75">
      <c r="D269" s="70"/>
      <c r="E269" s="70"/>
      <c r="I269" s="77"/>
      <c r="J269" s="77"/>
    </row>
    <row r="270" spans="4:10" ht="12.75">
      <c r="D270" s="70"/>
      <c r="E270" s="70"/>
      <c r="I270" s="77"/>
      <c r="J270" s="77"/>
    </row>
    <row r="271" spans="4:10" ht="12.75">
      <c r="D271" s="70"/>
      <c r="E271" s="70"/>
      <c r="I271" s="77"/>
      <c r="J271" s="77"/>
    </row>
    <row r="272" spans="4:10" ht="12.75">
      <c r="D272" s="70"/>
      <c r="E272" s="70"/>
      <c r="I272" s="77"/>
      <c r="J272" s="77"/>
    </row>
    <row r="273" spans="4:10" ht="12.75">
      <c r="D273" s="70"/>
      <c r="E273" s="70"/>
      <c r="I273" s="77"/>
      <c r="J273" s="77"/>
    </row>
    <row r="274" spans="4:10" ht="12.75">
      <c r="D274" s="70"/>
      <c r="E274" s="70"/>
      <c r="I274" s="77"/>
      <c r="J274" s="77"/>
    </row>
    <row r="275" spans="4:10" ht="12.75">
      <c r="D275" s="70"/>
      <c r="E275" s="70"/>
      <c r="I275" s="77"/>
      <c r="J275" s="77"/>
    </row>
    <row r="276" spans="4:10" ht="12.75">
      <c r="D276" s="70"/>
      <c r="E276" s="70"/>
      <c r="I276" s="77"/>
      <c r="J276" s="77"/>
    </row>
    <row r="277" spans="4:10" ht="12.75">
      <c r="D277" s="70"/>
      <c r="E277" s="70"/>
      <c r="I277" s="77"/>
      <c r="J277" s="77"/>
    </row>
    <row r="278" spans="4:10" ht="12.75">
      <c r="D278" s="70"/>
      <c r="E278" s="70"/>
      <c r="I278" s="77"/>
      <c r="J278" s="77"/>
    </row>
    <row r="279" spans="4:10" ht="12.75">
      <c r="D279" s="70"/>
      <c r="E279" s="70"/>
      <c r="I279" s="77"/>
      <c r="J279" s="77"/>
    </row>
    <row r="280" spans="4:10" ht="12.75">
      <c r="D280" s="70"/>
      <c r="E280" s="70"/>
      <c r="I280" s="77"/>
      <c r="J280" s="77"/>
    </row>
    <row r="281" spans="4:10" ht="12.75">
      <c r="D281" s="70"/>
      <c r="E281" s="70"/>
      <c r="I281" s="77"/>
      <c r="J281" s="77"/>
    </row>
    <row r="282" spans="4:10" ht="12.75">
      <c r="D282" s="70"/>
      <c r="E282" s="70"/>
      <c r="I282" s="77"/>
      <c r="J282" s="77"/>
    </row>
    <row r="283" spans="4:10" ht="12.75">
      <c r="D283" s="70"/>
      <c r="E283" s="70"/>
      <c r="I283" s="77"/>
      <c r="J283" s="77"/>
    </row>
    <row r="284" spans="4:10" ht="12.75">
      <c r="D284" s="70"/>
      <c r="E284" s="70"/>
      <c r="I284" s="77"/>
      <c r="J284" s="77"/>
    </row>
    <row r="285" spans="4:10" ht="12.75">
      <c r="D285" s="70"/>
      <c r="E285" s="70"/>
      <c r="I285" s="77"/>
      <c r="J285" s="77"/>
    </row>
    <row r="286" spans="4:10" ht="12.75">
      <c r="D286" s="70"/>
      <c r="E286" s="70"/>
      <c r="I286" s="77"/>
      <c r="J286" s="77"/>
    </row>
    <row r="287" spans="4:10" ht="12.75">
      <c r="D287" s="70"/>
      <c r="E287" s="70"/>
      <c r="I287" s="77"/>
      <c r="J287" s="77"/>
    </row>
    <row r="288" spans="4:10" ht="12.75">
      <c r="D288" s="70"/>
      <c r="E288" s="70"/>
      <c r="I288" s="77"/>
      <c r="J288" s="77"/>
    </row>
    <row r="289" spans="4:10" ht="12.75">
      <c r="D289" s="70"/>
      <c r="E289" s="70"/>
      <c r="I289" s="77"/>
      <c r="J289" s="77"/>
    </row>
    <row r="290" spans="4:10" ht="12.75">
      <c r="D290" s="70"/>
      <c r="E290" s="70"/>
      <c r="I290" s="77"/>
      <c r="J290" s="77"/>
    </row>
    <row r="291" spans="4:10" ht="12.75">
      <c r="D291" s="70"/>
      <c r="E291" s="70"/>
      <c r="I291" s="77"/>
      <c r="J291" s="77"/>
    </row>
    <row r="292" spans="4:10" ht="12.75">
      <c r="D292" s="70"/>
      <c r="E292" s="70"/>
      <c r="I292" s="77"/>
      <c r="J292" s="77"/>
    </row>
    <row r="293" spans="4:10" ht="12.75">
      <c r="D293" s="70"/>
      <c r="E293" s="70"/>
      <c r="I293" s="77"/>
      <c r="J293" s="77"/>
    </row>
    <row r="294" spans="4:10" ht="12.75">
      <c r="D294" s="70"/>
      <c r="E294" s="70"/>
      <c r="I294" s="77"/>
      <c r="J294" s="77"/>
    </row>
    <row r="295" spans="4:10" ht="12.75">
      <c r="D295" s="70"/>
      <c r="E295" s="70"/>
      <c r="I295" s="77"/>
      <c r="J295" s="77"/>
    </row>
    <row r="296" spans="4:10" ht="12.75">
      <c r="D296" s="70"/>
      <c r="E296" s="70"/>
      <c r="I296" s="77"/>
      <c r="J296" s="77"/>
    </row>
    <row r="297" spans="4:10" ht="12.75">
      <c r="D297" s="70"/>
      <c r="E297" s="70"/>
      <c r="I297" s="77"/>
      <c r="J297" s="77"/>
    </row>
    <row r="298" spans="4:10" ht="12.75">
      <c r="D298" s="70"/>
      <c r="E298" s="70"/>
      <c r="I298" s="77"/>
      <c r="J298" s="77"/>
    </row>
    <row r="299" spans="4:10" ht="12.75">
      <c r="D299" s="70"/>
      <c r="E299" s="70"/>
      <c r="I299" s="77"/>
      <c r="J299" s="77"/>
    </row>
    <row r="300" spans="4:10" ht="12.75">
      <c r="D300" s="70"/>
      <c r="E300" s="70"/>
      <c r="I300" s="77"/>
      <c r="J300" s="77"/>
    </row>
    <row r="301" spans="4:10" ht="12.75">
      <c r="D301" s="70"/>
      <c r="E301" s="70"/>
      <c r="I301" s="77"/>
      <c r="J301" s="77"/>
    </row>
    <row r="302" spans="4:10" ht="12.75">
      <c r="D302" s="70"/>
      <c r="E302" s="70"/>
      <c r="I302" s="77"/>
      <c r="J302" s="77"/>
    </row>
    <row r="303" spans="4:10" ht="12.75">
      <c r="D303" s="70"/>
      <c r="E303" s="70"/>
      <c r="I303" s="77"/>
      <c r="J303" s="77"/>
    </row>
    <row r="304" spans="4:10" ht="12.75">
      <c r="D304" s="70"/>
      <c r="E304" s="70"/>
      <c r="I304" s="77"/>
      <c r="J304" s="77"/>
    </row>
    <row r="305" spans="4:10" ht="12.75">
      <c r="D305" s="70"/>
      <c r="E305" s="70"/>
      <c r="I305" s="77"/>
      <c r="J305" s="77"/>
    </row>
    <row r="306" spans="4:10" ht="12.75">
      <c r="D306" s="70"/>
      <c r="E306" s="70"/>
      <c r="I306" s="77"/>
      <c r="J306" s="77"/>
    </row>
    <row r="307" spans="4:10" ht="12.75">
      <c r="D307" s="70"/>
      <c r="E307" s="70"/>
      <c r="I307" s="77"/>
      <c r="J307" s="77"/>
    </row>
    <row r="308" spans="4:10" ht="12.75">
      <c r="D308" s="70"/>
      <c r="E308" s="70"/>
      <c r="I308" s="77"/>
      <c r="J308" s="77"/>
    </row>
    <row r="309" spans="4:10" ht="12.75">
      <c r="D309" s="70"/>
      <c r="E309" s="70"/>
      <c r="I309" s="77"/>
      <c r="J309" s="77"/>
    </row>
    <row r="310" spans="4:10" ht="12.75">
      <c r="D310" s="70"/>
      <c r="E310" s="70"/>
      <c r="I310" s="77"/>
      <c r="J310" s="77"/>
    </row>
    <row r="311" spans="4:10" ht="12.75">
      <c r="D311" s="70"/>
      <c r="E311" s="70"/>
      <c r="I311" s="77"/>
      <c r="J311" s="77"/>
    </row>
    <row r="312" spans="4:10" ht="12.75">
      <c r="D312" s="70"/>
      <c r="E312" s="70"/>
      <c r="I312" s="77"/>
      <c r="J312" s="77"/>
    </row>
    <row r="313" spans="4:10" ht="12.75">
      <c r="D313" s="70"/>
      <c r="E313" s="70"/>
      <c r="I313" s="77"/>
      <c r="J313" s="77"/>
    </row>
    <row r="314" spans="4:10" ht="12.75">
      <c r="D314" s="70"/>
      <c r="E314" s="70"/>
      <c r="I314" s="77"/>
      <c r="J314" s="77"/>
    </row>
    <row r="315" spans="4:10" ht="12.75">
      <c r="D315" s="70"/>
      <c r="E315" s="70"/>
      <c r="I315" s="77"/>
      <c r="J315" s="77"/>
    </row>
    <row r="316" spans="4:10" ht="12.75">
      <c r="D316" s="70"/>
      <c r="E316" s="70"/>
      <c r="I316" s="77"/>
      <c r="J316" s="77"/>
    </row>
    <row r="317" spans="4:10" ht="12.75">
      <c r="D317" s="70"/>
      <c r="E317" s="70"/>
      <c r="I317" s="77"/>
      <c r="J317" s="77"/>
    </row>
    <row r="318" spans="4:10" ht="12.75">
      <c r="D318" s="70"/>
      <c r="E318" s="70"/>
      <c r="I318" s="77"/>
      <c r="J318" s="77"/>
    </row>
    <row r="319" spans="4:10" ht="12.75">
      <c r="D319" s="70"/>
      <c r="E319" s="70"/>
      <c r="I319" s="77"/>
      <c r="J319" s="77"/>
    </row>
    <row r="320" spans="4:10" ht="12.75">
      <c r="D320" s="70"/>
      <c r="E320" s="70"/>
      <c r="I320" s="77"/>
      <c r="J320" s="77"/>
    </row>
    <row r="321" spans="4:10" ht="12.75">
      <c r="D321" s="70"/>
      <c r="E321" s="70"/>
      <c r="I321" s="77"/>
      <c r="J321" s="77"/>
    </row>
    <row r="322" spans="4:10" ht="12.75">
      <c r="D322" s="70"/>
      <c r="E322" s="70"/>
      <c r="I322" s="77"/>
      <c r="J322" s="77"/>
    </row>
    <row r="323" spans="4:10" ht="12.75">
      <c r="D323" s="70"/>
      <c r="E323" s="70"/>
      <c r="I323" s="77"/>
      <c r="J323" s="77"/>
    </row>
    <row r="324" spans="4:10" ht="12.75">
      <c r="D324" s="70"/>
      <c r="E324" s="70"/>
      <c r="I324" s="77"/>
      <c r="J324" s="77"/>
    </row>
    <row r="325" spans="4:10" ht="12.75">
      <c r="D325" s="70"/>
      <c r="E325" s="70"/>
      <c r="I325" s="77"/>
      <c r="J325" s="77"/>
    </row>
    <row r="326" spans="4:10" ht="12.75">
      <c r="D326" s="70"/>
      <c r="E326" s="70"/>
      <c r="I326" s="77"/>
      <c r="J326" s="77"/>
    </row>
    <row r="327" spans="4:10" ht="12.75">
      <c r="D327" s="70"/>
      <c r="E327" s="70"/>
      <c r="I327" s="77"/>
      <c r="J327" s="77"/>
    </row>
    <row r="328" spans="4:10" ht="12.75">
      <c r="D328" s="70"/>
      <c r="E328" s="70"/>
      <c r="I328" s="77"/>
      <c r="J328" s="77"/>
    </row>
    <row r="329" spans="4:10" ht="12.75">
      <c r="D329" s="70"/>
      <c r="E329" s="70"/>
      <c r="I329" s="77"/>
      <c r="J329" s="77"/>
    </row>
    <row r="330" spans="4:10" ht="12.75">
      <c r="D330" s="70"/>
      <c r="E330" s="70"/>
      <c r="I330" s="77"/>
      <c r="J330" s="77"/>
    </row>
    <row r="331" spans="4:10" ht="12.75">
      <c r="D331" s="70"/>
      <c r="E331" s="70"/>
      <c r="I331" s="77"/>
      <c r="J331" s="77"/>
    </row>
    <row r="332" spans="4:10" ht="12.75">
      <c r="D332" s="70"/>
      <c r="E332" s="70"/>
      <c r="I332" s="77"/>
      <c r="J332" s="77"/>
    </row>
    <row r="333" spans="4:10" ht="12.75">
      <c r="D333" s="70"/>
      <c r="E333" s="70"/>
      <c r="I333" s="77"/>
      <c r="J333" s="77"/>
    </row>
    <row r="334" spans="4:10" ht="12.75">
      <c r="D334" s="70"/>
      <c r="E334" s="70"/>
      <c r="I334" s="77"/>
      <c r="J334" s="77"/>
    </row>
    <row r="335" spans="4:10" ht="12.75">
      <c r="D335" s="70"/>
      <c r="E335" s="70"/>
      <c r="I335" s="77"/>
      <c r="J335" s="77"/>
    </row>
    <row r="336" spans="4:10" ht="12.75">
      <c r="D336" s="70"/>
      <c r="E336" s="70"/>
      <c r="I336" s="77"/>
      <c r="J336" s="77"/>
    </row>
    <row r="337" spans="4:10" ht="12.75">
      <c r="D337" s="70"/>
      <c r="E337" s="70"/>
      <c r="I337" s="77"/>
      <c r="J337" s="77"/>
    </row>
    <row r="338" spans="4:10" ht="12.75">
      <c r="D338" s="70"/>
      <c r="E338" s="70"/>
      <c r="I338" s="77"/>
      <c r="J338" s="77"/>
    </row>
    <row r="339" spans="4:10" ht="12.75">
      <c r="D339" s="70"/>
      <c r="E339" s="70"/>
      <c r="I339" s="77"/>
      <c r="J339" s="77"/>
    </row>
    <row r="340" spans="4:10" ht="12.75">
      <c r="D340" s="70"/>
      <c r="E340" s="70"/>
      <c r="I340" s="77"/>
      <c r="J340" s="77"/>
    </row>
    <row r="341" spans="4:10" ht="12.75">
      <c r="D341" s="70"/>
      <c r="E341" s="70"/>
      <c r="I341" s="77"/>
      <c r="J341" s="77"/>
    </row>
    <row r="342" spans="4:10" ht="12.75">
      <c r="D342" s="70"/>
      <c r="E342" s="70"/>
      <c r="I342" s="77"/>
      <c r="J342" s="77"/>
    </row>
    <row r="343" spans="4:10" ht="12.75">
      <c r="D343" s="70"/>
      <c r="E343" s="70"/>
      <c r="I343" s="77"/>
      <c r="J343" s="77"/>
    </row>
    <row r="344" spans="4:10" ht="12.75">
      <c r="D344" s="70"/>
      <c r="E344" s="70"/>
      <c r="I344" s="77"/>
      <c r="J344" s="77"/>
    </row>
    <row r="345" spans="4:10" ht="12.75">
      <c r="D345" s="70"/>
      <c r="E345" s="70"/>
      <c r="I345" s="77"/>
      <c r="J345" s="77"/>
    </row>
    <row r="346" spans="4:10" ht="12.75">
      <c r="D346" s="70"/>
      <c r="E346" s="70"/>
      <c r="I346" s="77"/>
      <c r="J346" s="77"/>
    </row>
    <row r="347" spans="4:10" ht="12.75">
      <c r="D347" s="70"/>
      <c r="E347" s="70"/>
      <c r="I347" s="77"/>
      <c r="J347" s="77"/>
    </row>
    <row r="348" spans="4:10" ht="12.75">
      <c r="D348" s="70"/>
      <c r="E348" s="70"/>
      <c r="I348" s="77"/>
      <c r="J348" s="77"/>
    </row>
    <row r="349" spans="4:10" ht="12.75">
      <c r="D349" s="70"/>
      <c r="E349" s="70"/>
      <c r="I349" s="77"/>
      <c r="J349" s="77"/>
    </row>
    <row r="350" spans="4:10" ht="12.75">
      <c r="D350" s="70"/>
      <c r="E350" s="70"/>
      <c r="I350" s="77"/>
      <c r="J350" s="77"/>
    </row>
    <row r="351" spans="4:10" ht="12.75">
      <c r="D351" s="70"/>
      <c r="E351" s="70"/>
      <c r="I351" s="77"/>
      <c r="J351" s="77"/>
    </row>
    <row r="352" spans="4:10" ht="12.75">
      <c r="D352" s="70"/>
      <c r="E352" s="70"/>
      <c r="I352" s="77"/>
      <c r="J352" s="77"/>
    </row>
    <row r="353" spans="4:10" ht="12.75">
      <c r="D353" s="70"/>
      <c r="E353" s="70"/>
      <c r="I353" s="77"/>
      <c r="J353" s="77"/>
    </row>
    <row r="354" spans="4:10" ht="12.75">
      <c r="D354" s="70"/>
      <c r="E354" s="70"/>
      <c r="I354" s="77"/>
      <c r="J354" s="77"/>
    </row>
    <row r="355" spans="4:10" ht="12.75">
      <c r="D355" s="70"/>
      <c r="E355" s="70"/>
      <c r="I355" s="77"/>
      <c r="J355" s="77"/>
    </row>
    <row r="356" spans="4:10" ht="12.75">
      <c r="D356" s="70"/>
      <c r="E356" s="70"/>
      <c r="I356" s="77"/>
      <c r="J356" s="77"/>
    </row>
    <row r="357" spans="4:10" ht="12.75">
      <c r="D357" s="70"/>
      <c r="E357" s="70"/>
      <c r="I357" s="77"/>
      <c r="J357" s="77"/>
    </row>
    <row r="358" spans="4:10" ht="12.75">
      <c r="D358" s="70"/>
      <c r="E358" s="70"/>
      <c r="I358" s="77"/>
      <c r="J358" s="77"/>
    </row>
    <row r="359" spans="4:10" ht="12.75">
      <c r="D359" s="70"/>
      <c r="E359" s="70"/>
      <c r="I359" s="77"/>
      <c r="J359" s="77"/>
    </row>
    <row r="360" spans="4:10" ht="12.75">
      <c r="D360" s="70"/>
      <c r="E360" s="70"/>
      <c r="I360" s="77"/>
      <c r="J360" s="77"/>
    </row>
    <row r="361" spans="4:10" ht="12.75">
      <c r="D361" s="70"/>
      <c r="E361" s="70"/>
      <c r="I361" s="77"/>
      <c r="J361" s="77"/>
    </row>
    <row r="362" spans="4:10" ht="12.75">
      <c r="D362" s="70"/>
      <c r="E362" s="70"/>
      <c r="I362" s="77"/>
      <c r="J362" s="77"/>
    </row>
    <row r="363" spans="4:10" ht="12.75">
      <c r="D363" s="70"/>
      <c r="E363" s="70"/>
      <c r="I363" s="77"/>
      <c r="J363" s="77"/>
    </row>
    <row r="364" spans="4:10" ht="12.75">
      <c r="D364" s="70"/>
      <c r="E364" s="70"/>
      <c r="I364" s="77"/>
      <c r="J364" s="77"/>
    </row>
    <row r="365" spans="4:10" ht="12.75">
      <c r="D365" s="70"/>
      <c r="E365" s="70"/>
      <c r="I365" s="77"/>
      <c r="J365" s="77"/>
    </row>
    <row r="366" spans="4:10" ht="12.75">
      <c r="D366" s="70"/>
      <c r="E366" s="70"/>
      <c r="I366" s="77"/>
      <c r="J366" s="77"/>
    </row>
    <row r="367" spans="4:10" ht="12.75">
      <c r="D367" s="70"/>
      <c r="E367" s="70"/>
      <c r="I367" s="77"/>
      <c r="J367" s="77"/>
    </row>
    <row r="368" spans="4:10" ht="12.75">
      <c r="D368" s="70"/>
      <c r="E368" s="70"/>
      <c r="I368" s="77"/>
      <c r="J368" s="77"/>
    </row>
    <row r="369" spans="4:10" ht="12.75">
      <c r="D369" s="70"/>
      <c r="E369" s="70"/>
      <c r="I369" s="77"/>
      <c r="J369" s="77"/>
    </row>
    <row r="370" spans="4:10" ht="12.75">
      <c r="D370" s="70"/>
      <c r="E370" s="70"/>
      <c r="I370" s="77"/>
      <c r="J370" s="77"/>
    </row>
    <row r="371" spans="4:10" ht="12.75">
      <c r="D371" s="70"/>
      <c r="E371" s="70"/>
      <c r="I371" s="77"/>
      <c r="J371" s="77"/>
    </row>
    <row r="372" spans="4:10" ht="12.75">
      <c r="D372" s="70"/>
      <c r="E372" s="70"/>
      <c r="I372" s="77"/>
      <c r="J372" s="77"/>
    </row>
    <row r="373" spans="4:10" ht="12.75">
      <c r="D373" s="70"/>
      <c r="E373" s="70"/>
      <c r="I373" s="77"/>
      <c r="J373" s="77"/>
    </row>
    <row r="374" spans="4:10" ht="12.75">
      <c r="D374" s="70"/>
      <c r="E374" s="70"/>
      <c r="I374" s="77"/>
      <c r="J374" s="77"/>
    </row>
    <row r="375" spans="4:10" ht="12.75">
      <c r="D375" s="70"/>
      <c r="E375" s="70"/>
      <c r="I375" s="77"/>
      <c r="J375" s="77"/>
    </row>
    <row r="376" spans="4:10" ht="12.75">
      <c r="D376" s="70"/>
      <c r="E376" s="70"/>
      <c r="I376" s="77"/>
      <c r="J376" s="77"/>
    </row>
    <row r="377" spans="4:10" ht="12.75">
      <c r="D377" s="70"/>
      <c r="E377" s="70"/>
      <c r="I377" s="77"/>
      <c r="J377" s="77"/>
    </row>
    <row r="378" spans="4:10" ht="12.75">
      <c r="D378" s="70"/>
      <c r="E378" s="70"/>
      <c r="I378" s="77"/>
      <c r="J378" s="77"/>
    </row>
    <row r="379" spans="4:10" ht="12.75">
      <c r="D379" s="70"/>
      <c r="E379" s="70"/>
      <c r="I379" s="77"/>
      <c r="J379" s="77"/>
    </row>
    <row r="380" spans="4:10" ht="12.75">
      <c r="D380" s="70"/>
      <c r="E380" s="70"/>
      <c r="I380" s="77"/>
      <c r="J380" s="77"/>
    </row>
    <row r="381" spans="4:10" ht="12.75">
      <c r="D381" s="70"/>
      <c r="E381" s="70"/>
      <c r="I381" s="77"/>
      <c r="J381" s="77"/>
    </row>
    <row r="382" spans="4:10" ht="12.75">
      <c r="D382" s="70"/>
      <c r="E382" s="70"/>
      <c r="I382" s="77"/>
      <c r="J382" s="77"/>
    </row>
    <row r="383" spans="4:10" ht="12.75">
      <c r="D383" s="70"/>
      <c r="E383" s="70"/>
      <c r="I383" s="77"/>
      <c r="J383" s="77"/>
    </row>
    <row r="384" spans="4:10" ht="12.75">
      <c r="D384" s="70"/>
      <c r="E384" s="70"/>
      <c r="I384" s="77"/>
      <c r="J384" s="77"/>
    </row>
    <row r="385" spans="4:10" ht="12.75">
      <c r="D385" s="70"/>
      <c r="E385" s="70"/>
      <c r="I385" s="77"/>
      <c r="J385" s="77"/>
    </row>
    <row r="386" spans="4:10" ht="12.75">
      <c r="D386" s="70"/>
      <c r="E386" s="70"/>
      <c r="I386" s="77"/>
      <c r="J386" s="77"/>
    </row>
    <row r="387" spans="4:10" ht="12.75">
      <c r="D387" s="70"/>
      <c r="E387" s="70"/>
      <c r="I387" s="77"/>
      <c r="J387" s="77"/>
    </row>
    <row r="388" spans="4:10" ht="12.75">
      <c r="D388" s="70"/>
      <c r="E388" s="70"/>
      <c r="I388" s="77"/>
      <c r="J388" s="77"/>
    </row>
    <row r="389" spans="4:10" ht="12.75">
      <c r="D389" s="70"/>
      <c r="E389" s="70"/>
      <c r="I389" s="77"/>
      <c r="J389" s="77"/>
    </row>
    <row r="390" spans="4:10" ht="12.75">
      <c r="D390" s="70"/>
      <c r="E390" s="70"/>
      <c r="I390" s="77"/>
      <c r="J390" s="77"/>
    </row>
    <row r="391" spans="4:10" ht="12.75">
      <c r="D391" s="70"/>
      <c r="E391" s="70"/>
      <c r="I391" s="77"/>
      <c r="J391" s="77"/>
    </row>
    <row r="392" spans="4:10" ht="12.75">
      <c r="D392" s="70"/>
      <c r="E392" s="70"/>
      <c r="I392" s="77"/>
      <c r="J392" s="77"/>
    </row>
    <row r="393" spans="4:10" ht="12.75">
      <c r="D393" s="70"/>
      <c r="E393" s="70"/>
      <c r="I393" s="77"/>
      <c r="J393" s="77"/>
    </row>
    <row r="394" spans="4:10" ht="12.75">
      <c r="D394" s="70"/>
      <c r="E394" s="70"/>
      <c r="I394" s="77"/>
      <c r="J394" s="77"/>
    </row>
    <row r="395" spans="4:10" ht="12.75">
      <c r="D395" s="70"/>
      <c r="E395" s="70"/>
      <c r="I395" s="77"/>
      <c r="J395" s="77"/>
    </row>
    <row r="396" spans="4:10" ht="12.75">
      <c r="D396" s="70"/>
      <c r="E396" s="70"/>
      <c r="I396" s="77"/>
      <c r="J396" s="77"/>
    </row>
    <row r="397" spans="4:10" ht="12.75">
      <c r="D397" s="70"/>
      <c r="E397" s="70"/>
      <c r="I397" s="77"/>
      <c r="J397" s="77"/>
    </row>
    <row r="398" spans="4:10" ht="12.75">
      <c r="D398" s="70"/>
      <c r="E398" s="70"/>
      <c r="I398" s="77"/>
      <c r="J398" s="77"/>
    </row>
    <row r="399" spans="4:10" ht="12.75">
      <c r="D399" s="70"/>
      <c r="E399" s="70"/>
      <c r="I399" s="77"/>
      <c r="J399" s="77"/>
    </row>
    <row r="400" spans="4:10" ht="12.75">
      <c r="D400" s="70"/>
      <c r="E400" s="70"/>
      <c r="I400" s="77"/>
      <c r="J400" s="77"/>
    </row>
    <row r="401" spans="4:10" ht="12.75">
      <c r="D401" s="70"/>
      <c r="E401" s="70"/>
      <c r="I401" s="77"/>
      <c r="J401" s="77"/>
    </row>
    <row r="402" spans="4:10" ht="12.75">
      <c r="D402" s="70"/>
      <c r="E402" s="70"/>
      <c r="I402" s="77"/>
      <c r="J402" s="77"/>
    </row>
    <row r="403" spans="4:10" ht="12.75">
      <c r="D403" s="70"/>
      <c r="E403" s="70"/>
      <c r="I403" s="77"/>
      <c r="J403" s="77"/>
    </row>
    <row r="404" spans="4:10" ht="12.75">
      <c r="D404" s="70"/>
      <c r="E404" s="70"/>
      <c r="I404" s="77"/>
      <c r="J404" s="77"/>
    </row>
    <row r="405" spans="4:10" ht="12.75">
      <c r="D405" s="70"/>
      <c r="E405" s="70"/>
      <c r="I405" s="77"/>
      <c r="J405" s="77"/>
    </row>
    <row r="406" spans="4:10" ht="12.75">
      <c r="D406" s="70"/>
      <c r="E406" s="70"/>
      <c r="I406" s="77"/>
      <c r="J406" s="77"/>
    </row>
    <row r="407" spans="4:10" ht="12.75">
      <c r="D407" s="70"/>
      <c r="E407" s="70"/>
      <c r="I407" s="77"/>
      <c r="J407" s="77"/>
    </row>
    <row r="408" spans="4:10" ht="12.75">
      <c r="D408" s="70"/>
      <c r="E408" s="70"/>
      <c r="I408" s="77"/>
      <c r="J408" s="77"/>
    </row>
    <row r="409" spans="4:10" ht="12.75">
      <c r="D409" s="70"/>
      <c r="E409" s="70"/>
      <c r="I409" s="77"/>
      <c r="J409" s="77"/>
    </row>
    <row r="410" spans="4:10" ht="12.75">
      <c r="D410" s="70"/>
      <c r="E410" s="70"/>
      <c r="I410" s="77"/>
      <c r="J410" s="77"/>
    </row>
    <row r="411" spans="4:10" ht="12.75">
      <c r="D411" s="70"/>
      <c r="E411" s="70"/>
      <c r="I411" s="77"/>
      <c r="J411" s="77"/>
    </row>
    <row r="412" spans="4:10" ht="12.75">
      <c r="D412" s="70"/>
      <c r="E412" s="70"/>
      <c r="I412" s="77"/>
      <c r="J412" s="77"/>
    </row>
    <row r="413" spans="4:10" ht="12.75">
      <c r="D413" s="70"/>
      <c r="E413" s="70"/>
      <c r="I413" s="77"/>
      <c r="J413" s="77"/>
    </row>
    <row r="414" spans="4:10" ht="12.75">
      <c r="D414" s="70"/>
      <c r="E414" s="70"/>
      <c r="I414" s="77"/>
      <c r="J414" s="77"/>
    </row>
    <row r="415" spans="4:10" ht="12.75">
      <c r="D415" s="70"/>
      <c r="E415" s="70"/>
      <c r="I415" s="77"/>
      <c r="J415" s="77"/>
    </row>
    <row r="416" spans="4:10" ht="12.75">
      <c r="D416" s="70"/>
      <c r="E416" s="70"/>
      <c r="I416" s="77"/>
      <c r="J416" s="77"/>
    </row>
    <row r="417" spans="4:10" ht="12.75">
      <c r="D417" s="70"/>
      <c r="E417" s="70"/>
      <c r="I417" s="77"/>
      <c r="J417" s="77"/>
    </row>
    <row r="418" spans="4:10" ht="12.75">
      <c r="D418" s="70"/>
      <c r="E418" s="70"/>
      <c r="I418" s="77"/>
      <c r="J418" s="77"/>
    </row>
    <row r="419" spans="4:10" ht="12.75">
      <c r="D419" s="70"/>
      <c r="E419" s="70"/>
      <c r="I419" s="77"/>
      <c r="J419" s="77"/>
    </row>
    <row r="420" spans="4:10" ht="12.75">
      <c r="D420" s="70"/>
      <c r="E420" s="70"/>
      <c r="I420" s="77"/>
      <c r="J420" s="77"/>
    </row>
    <row r="421" spans="4:10" ht="12.75">
      <c r="D421" s="70"/>
      <c r="E421" s="70"/>
      <c r="I421" s="77"/>
      <c r="J421" s="77"/>
    </row>
    <row r="422" spans="4:10" ht="12.75">
      <c r="D422" s="70"/>
      <c r="E422" s="70"/>
      <c r="I422" s="77"/>
      <c r="J422" s="77"/>
    </row>
    <row r="423" spans="4:10" ht="12.75">
      <c r="D423" s="70"/>
      <c r="E423" s="70"/>
      <c r="I423" s="77"/>
      <c r="J423" s="77"/>
    </row>
    <row r="424" spans="4:10" ht="12.75">
      <c r="D424" s="70"/>
      <c r="E424" s="70"/>
      <c r="I424" s="77"/>
      <c r="J424" s="77"/>
    </row>
    <row r="425" spans="4:10" ht="12.75">
      <c r="D425" s="70"/>
      <c r="E425" s="70"/>
      <c r="I425" s="77"/>
      <c r="J425" s="77"/>
    </row>
    <row r="426" spans="4:10" ht="12.75">
      <c r="D426" s="70"/>
      <c r="E426" s="70"/>
      <c r="I426" s="77"/>
      <c r="J426" s="77"/>
    </row>
    <row r="427" spans="4:10" ht="12.75">
      <c r="D427" s="70"/>
      <c r="E427" s="70"/>
      <c r="I427" s="77"/>
      <c r="J427" s="77"/>
    </row>
    <row r="428" spans="4:10" ht="12.75">
      <c r="D428" s="70"/>
      <c r="E428" s="70"/>
      <c r="I428" s="77"/>
      <c r="J428" s="77"/>
    </row>
    <row r="429" spans="4:10" ht="12.75">
      <c r="D429" s="70"/>
      <c r="E429" s="70"/>
      <c r="I429" s="77"/>
      <c r="J429" s="77"/>
    </row>
    <row r="430" spans="4:10" ht="12.75">
      <c r="D430" s="70"/>
      <c r="E430" s="70"/>
      <c r="I430" s="77"/>
      <c r="J430" s="77"/>
    </row>
    <row r="431" spans="4:10" ht="12.75">
      <c r="D431" s="70"/>
      <c r="E431" s="70"/>
      <c r="I431" s="77"/>
      <c r="J431" s="77"/>
    </row>
    <row r="432" spans="4:10" ht="12.75">
      <c r="D432" s="70"/>
      <c r="E432" s="70"/>
      <c r="I432" s="77"/>
      <c r="J432" s="77"/>
    </row>
    <row r="433" spans="4:10" ht="12.75">
      <c r="D433" s="70"/>
      <c r="E433" s="70"/>
      <c r="I433" s="77"/>
      <c r="J433" s="77"/>
    </row>
    <row r="434" spans="4:10" ht="12.75">
      <c r="D434" s="70"/>
      <c r="E434" s="70"/>
      <c r="I434" s="77"/>
      <c r="J434" s="77"/>
    </row>
    <row r="435" spans="4:10" ht="12.75">
      <c r="D435" s="70"/>
      <c r="E435" s="70"/>
      <c r="I435" s="77"/>
      <c r="J435" s="77"/>
    </row>
    <row r="436" spans="4:10" ht="12.75">
      <c r="D436" s="70"/>
      <c r="E436" s="70"/>
      <c r="I436" s="77"/>
      <c r="J436" s="77"/>
    </row>
    <row r="437" spans="4:10" ht="12.75">
      <c r="D437" s="70"/>
      <c r="E437" s="70"/>
      <c r="I437" s="77"/>
      <c r="J437" s="77"/>
    </row>
    <row r="438" spans="4:10" ht="12.75">
      <c r="D438" s="70"/>
      <c r="E438" s="70"/>
      <c r="I438" s="77"/>
      <c r="J438" s="77"/>
    </row>
    <row r="439" spans="4:10" ht="12.75">
      <c r="D439" s="70"/>
      <c r="E439" s="70"/>
      <c r="I439" s="77"/>
      <c r="J439" s="77"/>
    </row>
    <row r="440" spans="4:10" ht="12.75">
      <c r="D440" s="70"/>
      <c r="E440" s="70"/>
      <c r="I440" s="77"/>
      <c r="J440" s="77"/>
    </row>
    <row r="441" spans="4:10" ht="12.75">
      <c r="D441" s="70"/>
      <c r="E441" s="70"/>
      <c r="I441" s="77"/>
      <c r="J441" s="77"/>
    </row>
    <row r="442" spans="4:10" ht="12.75">
      <c r="D442" s="70"/>
      <c r="E442" s="70"/>
      <c r="I442" s="77"/>
      <c r="J442" s="77"/>
    </row>
    <row r="443" spans="4:10" ht="12.75">
      <c r="D443" s="70"/>
      <c r="E443" s="70"/>
      <c r="I443" s="77"/>
      <c r="J443" s="77"/>
    </row>
    <row r="444" spans="4:10" ht="12.75">
      <c r="D444" s="70"/>
      <c r="E444" s="70"/>
      <c r="I444" s="77"/>
      <c r="J444" s="77"/>
    </row>
    <row r="445" spans="4:10" ht="12.75">
      <c r="D445" s="70"/>
      <c r="E445" s="70"/>
      <c r="I445" s="77"/>
      <c r="J445" s="77"/>
    </row>
    <row r="446" spans="4:10" ht="12.75">
      <c r="D446" s="70"/>
      <c r="E446" s="70"/>
      <c r="I446" s="77"/>
      <c r="J446" s="77"/>
    </row>
    <row r="447" spans="4:10" ht="12.75">
      <c r="D447" s="70"/>
      <c r="E447" s="70"/>
      <c r="I447" s="77"/>
      <c r="J447" s="77"/>
    </row>
    <row r="448" spans="4:10" ht="12.75">
      <c r="D448" s="70"/>
      <c r="E448" s="70"/>
      <c r="I448" s="77"/>
      <c r="J448" s="77"/>
    </row>
    <row r="449" spans="4:10" ht="12.75">
      <c r="D449" s="70"/>
      <c r="E449" s="70"/>
      <c r="I449" s="77"/>
      <c r="J449" s="77"/>
    </row>
    <row r="450" spans="4:10" ht="12.75">
      <c r="D450" s="70"/>
      <c r="E450" s="70"/>
      <c r="I450" s="77"/>
      <c r="J450" s="77"/>
    </row>
    <row r="451" spans="4:10" ht="12.75">
      <c r="D451" s="70"/>
      <c r="E451" s="70"/>
      <c r="I451" s="77"/>
      <c r="J451" s="77"/>
    </row>
    <row r="452" spans="4:10" ht="12.75">
      <c r="D452" s="70"/>
      <c r="E452" s="70"/>
      <c r="I452" s="77"/>
      <c r="J452" s="77"/>
    </row>
    <row r="453" spans="4:10" ht="12.75">
      <c r="D453" s="70"/>
      <c r="E453" s="70"/>
      <c r="I453" s="77"/>
      <c r="J453" s="77"/>
    </row>
    <row r="454" spans="4:10" ht="12.75">
      <c r="D454" s="70"/>
      <c r="E454" s="70"/>
      <c r="I454" s="77"/>
      <c r="J454" s="77"/>
    </row>
    <row r="455" spans="4:10" ht="12.75">
      <c r="D455" s="70"/>
      <c r="E455" s="70"/>
      <c r="I455" s="77"/>
      <c r="J455" s="77"/>
    </row>
    <row r="456" spans="4:10" ht="12.75">
      <c r="D456" s="70"/>
      <c r="E456" s="70"/>
      <c r="I456" s="77"/>
      <c r="J456" s="77"/>
    </row>
    <row r="457" spans="4:10" ht="12.75">
      <c r="D457" s="70"/>
      <c r="E457" s="70"/>
      <c r="I457" s="77"/>
      <c r="J457" s="77"/>
    </row>
    <row r="458" spans="4:10" ht="12.75">
      <c r="D458" s="70"/>
      <c r="E458" s="70"/>
      <c r="I458" s="77"/>
      <c r="J458" s="77"/>
    </row>
    <row r="459" spans="4:10" ht="12.75">
      <c r="D459" s="70"/>
      <c r="E459" s="70"/>
      <c r="I459" s="77"/>
      <c r="J459" s="77"/>
    </row>
    <row r="460" spans="4:10" ht="12.75">
      <c r="D460" s="70"/>
      <c r="E460" s="70"/>
      <c r="I460" s="77"/>
      <c r="J460" s="77"/>
    </row>
    <row r="461" spans="4:10" ht="12.75">
      <c r="D461" s="70"/>
      <c r="E461" s="70"/>
      <c r="I461" s="77"/>
      <c r="J461" s="77"/>
    </row>
    <row r="462" spans="4:10" ht="12.75">
      <c r="D462" s="70"/>
      <c r="E462" s="70"/>
      <c r="I462" s="77"/>
      <c r="J462" s="77"/>
    </row>
    <row r="463" spans="4:10" ht="12.75">
      <c r="D463" s="70"/>
      <c r="E463" s="70"/>
      <c r="I463" s="77"/>
      <c r="J463" s="77"/>
    </row>
    <row r="464" spans="4:10" ht="12.75">
      <c r="D464" s="70"/>
      <c r="E464" s="70"/>
      <c r="I464" s="77"/>
      <c r="J464" s="77"/>
    </row>
    <row r="465" spans="4:10" ht="12.75">
      <c r="D465" s="70"/>
      <c r="E465" s="70"/>
      <c r="I465" s="77"/>
      <c r="J465" s="77"/>
    </row>
    <row r="466" spans="4:10" ht="12.75">
      <c r="D466" s="70"/>
      <c r="E466" s="70"/>
      <c r="I466" s="77"/>
      <c r="J466" s="77"/>
    </row>
    <row r="467" spans="4:10" ht="12.75">
      <c r="D467" s="70"/>
      <c r="E467" s="70"/>
      <c r="I467" s="77"/>
      <c r="J467" s="77"/>
    </row>
    <row r="468" spans="4:10" ht="12.75">
      <c r="D468" s="70"/>
      <c r="E468" s="70"/>
      <c r="I468" s="77"/>
      <c r="J468" s="77"/>
    </row>
    <row r="469" spans="4:10" ht="12.75">
      <c r="D469" s="70"/>
      <c r="E469" s="70"/>
      <c r="I469" s="77"/>
      <c r="J469" s="77"/>
    </row>
    <row r="470" spans="4:10" ht="12.75">
      <c r="D470" s="70"/>
      <c r="E470" s="70"/>
      <c r="I470" s="77"/>
      <c r="J470" s="77"/>
    </row>
    <row r="471" spans="4:10" ht="12.75">
      <c r="D471" s="70"/>
      <c r="E471" s="70"/>
      <c r="I471" s="77"/>
      <c r="J471" s="77"/>
    </row>
    <row r="472" spans="4:10" ht="12.75">
      <c r="D472" s="70"/>
      <c r="E472" s="70"/>
      <c r="I472" s="77"/>
      <c r="J472" s="77"/>
    </row>
    <row r="473" spans="4:10" ht="12.75">
      <c r="D473" s="70"/>
      <c r="E473" s="70"/>
      <c r="I473" s="77"/>
      <c r="J473" s="77"/>
    </row>
    <row r="474" spans="4:10" ht="12.75">
      <c r="D474" s="70"/>
      <c r="E474" s="70"/>
      <c r="I474" s="77"/>
      <c r="J474" s="77"/>
    </row>
    <row r="475" spans="4:10" ht="12.75">
      <c r="D475" s="70"/>
      <c r="E475" s="70"/>
      <c r="I475" s="77"/>
      <c r="J475" s="77"/>
    </row>
    <row r="476" spans="4:10" ht="12.75">
      <c r="D476" s="70"/>
      <c r="E476" s="70"/>
      <c r="I476" s="77"/>
      <c r="J476" s="77"/>
    </row>
    <row r="477" spans="4:10" ht="12.75">
      <c r="D477" s="70"/>
      <c r="E477" s="70"/>
      <c r="I477" s="77"/>
      <c r="J477" s="77"/>
    </row>
    <row r="478" spans="4:10" ht="12.75">
      <c r="D478" s="70"/>
      <c r="E478" s="70"/>
      <c r="I478" s="77"/>
      <c r="J478" s="77"/>
    </row>
    <row r="479" spans="4:10" ht="12.75">
      <c r="D479" s="70"/>
      <c r="E479" s="70"/>
      <c r="I479" s="77"/>
      <c r="J479" s="77"/>
    </row>
    <row r="480" spans="4:10" ht="12.75">
      <c r="D480" s="70"/>
      <c r="E480" s="70"/>
      <c r="I480" s="77"/>
      <c r="J480" s="77"/>
    </row>
    <row r="481" spans="4:10" ht="12.75">
      <c r="D481" s="70"/>
      <c r="E481" s="70"/>
      <c r="I481" s="77"/>
      <c r="J481" s="77"/>
    </row>
    <row r="482" spans="4:10" ht="12.75">
      <c r="D482" s="70"/>
      <c r="E482" s="70"/>
      <c r="I482" s="77"/>
      <c r="J482" s="77"/>
    </row>
    <row r="483" spans="4:10" ht="12.75">
      <c r="D483" s="70"/>
      <c r="E483" s="70"/>
      <c r="I483" s="77"/>
      <c r="J483" s="77"/>
    </row>
    <row r="484" spans="4:10" ht="12.75">
      <c r="D484" s="70"/>
      <c r="E484" s="70"/>
      <c r="I484" s="77"/>
      <c r="J484" s="77"/>
    </row>
    <row r="485" spans="4:10" ht="12.75">
      <c r="D485" s="70"/>
      <c r="E485" s="70"/>
      <c r="I485" s="77"/>
      <c r="J485" s="77"/>
    </row>
    <row r="486" spans="4:10" ht="12.75">
      <c r="D486" s="70"/>
      <c r="E486" s="70"/>
      <c r="I486" s="77"/>
      <c r="J486" s="77"/>
    </row>
    <row r="487" spans="4:10" ht="12.75">
      <c r="D487" s="70"/>
      <c r="E487" s="70"/>
      <c r="I487" s="77"/>
      <c r="J487" s="77"/>
    </row>
    <row r="488" spans="4:10" ht="12.75">
      <c r="D488" s="70"/>
      <c r="E488" s="70"/>
      <c r="I488" s="77"/>
      <c r="J488" s="77"/>
    </row>
    <row r="489" spans="4:10" ht="12.75">
      <c r="D489" s="70"/>
      <c r="E489" s="70"/>
      <c r="I489" s="77"/>
      <c r="J489" s="77"/>
    </row>
    <row r="490" spans="4:10" ht="12.75">
      <c r="D490" s="70"/>
      <c r="E490" s="70"/>
      <c r="I490" s="77"/>
      <c r="J490" s="77"/>
    </row>
    <row r="491" spans="4:10" ht="12.75">
      <c r="D491" s="70"/>
      <c r="E491" s="70"/>
      <c r="I491" s="77"/>
      <c r="J491" s="77"/>
    </row>
    <row r="492" spans="4:10" ht="12.75">
      <c r="D492" s="70"/>
      <c r="E492" s="70"/>
      <c r="I492" s="77"/>
      <c r="J492" s="77"/>
    </row>
    <row r="493" spans="4:10" ht="12.75">
      <c r="D493" s="70"/>
      <c r="E493" s="70"/>
      <c r="I493" s="77"/>
      <c r="J493" s="77"/>
    </row>
    <row r="494" spans="4:10" ht="12.75">
      <c r="D494" s="70"/>
      <c r="E494" s="70"/>
      <c r="I494" s="77"/>
      <c r="J494" s="77"/>
    </row>
    <row r="495" spans="4:10" ht="12.75">
      <c r="D495" s="70"/>
      <c r="E495" s="70"/>
      <c r="I495" s="77"/>
      <c r="J495" s="77"/>
    </row>
    <row r="496" spans="4:10" ht="12.75">
      <c r="D496" s="70"/>
      <c r="E496" s="70"/>
      <c r="I496" s="77"/>
      <c r="J496" s="77"/>
    </row>
    <row r="497" spans="4:10" ht="12.75">
      <c r="D497" s="70"/>
      <c r="E497" s="70"/>
      <c r="I497" s="77"/>
      <c r="J497" s="77"/>
    </row>
    <row r="498" spans="4:10" ht="12.75">
      <c r="D498" s="70"/>
      <c r="E498" s="70"/>
      <c r="I498" s="77"/>
      <c r="J498" s="77"/>
    </row>
    <row r="499" spans="4:10" ht="12.75">
      <c r="D499" s="70"/>
      <c r="E499" s="70"/>
      <c r="I499" s="77"/>
      <c r="J499" s="77"/>
    </row>
    <row r="500" spans="4:10" ht="12.75">
      <c r="D500" s="70"/>
      <c r="E500" s="70"/>
      <c r="I500" s="77"/>
      <c r="J500" s="77"/>
    </row>
    <row r="501" spans="4:10" ht="12.75">
      <c r="D501" s="70"/>
      <c r="E501" s="70"/>
      <c r="I501" s="77"/>
      <c r="J501" s="77"/>
    </row>
    <row r="502" spans="4:10" ht="12.75">
      <c r="D502" s="70"/>
      <c r="E502" s="70"/>
      <c r="I502" s="77"/>
      <c r="J502" s="77"/>
    </row>
    <row r="503" spans="4:10" ht="12.75">
      <c r="D503" s="70"/>
      <c r="E503" s="70"/>
      <c r="I503" s="77"/>
      <c r="J503" s="77"/>
    </row>
    <row r="504" spans="4:10" ht="12.75">
      <c r="D504" s="70"/>
      <c r="E504" s="70"/>
      <c r="I504" s="77"/>
      <c r="J504" s="77"/>
    </row>
    <row r="505" spans="4:10" ht="12.75">
      <c r="D505" s="70"/>
      <c r="E505" s="70"/>
      <c r="I505" s="77"/>
      <c r="J505" s="77"/>
    </row>
    <row r="506" spans="4:10" ht="12.75">
      <c r="D506" s="70"/>
      <c r="E506" s="70"/>
      <c r="I506" s="77"/>
      <c r="J506" s="77"/>
    </row>
    <row r="507" spans="4:10" ht="12.75">
      <c r="D507" s="70"/>
      <c r="E507" s="70"/>
      <c r="I507" s="77"/>
      <c r="J507" s="77"/>
    </row>
    <row r="508" spans="4:10" ht="12.75">
      <c r="D508" s="70"/>
      <c r="E508" s="70"/>
      <c r="I508" s="77"/>
      <c r="J508" s="77"/>
    </row>
    <row r="509" spans="4:10" ht="12.75">
      <c r="D509" s="70"/>
      <c r="E509" s="70"/>
      <c r="I509" s="77"/>
      <c r="J509" s="77"/>
    </row>
    <row r="510" spans="4:10" ht="12.75">
      <c r="D510" s="70"/>
      <c r="E510" s="70"/>
      <c r="I510" s="77"/>
      <c r="J510" s="77"/>
    </row>
    <row r="511" spans="4:10" ht="12.75">
      <c r="D511" s="70"/>
      <c r="E511" s="70"/>
      <c r="I511" s="77"/>
      <c r="J511" s="77"/>
    </row>
    <row r="512" spans="4:10" ht="12.75">
      <c r="D512" s="70"/>
      <c r="E512" s="70"/>
      <c r="I512" s="77"/>
      <c r="J512" s="77"/>
    </row>
    <row r="513" spans="4:10" ht="12.75">
      <c r="D513" s="70"/>
      <c r="E513" s="70"/>
      <c r="I513" s="77"/>
      <c r="J513" s="77"/>
    </row>
    <row r="514" spans="4:10" ht="12.75">
      <c r="D514" s="70"/>
      <c r="E514" s="70"/>
      <c r="I514" s="77"/>
      <c r="J514" s="77"/>
    </row>
    <row r="515" spans="4:10" ht="12.75">
      <c r="D515" s="70"/>
      <c r="E515" s="70"/>
      <c r="I515" s="77"/>
      <c r="J515" s="77"/>
    </row>
    <row r="516" spans="4:10" ht="12.75">
      <c r="D516" s="70"/>
      <c r="E516" s="70"/>
      <c r="I516" s="77"/>
      <c r="J516" s="77"/>
    </row>
    <row r="517" spans="4:10" ht="12.75">
      <c r="D517" s="70"/>
      <c r="E517" s="70"/>
      <c r="I517" s="77"/>
      <c r="J517" s="77"/>
    </row>
    <row r="518" spans="4:10" ht="12.75">
      <c r="D518" s="70"/>
      <c r="E518" s="70"/>
      <c r="I518" s="77"/>
      <c r="J518" s="77"/>
    </row>
    <row r="519" spans="4:10" ht="12.75">
      <c r="D519" s="70"/>
      <c r="E519" s="70"/>
      <c r="I519" s="77"/>
      <c r="J519" s="77"/>
    </row>
    <row r="520" spans="4:10" ht="12.75">
      <c r="D520" s="70"/>
      <c r="E520" s="70"/>
      <c r="I520" s="77"/>
      <c r="J520" s="77"/>
    </row>
    <row r="521" spans="4:10" ht="12.75">
      <c r="D521" s="70"/>
      <c r="E521" s="70"/>
      <c r="I521" s="77"/>
      <c r="J521" s="77"/>
    </row>
    <row r="522" spans="4:10" ht="12.75">
      <c r="D522" s="70"/>
      <c r="E522" s="70"/>
      <c r="I522" s="77"/>
      <c r="J522" s="77"/>
    </row>
    <row r="523" spans="4:10" ht="12.75">
      <c r="D523" s="70"/>
      <c r="E523" s="70"/>
      <c r="I523" s="77"/>
      <c r="J523" s="77"/>
    </row>
    <row r="524" spans="4:10" ht="12.75">
      <c r="D524" s="70"/>
      <c r="E524" s="70"/>
      <c r="I524" s="77"/>
      <c r="J524" s="77"/>
    </row>
    <row r="525" spans="4:10" ht="12.75">
      <c r="D525" s="70"/>
      <c r="E525" s="70"/>
      <c r="I525" s="77"/>
      <c r="J525" s="77"/>
    </row>
    <row r="526" spans="4:10" ht="12.75">
      <c r="D526" s="70"/>
      <c r="E526" s="70"/>
      <c r="I526" s="77"/>
      <c r="J526" s="77"/>
    </row>
    <row r="527" spans="4:10" ht="12.75">
      <c r="D527" s="70"/>
      <c r="E527" s="70"/>
      <c r="I527" s="77"/>
      <c r="J527" s="77"/>
    </row>
    <row r="528" spans="4:10" ht="12.75">
      <c r="D528" s="70"/>
      <c r="E528" s="70"/>
      <c r="I528" s="77"/>
      <c r="J528" s="77"/>
    </row>
    <row r="529" spans="4:10" ht="12.75">
      <c r="D529" s="70"/>
      <c r="E529" s="70"/>
      <c r="I529" s="77"/>
      <c r="J529" s="77"/>
    </row>
    <row r="530" spans="4:10" ht="12.75">
      <c r="D530" s="70"/>
      <c r="E530" s="70"/>
      <c r="I530" s="77"/>
      <c r="J530" s="77"/>
    </row>
    <row r="531" spans="4:10" ht="12.75">
      <c r="D531" s="70"/>
      <c r="E531" s="70"/>
      <c r="I531" s="77"/>
      <c r="J531" s="77"/>
    </row>
    <row r="532" spans="4:10" ht="12.75">
      <c r="D532" s="70"/>
      <c r="E532" s="70"/>
      <c r="I532" s="77"/>
      <c r="J532" s="77"/>
    </row>
    <row r="533" spans="4:10" ht="12.75">
      <c r="D533" s="70"/>
      <c r="E533" s="70"/>
      <c r="I533" s="77"/>
      <c r="J533" s="77"/>
    </row>
    <row r="534" spans="4:10" ht="12.75">
      <c r="D534" s="70"/>
      <c r="E534" s="70"/>
      <c r="I534" s="77"/>
      <c r="J534" s="77"/>
    </row>
    <row r="535" spans="4:10" ht="12.75">
      <c r="D535" s="70"/>
      <c r="E535" s="70"/>
      <c r="I535" s="77"/>
      <c r="J535" s="77"/>
    </row>
    <row r="536" spans="4:10" ht="12.75">
      <c r="D536" s="70"/>
      <c r="E536" s="70"/>
      <c r="I536" s="77"/>
      <c r="J536" s="77"/>
    </row>
    <row r="537" spans="4:10" ht="12.75">
      <c r="D537" s="70"/>
      <c r="E537" s="70"/>
      <c r="I537" s="77"/>
      <c r="J537" s="77"/>
    </row>
    <row r="538" spans="4:10" ht="12.75">
      <c r="D538" s="70"/>
      <c r="E538" s="70"/>
      <c r="I538" s="77"/>
      <c r="J538" s="77"/>
    </row>
    <row r="539" spans="4:10" ht="12.75">
      <c r="D539" s="70"/>
      <c r="E539" s="70"/>
      <c r="I539" s="77"/>
      <c r="J539" s="77"/>
    </row>
    <row r="540" spans="4:10" ht="12.75">
      <c r="D540" s="70"/>
      <c r="E540" s="70"/>
      <c r="I540" s="77"/>
      <c r="J540" s="77"/>
    </row>
    <row r="541" spans="4:10" ht="12.75">
      <c r="D541" s="70"/>
      <c r="E541" s="70"/>
      <c r="I541" s="77"/>
      <c r="J541" s="77"/>
    </row>
    <row r="542" spans="4:10" ht="12.75">
      <c r="D542" s="70"/>
      <c r="E542" s="70"/>
      <c r="I542" s="77"/>
      <c r="J542" s="77"/>
    </row>
    <row r="543" spans="4:10" ht="12.75">
      <c r="D543" s="70"/>
      <c r="E543" s="70"/>
      <c r="I543" s="77"/>
      <c r="J543" s="77"/>
    </row>
    <row r="544" spans="4:10" ht="12.75">
      <c r="D544" s="70"/>
      <c r="E544" s="70"/>
      <c r="I544" s="77"/>
      <c r="J544" s="77"/>
    </row>
    <row r="545" spans="4:10" ht="12.75">
      <c r="D545" s="70"/>
      <c r="E545" s="70"/>
      <c r="I545" s="77"/>
      <c r="J545" s="77"/>
    </row>
    <row r="546" spans="4:10" ht="12.75">
      <c r="D546" s="70"/>
      <c r="E546" s="70"/>
      <c r="I546" s="77"/>
      <c r="J546" s="77"/>
    </row>
    <row r="547" spans="4:10" ht="12.75">
      <c r="D547" s="70"/>
      <c r="E547" s="70"/>
      <c r="I547" s="77"/>
      <c r="J547" s="77"/>
    </row>
    <row r="548" spans="4:10" ht="12.75">
      <c r="D548" s="70"/>
      <c r="E548" s="70"/>
      <c r="I548" s="77"/>
      <c r="J548" s="77"/>
    </row>
    <row r="549" spans="4:10" ht="12.75">
      <c r="D549" s="70"/>
      <c r="E549" s="70"/>
      <c r="I549" s="77"/>
      <c r="J549" s="77"/>
    </row>
    <row r="550" spans="4:10" ht="12.75">
      <c r="D550" s="70"/>
      <c r="E550" s="70"/>
      <c r="I550" s="77"/>
      <c r="J550" s="77"/>
    </row>
    <row r="551" spans="4:10" ht="12.75">
      <c r="D551" s="70"/>
      <c r="E551" s="70"/>
      <c r="I551" s="77"/>
      <c r="J551" s="77"/>
    </row>
    <row r="552" spans="4:10" ht="12.75">
      <c r="D552" s="70"/>
      <c r="E552" s="70"/>
      <c r="I552" s="77"/>
      <c r="J552" s="77"/>
    </row>
    <row r="553" spans="4:10" ht="12.75">
      <c r="D553" s="70"/>
      <c r="E553" s="70"/>
      <c r="I553" s="77"/>
      <c r="J553" s="77"/>
    </row>
    <row r="554" spans="4:10" ht="12.75">
      <c r="D554" s="70"/>
      <c r="E554" s="70"/>
      <c r="I554" s="77"/>
      <c r="J554" s="77"/>
    </row>
    <row r="555" spans="4:10" ht="12.75">
      <c r="D555" s="70"/>
      <c r="E555" s="70"/>
      <c r="I555" s="77"/>
      <c r="J555" s="77"/>
    </row>
    <row r="556" spans="4:10" ht="12.75">
      <c r="D556" s="70"/>
      <c r="E556" s="70"/>
      <c r="I556" s="77"/>
      <c r="J556" s="77"/>
    </row>
    <row r="557" spans="4:10" ht="12.75">
      <c r="D557" s="70"/>
      <c r="E557" s="70"/>
      <c r="I557" s="77"/>
      <c r="J557" s="77"/>
    </row>
    <row r="558" spans="4:10" ht="12.75">
      <c r="D558" s="70"/>
      <c r="E558" s="70"/>
      <c r="I558" s="77"/>
      <c r="J558" s="77"/>
    </row>
    <row r="559" spans="4:10" ht="12.75">
      <c r="D559" s="70"/>
      <c r="E559" s="70"/>
      <c r="I559" s="77"/>
      <c r="J559" s="77"/>
    </row>
    <row r="560" spans="4:10" ht="12.75">
      <c r="D560" s="70"/>
      <c r="E560" s="70"/>
      <c r="I560" s="77"/>
      <c r="J560" s="77"/>
    </row>
    <row r="561" spans="4:10" ht="12.75">
      <c r="D561" s="70"/>
      <c r="E561" s="70"/>
      <c r="I561" s="77"/>
      <c r="J561" s="77"/>
    </row>
    <row r="562" spans="4:10" ht="12.75">
      <c r="D562" s="70"/>
      <c r="E562" s="70"/>
      <c r="I562" s="77"/>
      <c r="J562" s="77"/>
    </row>
    <row r="563" spans="4:10" ht="12.75">
      <c r="D563" s="70"/>
      <c r="E563" s="70"/>
      <c r="I563" s="77"/>
      <c r="J563" s="77"/>
    </row>
    <row r="564" spans="4:10" ht="12.75">
      <c r="D564" s="70"/>
      <c r="E564" s="70"/>
      <c r="I564" s="77"/>
      <c r="J564" s="77"/>
    </row>
    <row r="565" spans="4:10" ht="12.75">
      <c r="D565" s="70"/>
      <c r="E565" s="70"/>
      <c r="I565" s="77"/>
      <c r="J565" s="77"/>
    </row>
    <row r="566" spans="4:10" ht="12.75">
      <c r="D566" s="70"/>
      <c r="E566" s="70"/>
      <c r="I566" s="77"/>
      <c r="J566" s="77"/>
    </row>
    <row r="567" spans="4:10" ht="12.75">
      <c r="D567" s="70"/>
      <c r="E567" s="70"/>
      <c r="I567" s="77"/>
      <c r="J567" s="77"/>
    </row>
    <row r="568" spans="4:10" ht="12.75">
      <c r="D568" s="70"/>
      <c r="E568" s="70"/>
      <c r="I568" s="77"/>
      <c r="J568" s="77"/>
    </row>
    <row r="569" spans="4:10" ht="12.75">
      <c r="D569" s="70"/>
      <c r="E569" s="70"/>
      <c r="I569" s="77"/>
      <c r="J569" s="77"/>
    </row>
    <row r="570" spans="4:10" ht="12.75">
      <c r="D570" s="70"/>
      <c r="E570" s="70"/>
      <c r="I570" s="77"/>
      <c r="J570" s="77"/>
    </row>
    <row r="571" spans="4:10" ht="12.75">
      <c r="D571" s="70"/>
      <c r="E571" s="70"/>
      <c r="I571" s="77"/>
      <c r="J571" s="77"/>
    </row>
    <row r="572" spans="4:10" ht="12.75">
      <c r="D572" s="70"/>
      <c r="E572" s="70"/>
      <c r="I572" s="77"/>
      <c r="J572" s="77"/>
    </row>
    <row r="573" spans="4:10" ht="12.75">
      <c r="D573" s="70"/>
      <c r="E573" s="70"/>
      <c r="I573" s="77"/>
      <c r="J573" s="77"/>
    </row>
    <row r="574" spans="4:10" ht="12.75">
      <c r="D574" s="70"/>
      <c r="E574" s="70"/>
      <c r="I574" s="77"/>
      <c r="J574" s="77"/>
    </row>
    <row r="575" spans="4:10" ht="12.75">
      <c r="D575" s="70"/>
      <c r="E575" s="70"/>
      <c r="I575" s="77"/>
      <c r="J575" s="77"/>
    </row>
    <row r="576" spans="4:10" ht="12.75">
      <c r="D576" s="70"/>
      <c r="E576" s="70"/>
      <c r="I576" s="77"/>
      <c r="J576" s="77"/>
    </row>
    <row r="577" spans="4:10" ht="12.75">
      <c r="D577" s="70"/>
      <c r="E577" s="70"/>
      <c r="I577" s="77"/>
      <c r="J577" s="77"/>
    </row>
    <row r="578" spans="4:10" ht="12.75">
      <c r="D578" s="70"/>
      <c r="E578" s="70"/>
      <c r="I578" s="77"/>
      <c r="J578" s="77"/>
    </row>
    <row r="579" spans="4:10" ht="12.75">
      <c r="D579" s="70"/>
      <c r="E579" s="70"/>
      <c r="I579" s="77"/>
      <c r="J579" s="77"/>
    </row>
    <row r="580" spans="4:10" ht="12.75">
      <c r="D580" s="70"/>
      <c r="E580" s="70"/>
      <c r="I580" s="77"/>
      <c r="J580" s="77"/>
    </row>
    <row r="581" spans="4:10" ht="12.75">
      <c r="D581" s="70"/>
      <c r="E581" s="70"/>
      <c r="I581" s="77"/>
      <c r="J581" s="77"/>
    </row>
    <row r="582" spans="4:10" ht="12.75">
      <c r="D582" s="70"/>
      <c r="E582" s="70"/>
      <c r="I582" s="77"/>
      <c r="J582" s="77"/>
    </row>
    <row r="583" spans="4:10" ht="12.75">
      <c r="D583" s="70"/>
      <c r="E583" s="70"/>
      <c r="I583" s="77"/>
      <c r="J583" s="77"/>
    </row>
    <row r="584" spans="4:10" ht="12.75">
      <c r="D584" s="70"/>
      <c r="E584" s="70"/>
      <c r="I584" s="77"/>
      <c r="J584" s="77"/>
    </row>
    <row r="585" spans="4:10" ht="12.75">
      <c r="D585" s="70"/>
      <c r="E585" s="70"/>
      <c r="I585" s="77"/>
      <c r="J585" s="77"/>
    </row>
    <row r="586" spans="4:10" ht="12.75">
      <c r="D586" s="70"/>
      <c r="E586" s="70"/>
      <c r="I586" s="77"/>
      <c r="J586" s="77"/>
    </row>
    <row r="587" spans="4:10" ht="12.75">
      <c r="D587" s="70"/>
      <c r="E587" s="70"/>
      <c r="I587" s="77"/>
      <c r="J587" s="77"/>
    </row>
    <row r="588" spans="4:10" ht="12.75">
      <c r="D588" s="70"/>
      <c r="E588" s="70"/>
      <c r="I588" s="77"/>
      <c r="J588" s="77"/>
    </row>
    <row r="589" spans="4:10" ht="12.75">
      <c r="D589" s="70"/>
      <c r="E589" s="70"/>
      <c r="I589" s="77"/>
      <c r="J589" s="77"/>
    </row>
    <row r="590" spans="4:10" ht="12.75">
      <c r="D590" s="70"/>
      <c r="E590" s="70"/>
      <c r="I590" s="77"/>
      <c r="J590" s="77"/>
    </row>
    <row r="591" spans="4:10" ht="12.75">
      <c r="D591" s="70"/>
      <c r="E591" s="70"/>
      <c r="I591" s="77"/>
      <c r="J591" s="77"/>
    </row>
    <row r="592" spans="4:10" ht="12.75">
      <c r="D592" s="70"/>
      <c r="E592" s="70"/>
      <c r="I592" s="77"/>
      <c r="J592" s="77"/>
    </row>
    <row r="593" spans="4:10" ht="12.75">
      <c r="D593" s="70"/>
      <c r="E593" s="70"/>
      <c r="I593" s="77"/>
      <c r="J593" s="77"/>
    </row>
    <row r="594" spans="4:10" ht="12.75">
      <c r="D594" s="70"/>
      <c r="E594" s="70"/>
      <c r="I594" s="77"/>
      <c r="J594" s="77"/>
    </row>
    <row r="595" spans="4:10" ht="12.75">
      <c r="D595" s="70"/>
      <c r="E595" s="70"/>
      <c r="I595" s="77"/>
      <c r="J595" s="77"/>
    </row>
    <row r="596" spans="4:10" ht="12.75">
      <c r="D596" s="70"/>
      <c r="E596" s="70"/>
      <c r="I596" s="77"/>
      <c r="J596" s="77"/>
    </row>
    <row r="597" spans="4:10" ht="12.75">
      <c r="D597" s="70"/>
      <c r="E597" s="70"/>
      <c r="I597" s="77"/>
      <c r="J597" s="77"/>
    </row>
    <row r="598" spans="4:10" ht="12.75">
      <c r="D598" s="70"/>
      <c r="E598" s="70"/>
      <c r="I598" s="77"/>
      <c r="J598" s="77"/>
    </row>
    <row r="599" spans="4:10" ht="12.75">
      <c r="D599" s="70"/>
      <c r="E599" s="70"/>
      <c r="I599" s="77"/>
      <c r="J599" s="77"/>
    </row>
    <row r="600" spans="4:10" ht="12.75">
      <c r="D600" s="70"/>
      <c r="E600" s="70"/>
      <c r="I600" s="77"/>
      <c r="J600" s="77"/>
    </row>
    <row r="601" spans="4:10" ht="12.75">
      <c r="D601" s="70"/>
      <c r="E601" s="70"/>
      <c r="I601" s="77"/>
      <c r="J601" s="77"/>
    </row>
    <row r="602" spans="4:10" ht="12.75">
      <c r="D602" s="70"/>
      <c r="E602" s="70"/>
      <c r="I602" s="77"/>
      <c r="J602" s="77"/>
    </row>
    <row r="603" spans="4:10" ht="12.75">
      <c r="D603" s="70"/>
      <c r="E603" s="70"/>
      <c r="I603" s="77"/>
      <c r="J603" s="77"/>
    </row>
    <row r="604" spans="4:10" ht="12.75">
      <c r="D604" s="70"/>
      <c r="E604" s="70"/>
      <c r="I604" s="77"/>
      <c r="J604" s="77"/>
    </row>
    <row r="605" spans="4:10" ht="12.75">
      <c r="D605" s="70"/>
      <c r="E605" s="70"/>
      <c r="I605" s="77"/>
      <c r="J605" s="77"/>
    </row>
    <row r="606" spans="4:10" ht="12.75">
      <c r="D606" s="70"/>
      <c r="E606" s="70"/>
      <c r="I606" s="77"/>
      <c r="J606" s="77"/>
    </row>
    <row r="607" spans="4:10" ht="12.75">
      <c r="D607" s="70"/>
      <c r="E607" s="70"/>
      <c r="I607" s="77"/>
      <c r="J607" s="77"/>
    </row>
    <row r="608" spans="4:10" ht="12.75">
      <c r="D608" s="70"/>
      <c r="E608" s="70"/>
      <c r="I608" s="77"/>
      <c r="J608" s="77"/>
    </row>
    <row r="609" spans="4:10" ht="12.75">
      <c r="D609" s="70"/>
      <c r="E609" s="70"/>
      <c r="I609" s="77"/>
      <c r="J609" s="77"/>
    </row>
    <row r="610" spans="4:10" ht="12.75">
      <c r="D610" s="70"/>
      <c r="E610" s="70"/>
      <c r="I610" s="77"/>
      <c r="J610" s="77"/>
    </row>
    <row r="611" spans="4:10" ht="12.75">
      <c r="D611" s="70"/>
      <c r="E611" s="70"/>
      <c r="I611" s="77"/>
      <c r="J611" s="77"/>
    </row>
    <row r="612" spans="4:10" ht="12.75">
      <c r="D612" s="70"/>
      <c r="E612" s="70"/>
      <c r="I612" s="77"/>
      <c r="J612" s="77"/>
    </row>
    <row r="613" spans="4:10" ht="12.75">
      <c r="D613" s="70"/>
      <c r="E613" s="70"/>
      <c r="I613" s="77"/>
      <c r="J613" s="77"/>
    </row>
    <row r="614" spans="4:10" ht="12.75">
      <c r="D614" s="70"/>
      <c r="E614" s="70"/>
      <c r="I614" s="77"/>
      <c r="J614" s="77"/>
    </row>
    <row r="615" spans="4:10" ht="12.75">
      <c r="D615" s="70"/>
      <c r="E615" s="70"/>
      <c r="I615" s="77"/>
      <c r="J615" s="77"/>
    </row>
    <row r="616" spans="4:10" ht="12.75">
      <c r="D616" s="70"/>
      <c r="E616" s="70"/>
      <c r="I616" s="77"/>
      <c r="J616" s="77"/>
    </row>
    <row r="617" spans="4:10" ht="12.75">
      <c r="D617" s="70"/>
      <c r="E617" s="70"/>
      <c r="I617" s="77"/>
      <c r="J617" s="77"/>
    </row>
    <row r="618" spans="4:10" ht="12.75">
      <c r="D618" s="70"/>
      <c r="E618" s="70"/>
      <c r="I618" s="77"/>
      <c r="J618" s="77"/>
    </row>
    <row r="619" spans="4:10" ht="12.75">
      <c r="D619" s="70"/>
      <c r="E619" s="70"/>
      <c r="I619" s="77"/>
      <c r="J619" s="77"/>
    </row>
    <row r="620" spans="4:10" ht="12.75">
      <c r="D620" s="70"/>
      <c r="E620" s="70"/>
      <c r="I620" s="77"/>
      <c r="J620" s="77"/>
    </row>
    <row r="621" spans="4:10" ht="12.75">
      <c r="D621" s="70"/>
      <c r="E621" s="70"/>
      <c r="I621" s="77"/>
      <c r="J621" s="77"/>
    </row>
    <row r="622" spans="4:10" ht="12.75">
      <c r="D622" s="70"/>
      <c r="E622" s="70"/>
      <c r="I622" s="77"/>
      <c r="J622" s="77"/>
    </row>
    <row r="623" spans="4:10" ht="12.75">
      <c r="D623" s="70"/>
      <c r="E623" s="70"/>
      <c r="I623" s="77"/>
      <c r="J623" s="77"/>
    </row>
    <row r="624" spans="4:10" ht="12.75">
      <c r="D624" s="70"/>
      <c r="E624" s="70"/>
      <c r="I624" s="77"/>
      <c r="J624" s="77"/>
    </row>
    <row r="625" spans="4:10" ht="12.75">
      <c r="D625" s="70"/>
      <c r="E625" s="70"/>
      <c r="I625" s="77"/>
      <c r="J625" s="77"/>
    </row>
    <row r="626" spans="4:10" ht="12.75">
      <c r="D626" s="70"/>
      <c r="E626" s="70"/>
      <c r="I626" s="77"/>
      <c r="J626" s="77"/>
    </row>
    <row r="627" spans="4:10" ht="12.75">
      <c r="D627" s="70"/>
      <c r="E627" s="70"/>
      <c r="I627" s="77"/>
      <c r="J627" s="77"/>
    </row>
    <row r="628" spans="4:10" ht="12.75">
      <c r="D628" s="70"/>
      <c r="E628" s="70"/>
      <c r="I628" s="77"/>
      <c r="J628" s="77"/>
    </row>
    <row r="629" spans="4:10" ht="12.75">
      <c r="D629" s="70"/>
      <c r="E629" s="70"/>
      <c r="I629" s="77"/>
      <c r="J629" s="77"/>
    </row>
    <row r="630" spans="4:10" ht="12.75">
      <c r="D630" s="70"/>
      <c r="E630" s="70"/>
      <c r="I630" s="77"/>
      <c r="J630" s="77"/>
    </row>
    <row r="631" spans="4:10" ht="12.75">
      <c r="D631" s="70"/>
      <c r="E631" s="70"/>
      <c r="I631" s="77"/>
      <c r="J631" s="77"/>
    </row>
    <row r="632" spans="4:10" ht="12.75">
      <c r="D632" s="70"/>
      <c r="E632" s="70"/>
      <c r="I632" s="77"/>
      <c r="J632" s="77"/>
    </row>
    <row r="633" spans="4:10" ht="12.75">
      <c r="D633" s="70"/>
      <c r="E633" s="70"/>
      <c r="I633" s="77"/>
      <c r="J633" s="77"/>
    </row>
    <row r="634" spans="4:10" ht="12.75">
      <c r="D634" s="70"/>
      <c r="E634" s="70"/>
      <c r="I634" s="77"/>
      <c r="J634" s="77"/>
    </row>
    <row r="635" spans="4:10" ht="12.75">
      <c r="D635" s="70"/>
      <c r="E635" s="70"/>
      <c r="I635" s="77"/>
      <c r="J635" s="77"/>
    </row>
    <row r="636" spans="4:10" ht="12.75">
      <c r="D636" s="70"/>
      <c r="E636" s="70"/>
      <c r="I636" s="77"/>
      <c r="J636" s="77"/>
    </row>
    <row r="637" spans="4:10" ht="12.75">
      <c r="D637" s="70"/>
      <c r="E637" s="70"/>
      <c r="I637" s="77"/>
      <c r="J637" s="77"/>
    </row>
    <row r="638" spans="4:10" ht="12.75">
      <c r="D638" s="70"/>
      <c r="E638" s="70"/>
      <c r="I638" s="77"/>
      <c r="J638" s="77"/>
    </row>
    <row r="639" spans="4:10" ht="12.75">
      <c r="D639" s="70"/>
      <c r="E639" s="70"/>
      <c r="I639" s="77"/>
      <c r="J639" s="77"/>
    </row>
    <row r="640" spans="4:10" ht="12.75">
      <c r="D640" s="70"/>
      <c r="E640" s="70"/>
      <c r="I640" s="77"/>
      <c r="J640" s="77"/>
    </row>
    <row r="641" spans="4:10" ht="12.75">
      <c r="D641" s="70"/>
      <c r="E641" s="70"/>
      <c r="I641" s="77"/>
      <c r="J641" s="77"/>
    </row>
    <row r="642" spans="4:10" ht="12.75">
      <c r="D642" s="70"/>
      <c r="E642" s="70"/>
      <c r="I642" s="77"/>
      <c r="J642" s="77"/>
    </row>
    <row r="643" spans="4:10" ht="12.75">
      <c r="D643" s="70"/>
      <c r="E643" s="70"/>
      <c r="I643" s="77"/>
      <c r="J643" s="77"/>
    </row>
    <row r="644" spans="4:10" ht="12.75">
      <c r="D644" s="70"/>
      <c r="E644" s="70"/>
      <c r="I644" s="77"/>
      <c r="J644" s="77"/>
    </row>
    <row r="645" spans="4:10" ht="12.75">
      <c r="D645" s="70"/>
      <c r="E645" s="70"/>
      <c r="I645" s="77"/>
      <c r="J645" s="77"/>
    </row>
    <row r="646" spans="4:10" ht="12.75">
      <c r="D646" s="70"/>
      <c r="E646" s="70"/>
      <c r="I646" s="77"/>
      <c r="J646" s="77"/>
    </row>
    <row r="647" spans="4:10" ht="12.75">
      <c r="D647" s="70"/>
      <c r="E647" s="70"/>
      <c r="I647" s="77"/>
      <c r="J647" s="77"/>
    </row>
    <row r="648" spans="4:10" ht="12.75">
      <c r="D648" s="70"/>
      <c r="E648" s="70"/>
      <c r="I648" s="77"/>
      <c r="J648" s="77"/>
    </row>
    <row r="649" spans="4:10" ht="12.75">
      <c r="D649" s="70"/>
      <c r="E649" s="70"/>
      <c r="I649" s="77"/>
      <c r="J649" s="77"/>
    </row>
    <row r="650" spans="4:10" ht="12.75">
      <c r="D650" s="70"/>
      <c r="E650" s="70"/>
      <c r="I650" s="77"/>
      <c r="J650" s="77"/>
    </row>
    <row r="651" spans="4:10" ht="12.75">
      <c r="D651" s="70"/>
      <c r="E651" s="70"/>
      <c r="I651" s="77"/>
      <c r="J651" s="77"/>
    </row>
    <row r="652" spans="4:10" ht="12.75">
      <c r="D652" s="70"/>
      <c r="E652" s="70"/>
      <c r="I652" s="77"/>
      <c r="J652" s="77"/>
    </row>
    <row r="653" spans="4:10" ht="12.75">
      <c r="D653" s="70"/>
      <c r="E653" s="70"/>
      <c r="I653" s="77"/>
      <c r="J653" s="77"/>
    </row>
    <row r="654" spans="4:10" ht="12.75">
      <c r="D654" s="70"/>
      <c r="E654" s="70"/>
      <c r="I654" s="77"/>
      <c r="J654" s="77"/>
    </row>
    <row r="655" spans="4:10" ht="12.75">
      <c r="D655" s="70"/>
      <c r="E655" s="70"/>
      <c r="I655" s="77"/>
      <c r="J655" s="77"/>
    </row>
    <row r="656" spans="4:10" ht="12.75">
      <c r="D656" s="70"/>
      <c r="E656" s="70"/>
      <c r="I656" s="77"/>
      <c r="J656" s="77"/>
    </row>
    <row r="657" spans="4:10" ht="12.75">
      <c r="D657" s="70"/>
      <c r="E657" s="70"/>
      <c r="I657" s="77"/>
      <c r="J657" s="77"/>
    </row>
    <row r="658" spans="4:10" ht="12.75">
      <c r="D658" s="70"/>
      <c r="E658" s="70"/>
      <c r="I658" s="77"/>
      <c r="J658" s="77"/>
    </row>
    <row r="659" spans="4:10" ht="12.75">
      <c r="D659" s="70"/>
      <c r="E659" s="70"/>
      <c r="I659" s="77"/>
      <c r="J659" s="77"/>
    </row>
    <row r="660" spans="4:10" ht="12.75">
      <c r="D660" s="70"/>
      <c r="E660" s="70"/>
      <c r="I660" s="77"/>
      <c r="J660" s="77"/>
    </row>
    <row r="661" spans="4:10" ht="12.75">
      <c r="D661" s="70"/>
      <c r="E661" s="70"/>
      <c r="I661" s="77"/>
      <c r="J661" s="77"/>
    </row>
    <row r="662" spans="4:10" ht="12.75">
      <c r="D662" s="70"/>
      <c r="E662" s="70"/>
      <c r="I662" s="77"/>
      <c r="J662" s="77"/>
    </row>
    <row r="663" spans="4:10" ht="12.75">
      <c r="D663" s="70"/>
      <c r="E663" s="70"/>
      <c r="I663" s="77"/>
      <c r="J663" s="77"/>
    </row>
    <row r="664" spans="4:10" ht="12.75">
      <c r="D664" s="70"/>
      <c r="E664" s="70"/>
      <c r="I664" s="77"/>
      <c r="J664" s="77"/>
    </row>
    <row r="665" spans="4:10" ht="12.75">
      <c r="D665" s="70"/>
      <c r="E665" s="70"/>
      <c r="I665" s="77"/>
      <c r="J665" s="77"/>
    </row>
    <row r="666" spans="4:10" ht="12.75">
      <c r="D666" s="70"/>
      <c r="E666" s="70"/>
      <c r="I666" s="77"/>
      <c r="J666" s="77"/>
    </row>
    <row r="667" spans="4:10" ht="12.75">
      <c r="D667" s="70"/>
      <c r="E667" s="70"/>
      <c r="I667" s="77"/>
      <c r="J667" s="77"/>
    </row>
    <row r="668" spans="4:10" ht="12.75">
      <c r="D668" s="70"/>
      <c r="E668" s="70"/>
      <c r="I668" s="77"/>
      <c r="J668" s="77"/>
    </row>
    <row r="669" spans="4:10" ht="12.75">
      <c r="D669" s="70"/>
      <c r="E669" s="70"/>
      <c r="I669" s="77"/>
      <c r="J669" s="77"/>
    </row>
    <row r="670" spans="4:10" ht="12.75">
      <c r="D670" s="70"/>
      <c r="E670" s="70"/>
      <c r="I670" s="77"/>
      <c r="J670" s="77"/>
    </row>
    <row r="671" spans="4:10" ht="12.75">
      <c r="D671" s="70"/>
      <c r="E671" s="70"/>
      <c r="I671" s="77"/>
      <c r="J671" s="77"/>
    </row>
    <row r="672" spans="4:10" ht="12.75">
      <c r="D672" s="70"/>
      <c r="E672" s="70"/>
      <c r="I672" s="77"/>
      <c r="J672" s="77"/>
    </row>
    <row r="673" spans="4:10" ht="12.75">
      <c r="D673" s="70"/>
      <c r="E673" s="70"/>
      <c r="I673" s="77"/>
      <c r="J673" s="77"/>
    </row>
    <row r="674" spans="4:10" ht="12.75">
      <c r="D674" s="70"/>
      <c r="E674" s="70"/>
      <c r="I674" s="77"/>
      <c r="J674" s="77"/>
    </row>
    <row r="675" spans="4:10" ht="12.75">
      <c r="D675" s="70"/>
      <c r="E675" s="70"/>
      <c r="I675" s="77"/>
      <c r="J675" s="77"/>
    </row>
    <row r="676" spans="4:10" ht="12.75">
      <c r="D676" s="70"/>
      <c r="E676" s="70"/>
      <c r="I676" s="77"/>
      <c r="J676" s="77"/>
    </row>
    <row r="677" spans="4:10" ht="12.75">
      <c r="D677" s="70"/>
      <c r="E677" s="70"/>
      <c r="I677" s="77"/>
      <c r="J677" s="77"/>
    </row>
    <row r="678" spans="4:10" ht="12.75">
      <c r="D678" s="70"/>
      <c r="E678" s="70"/>
      <c r="I678" s="77"/>
      <c r="J678" s="77"/>
    </row>
    <row r="679" spans="4:10" ht="12.75">
      <c r="D679" s="70"/>
      <c r="E679" s="70"/>
      <c r="I679" s="77"/>
      <c r="J679" s="77"/>
    </row>
    <row r="680" spans="4:10" ht="12.75">
      <c r="D680" s="70"/>
      <c r="E680" s="70"/>
      <c r="I680" s="77"/>
      <c r="J680" s="77"/>
    </row>
    <row r="681" spans="4:10" ht="12.75">
      <c r="D681" s="70"/>
      <c r="E681" s="70"/>
      <c r="I681" s="77"/>
      <c r="J681" s="77"/>
    </row>
    <row r="682" spans="4:10" ht="12.75">
      <c r="D682" s="70"/>
      <c r="E682" s="70"/>
      <c r="I682" s="77"/>
      <c r="J682" s="77"/>
    </row>
    <row r="683" spans="4:10" ht="12.75">
      <c r="D683" s="70"/>
      <c r="E683" s="70"/>
      <c r="I683" s="77"/>
      <c r="J683" s="77"/>
    </row>
    <row r="684" spans="4:10" ht="12.75">
      <c r="D684" s="70"/>
      <c r="E684" s="70"/>
      <c r="I684" s="77"/>
      <c r="J684" s="77"/>
    </row>
    <row r="685" spans="4:10" ht="12.75">
      <c r="D685" s="70"/>
      <c r="E685" s="70"/>
      <c r="I685" s="77"/>
      <c r="J685" s="77"/>
    </row>
    <row r="686" spans="4:10" ht="12.75">
      <c r="D686" s="70"/>
      <c r="E686" s="70"/>
      <c r="I686" s="77"/>
      <c r="J686" s="77"/>
    </row>
    <row r="687" spans="4:10" ht="12.75">
      <c r="D687" s="70"/>
      <c r="E687" s="70"/>
      <c r="I687" s="77"/>
      <c r="J687" s="77"/>
    </row>
    <row r="688" spans="4:10" ht="12.75">
      <c r="D688" s="70"/>
      <c r="E688" s="70"/>
      <c r="I688" s="77"/>
      <c r="J688" s="77"/>
    </row>
    <row r="689" spans="4:10" ht="12.75">
      <c r="D689" s="70"/>
      <c r="E689" s="70"/>
      <c r="I689" s="77"/>
      <c r="J689" s="77"/>
    </row>
    <row r="690" spans="4:10" ht="12.75">
      <c r="D690" s="70"/>
      <c r="E690" s="70"/>
      <c r="I690" s="77"/>
      <c r="J690" s="77"/>
    </row>
    <row r="691" spans="4:10" ht="12.75">
      <c r="D691" s="70"/>
      <c r="E691" s="70"/>
      <c r="I691" s="77"/>
      <c r="J691" s="77"/>
    </row>
    <row r="692" spans="4:10" ht="12.75">
      <c r="D692" s="70"/>
      <c r="E692" s="70"/>
      <c r="I692" s="77"/>
      <c r="J692" s="77"/>
    </row>
    <row r="693" spans="4:10" ht="12.75">
      <c r="D693" s="70"/>
      <c r="E693" s="70"/>
      <c r="I693" s="77"/>
      <c r="J693" s="77"/>
    </row>
    <row r="694" spans="4:10" ht="12.75">
      <c r="D694" s="70"/>
      <c r="E694" s="70"/>
      <c r="I694" s="77"/>
      <c r="J694" s="77"/>
    </row>
    <row r="695" spans="4:10" ht="12.75">
      <c r="D695" s="70"/>
      <c r="E695" s="70"/>
      <c r="I695" s="77"/>
      <c r="J695" s="77"/>
    </row>
    <row r="696" spans="4:10" ht="12.75">
      <c r="D696" s="70"/>
      <c r="E696" s="70"/>
      <c r="I696" s="77"/>
      <c r="J696" s="77"/>
    </row>
    <row r="697" spans="4:10" ht="12.75">
      <c r="D697" s="70"/>
      <c r="E697" s="70"/>
      <c r="I697" s="77"/>
      <c r="J697" s="77"/>
    </row>
    <row r="698" spans="4:10" ht="12.75">
      <c r="D698" s="70"/>
      <c r="E698" s="70"/>
      <c r="I698" s="77"/>
      <c r="J698" s="77"/>
    </row>
    <row r="699" spans="4:10" ht="12.75">
      <c r="D699" s="70"/>
      <c r="E699" s="70"/>
      <c r="I699" s="77"/>
      <c r="J699" s="77"/>
    </row>
    <row r="700" spans="4:10" ht="12.75">
      <c r="D700" s="70"/>
      <c r="E700" s="70"/>
      <c r="I700" s="77"/>
      <c r="J700" s="77"/>
    </row>
    <row r="701" spans="4:10" ht="12.75">
      <c r="D701" s="70"/>
      <c r="E701" s="70"/>
      <c r="I701" s="77"/>
      <c r="J701" s="77"/>
    </row>
    <row r="702" spans="4:10" ht="12.75">
      <c r="D702" s="70"/>
      <c r="E702" s="70"/>
      <c r="I702" s="77"/>
      <c r="J702" s="77"/>
    </row>
    <row r="703" spans="4:10" ht="12.75">
      <c r="D703" s="70"/>
      <c r="E703" s="70"/>
      <c r="I703" s="77"/>
      <c r="J703" s="77"/>
    </row>
    <row r="704" spans="4:10" ht="12.75">
      <c r="D704" s="70"/>
      <c r="E704" s="70"/>
      <c r="I704" s="77"/>
      <c r="J704" s="77"/>
    </row>
    <row r="705" spans="4:10" ht="12.75">
      <c r="D705" s="70"/>
      <c r="E705" s="70"/>
      <c r="I705" s="77"/>
      <c r="J705" s="77"/>
    </row>
    <row r="706" spans="4:10" ht="12.75">
      <c r="D706" s="70"/>
      <c r="E706" s="70"/>
      <c r="I706" s="77"/>
      <c r="J706" s="77"/>
    </row>
    <row r="707" spans="4:10" ht="12.75">
      <c r="D707" s="70"/>
      <c r="E707" s="70"/>
      <c r="I707" s="77"/>
      <c r="J707" s="77"/>
    </row>
    <row r="708" spans="4:10" ht="12.75">
      <c r="D708" s="70"/>
      <c r="E708" s="70"/>
      <c r="I708" s="77"/>
      <c r="J708" s="77"/>
    </row>
    <row r="709" spans="4:10" ht="12.75">
      <c r="D709" s="70"/>
      <c r="E709" s="70"/>
      <c r="I709" s="77"/>
      <c r="J709" s="77"/>
    </row>
    <row r="710" spans="4:10" ht="12.75">
      <c r="D710" s="70"/>
      <c r="E710" s="70"/>
      <c r="I710" s="77"/>
      <c r="J710" s="77"/>
    </row>
    <row r="711" spans="4:10" ht="12.75">
      <c r="D711" s="70"/>
      <c r="E711" s="70"/>
      <c r="I711" s="77"/>
      <c r="J711" s="77"/>
    </row>
    <row r="712" spans="4:10" ht="12.75">
      <c r="D712" s="70"/>
      <c r="E712" s="70"/>
      <c r="I712" s="77"/>
      <c r="J712" s="77"/>
    </row>
    <row r="713" spans="4:10" ht="12.75">
      <c r="D713" s="70"/>
      <c r="E713" s="70"/>
      <c r="I713" s="77"/>
      <c r="J713" s="77"/>
    </row>
    <row r="714" spans="4:10" ht="12.75">
      <c r="D714" s="70"/>
      <c r="E714" s="70"/>
      <c r="I714" s="77"/>
      <c r="J714" s="77"/>
    </row>
    <row r="715" spans="4:10" ht="12.75">
      <c r="D715" s="70"/>
      <c r="E715" s="70"/>
      <c r="I715" s="77"/>
      <c r="J715" s="77"/>
    </row>
    <row r="716" spans="4:10" ht="12.75">
      <c r="D716" s="70"/>
      <c r="E716" s="70"/>
      <c r="I716" s="77"/>
      <c r="J716" s="77"/>
    </row>
    <row r="717" spans="4:10" ht="12.75">
      <c r="D717" s="70"/>
      <c r="E717" s="70"/>
      <c r="I717" s="77"/>
      <c r="J717" s="77"/>
    </row>
    <row r="718" spans="4:10" ht="12.75">
      <c r="D718" s="70"/>
      <c r="E718" s="70"/>
      <c r="I718" s="77"/>
      <c r="J718" s="77"/>
    </row>
    <row r="719" spans="4:10" ht="12.75">
      <c r="D719" s="70"/>
      <c r="E719" s="70"/>
      <c r="I719" s="77"/>
      <c r="J719" s="77"/>
    </row>
    <row r="720" spans="4:10" ht="12.75">
      <c r="D720" s="70"/>
      <c r="E720" s="70"/>
      <c r="I720" s="77"/>
      <c r="J720" s="77"/>
    </row>
    <row r="721" spans="4:10" ht="12.75">
      <c r="D721" s="70"/>
      <c r="E721" s="70"/>
      <c r="I721" s="77"/>
      <c r="J721" s="77"/>
    </row>
    <row r="722" spans="4:10" ht="12.75">
      <c r="D722" s="70"/>
      <c r="E722" s="70"/>
      <c r="I722" s="77"/>
      <c r="J722" s="77"/>
    </row>
    <row r="723" spans="4:10" ht="12.75">
      <c r="D723" s="70"/>
      <c r="E723" s="70"/>
      <c r="I723" s="77"/>
      <c r="J723" s="77"/>
    </row>
    <row r="724" spans="4:10" ht="12.75">
      <c r="D724" s="70"/>
      <c r="E724" s="70"/>
      <c r="I724" s="77"/>
      <c r="J724" s="77"/>
    </row>
    <row r="725" spans="4:10" ht="12.75">
      <c r="D725" s="70"/>
      <c r="E725" s="70"/>
      <c r="I725" s="77"/>
      <c r="J725" s="77"/>
    </row>
    <row r="726" spans="4:10" ht="12.75">
      <c r="D726" s="70"/>
      <c r="E726" s="70"/>
      <c r="I726" s="77"/>
      <c r="J726" s="77"/>
    </row>
    <row r="727" spans="4:10" ht="12.75">
      <c r="D727" s="70"/>
      <c r="E727" s="70"/>
      <c r="I727" s="77"/>
      <c r="J727" s="77"/>
    </row>
    <row r="728" spans="4:10" ht="12.75">
      <c r="D728" s="70"/>
      <c r="E728" s="70"/>
      <c r="I728" s="77"/>
      <c r="J728" s="77"/>
    </row>
    <row r="729" spans="4:10" ht="12.75">
      <c r="D729" s="70"/>
      <c r="E729" s="70"/>
      <c r="I729" s="77"/>
      <c r="J729" s="77"/>
    </row>
    <row r="730" spans="4:10" ht="12.75">
      <c r="D730" s="70"/>
      <c r="E730" s="70"/>
      <c r="I730" s="77"/>
      <c r="J730" s="77"/>
    </row>
    <row r="731" spans="4:10" ht="12.75">
      <c r="D731" s="70"/>
      <c r="E731" s="70"/>
      <c r="I731" s="77"/>
      <c r="J731" s="77"/>
    </row>
    <row r="732" spans="4:10" ht="12.75">
      <c r="D732" s="70"/>
      <c r="E732" s="70"/>
      <c r="I732" s="77"/>
      <c r="J732" s="77"/>
    </row>
    <row r="733" spans="4:10" ht="12.75">
      <c r="D733" s="70"/>
      <c r="E733" s="70"/>
      <c r="I733" s="77"/>
      <c r="J733" s="77"/>
    </row>
    <row r="734" spans="4:10" ht="12.75">
      <c r="D734" s="70"/>
      <c r="E734" s="70"/>
      <c r="I734" s="77"/>
      <c r="J734" s="77"/>
    </row>
    <row r="735" spans="4:10" ht="12.75">
      <c r="D735" s="70"/>
      <c r="E735" s="70"/>
      <c r="I735" s="77"/>
      <c r="J735" s="77"/>
    </row>
    <row r="736" spans="4:10" ht="12.75">
      <c r="D736" s="70"/>
      <c r="E736" s="70"/>
      <c r="I736" s="77"/>
      <c r="J736" s="77"/>
    </row>
    <row r="737" spans="4:10" ht="12.75">
      <c r="D737" s="70"/>
      <c r="E737" s="70"/>
      <c r="I737" s="77"/>
      <c r="J737" s="77"/>
    </row>
    <row r="738" spans="4:10" ht="12.75">
      <c r="D738" s="70"/>
      <c r="E738" s="70"/>
      <c r="I738" s="77"/>
      <c r="J738" s="77"/>
    </row>
    <row r="739" spans="4:10" ht="12.75">
      <c r="D739" s="70"/>
      <c r="E739" s="70"/>
      <c r="I739" s="77"/>
      <c r="J739" s="77"/>
    </row>
    <row r="740" spans="4:10" ht="12.75">
      <c r="D740" s="70"/>
      <c r="E740" s="70"/>
      <c r="I740" s="77"/>
      <c r="J740" s="77"/>
    </row>
    <row r="741" spans="4:10" ht="12.75">
      <c r="D741" s="70"/>
      <c r="E741" s="70"/>
      <c r="I741" s="77"/>
      <c r="J741" s="77"/>
    </row>
    <row r="742" spans="4:10" ht="12.75">
      <c r="D742" s="70"/>
      <c r="E742" s="70"/>
      <c r="I742" s="77"/>
      <c r="J742" s="77"/>
    </row>
    <row r="743" spans="4:10" ht="12.75">
      <c r="D743" s="70"/>
      <c r="E743" s="70"/>
      <c r="I743" s="77"/>
      <c r="J743" s="77"/>
    </row>
    <row r="744" spans="4:10" ht="12.75">
      <c r="D744" s="70"/>
      <c r="E744" s="70"/>
      <c r="I744" s="77"/>
      <c r="J744" s="77"/>
    </row>
    <row r="745" spans="4:10" ht="12.75">
      <c r="D745" s="70"/>
      <c r="E745" s="70"/>
      <c r="I745" s="77"/>
      <c r="J745" s="77"/>
    </row>
    <row r="746" spans="4:10" ht="12.75">
      <c r="D746" s="70"/>
      <c r="E746" s="70"/>
      <c r="I746" s="77"/>
      <c r="J746" s="77"/>
    </row>
    <row r="747" spans="4:10" ht="12.75">
      <c r="D747" s="70"/>
      <c r="E747" s="70"/>
      <c r="I747" s="77"/>
      <c r="J747" s="77"/>
    </row>
    <row r="748" spans="4:10" ht="12.75">
      <c r="D748" s="70"/>
      <c r="E748" s="70"/>
      <c r="I748" s="77"/>
      <c r="J748" s="77"/>
    </row>
    <row r="749" spans="4:10" ht="12.75">
      <c r="D749" s="70"/>
      <c r="E749" s="70"/>
      <c r="I749" s="77"/>
      <c r="J749" s="77"/>
    </row>
    <row r="750" spans="4:10" ht="12.75">
      <c r="D750" s="70"/>
      <c r="E750" s="70"/>
      <c r="I750" s="77"/>
      <c r="J750" s="77"/>
    </row>
    <row r="751" spans="4:10" ht="12.75">
      <c r="D751" s="70"/>
      <c r="E751" s="70"/>
      <c r="I751" s="77"/>
      <c r="J751" s="77"/>
    </row>
    <row r="752" spans="4:10" ht="12.75">
      <c r="D752" s="70"/>
      <c r="E752" s="70"/>
      <c r="I752" s="77"/>
      <c r="J752" s="77"/>
    </row>
    <row r="753" spans="4:10" ht="12.75">
      <c r="D753" s="70"/>
      <c r="E753" s="70"/>
      <c r="I753" s="77"/>
      <c r="J753" s="77"/>
    </row>
    <row r="754" spans="4:10" ht="12.75">
      <c r="D754" s="70"/>
      <c r="E754" s="70"/>
      <c r="I754" s="77"/>
      <c r="J754" s="77"/>
    </row>
    <row r="755" spans="4:10" ht="12.75">
      <c r="D755" s="70"/>
      <c r="E755" s="70"/>
      <c r="I755" s="77"/>
      <c r="J755" s="77"/>
    </row>
    <row r="756" spans="4:10" ht="12.75">
      <c r="D756" s="70"/>
      <c r="E756" s="70"/>
      <c r="I756" s="77"/>
      <c r="J756" s="77"/>
    </row>
    <row r="757" spans="4:10" ht="12.75">
      <c r="D757" s="70"/>
      <c r="E757" s="70"/>
      <c r="I757" s="77"/>
      <c r="J757" s="77"/>
    </row>
    <row r="758" spans="4:10" ht="12.75">
      <c r="D758" s="70"/>
      <c r="E758" s="70"/>
      <c r="I758" s="77"/>
      <c r="J758" s="77"/>
    </row>
    <row r="759" spans="4:10" ht="12.75">
      <c r="D759" s="70"/>
      <c r="E759" s="70"/>
      <c r="I759" s="77"/>
      <c r="J759" s="77"/>
    </row>
    <row r="760" spans="4:10" ht="12.75">
      <c r="D760" s="70"/>
      <c r="E760" s="70"/>
      <c r="I760" s="77"/>
      <c r="J760" s="77"/>
    </row>
    <row r="761" spans="4:10" ht="12.75">
      <c r="D761" s="70"/>
      <c r="E761" s="70"/>
      <c r="I761" s="77"/>
      <c r="J761" s="77"/>
    </row>
    <row r="762" spans="4:10" ht="12.75">
      <c r="D762" s="70"/>
      <c r="E762" s="70"/>
      <c r="I762" s="77"/>
      <c r="J762" s="77"/>
    </row>
    <row r="763" spans="4:10" ht="12.75">
      <c r="D763" s="70"/>
      <c r="E763" s="70"/>
      <c r="I763" s="77"/>
      <c r="J763" s="77"/>
    </row>
    <row r="764" spans="4:10" ht="12.75">
      <c r="D764" s="70"/>
      <c r="E764" s="70"/>
      <c r="I764" s="77"/>
      <c r="J764" s="77"/>
    </row>
    <row r="765" spans="4:10" ht="12.75">
      <c r="D765" s="70"/>
      <c r="E765" s="70"/>
      <c r="I765" s="77"/>
      <c r="J765" s="77"/>
    </row>
    <row r="766" spans="4:10" ht="12.75">
      <c r="D766" s="70"/>
      <c r="E766" s="70"/>
      <c r="I766" s="77"/>
      <c r="J766" s="77"/>
    </row>
    <row r="767" spans="4:10" ht="12.75">
      <c r="D767" s="70"/>
      <c r="E767" s="70"/>
      <c r="I767" s="77"/>
      <c r="J767" s="77"/>
    </row>
    <row r="768" spans="4:10" ht="12.75">
      <c r="D768" s="70"/>
      <c r="E768" s="70"/>
      <c r="I768" s="77"/>
      <c r="J768" s="77"/>
    </row>
    <row r="769" spans="4:10" ht="12.75">
      <c r="D769" s="70"/>
      <c r="E769" s="70"/>
      <c r="I769" s="77"/>
      <c r="J769" s="77"/>
    </row>
    <row r="770" spans="4:10" ht="12.75">
      <c r="D770" s="70"/>
      <c r="E770" s="70"/>
      <c r="I770" s="77"/>
      <c r="J770" s="77"/>
    </row>
    <row r="771" spans="4:10" ht="12.75">
      <c r="D771" s="70"/>
      <c r="E771" s="70"/>
      <c r="I771" s="77"/>
      <c r="J771" s="77"/>
    </row>
    <row r="772" spans="4:10" ht="12.75">
      <c r="D772" s="70"/>
      <c r="E772" s="70"/>
      <c r="I772" s="77"/>
      <c r="J772" s="77"/>
    </row>
    <row r="773" spans="4:10" ht="12.75">
      <c r="D773" s="70"/>
      <c r="E773" s="70"/>
      <c r="I773" s="77"/>
      <c r="J773" s="77"/>
    </row>
    <row r="774" spans="4:10" ht="12.75">
      <c r="D774" s="70"/>
      <c r="E774" s="70"/>
      <c r="I774" s="77"/>
      <c r="J774" s="77"/>
    </row>
    <row r="775" spans="4:10" ht="12.75">
      <c r="D775" s="70"/>
      <c r="E775" s="70"/>
      <c r="I775" s="77"/>
      <c r="J775" s="77"/>
    </row>
    <row r="776" spans="4:10" ht="12.75">
      <c r="D776" s="70"/>
      <c r="E776" s="70"/>
      <c r="I776" s="77"/>
      <c r="J776" s="77"/>
    </row>
    <row r="777" spans="4:10" ht="12.75">
      <c r="D777" s="70"/>
      <c r="E777" s="70"/>
      <c r="I777" s="77"/>
      <c r="J777" s="77"/>
    </row>
    <row r="778" spans="4:10" ht="12.75">
      <c r="D778" s="70"/>
      <c r="E778" s="70"/>
      <c r="I778" s="77"/>
      <c r="J778" s="77"/>
    </row>
    <row r="779" spans="4:10" ht="12.75">
      <c r="D779" s="70"/>
      <c r="E779" s="70"/>
      <c r="I779" s="77"/>
      <c r="J779" s="77"/>
    </row>
    <row r="780" spans="4:10" ht="12.75">
      <c r="D780" s="70"/>
      <c r="E780" s="70"/>
      <c r="I780" s="77"/>
      <c r="J780" s="77"/>
    </row>
    <row r="781" spans="4:10" ht="12.75">
      <c r="D781" s="70"/>
      <c r="E781" s="70"/>
      <c r="I781" s="77"/>
      <c r="J781" s="77"/>
    </row>
    <row r="782" spans="4:10" ht="12.75">
      <c r="D782" s="70"/>
      <c r="E782" s="70"/>
      <c r="I782" s="77"/>
      <c r="J782" s="77"/>
    </row>
    <row r="783" spans="4:10" ht="12.75">
      <c r="D783" s="70"/>
      <c r="E783" s="70"/>
      <c r="I783" s="77"/>
      <c r="J783" s="77"/>
    </row>
    <row r="784" spans="4:10" ht="12.75">
      <c r="D784" s="70"/>
      <c r="E784" s="70"/>
      <c r="I784" s="77"/>
      <c r="J784" s="77"/>
    </row>
    <row r="785" spans="4:10" ht="12.75">
      <c r="D785" s="70"/>
      <c r="E785" s="70"/>
      <c r="I785" s="77"/>
      <c r="J785" s="77"/>
    </row>
    <row r="786" spans="4:10" ht="12.75">
      <c r="D786" s="70"/>
      <c r="E786" s="70"/>
      <c r="I786" s="77"/>
      <c r="J786" s="77"/>
    </row>
    <row r="787" spans="4:10" ht="12.75">
      <c r="D787" s="70"/>
      <c r="E787" s="70"/>
      <c r="I787" s="77"/>
      <c r="J787" s="77"/>
    </row>
    <row r="788" spans="4:10" ht="12.75">
      <c r="D788" s="70"/>
      <c r="E788" s="70"/>
      <c r="I788" s="77"/>
      <c r="J788" s="77"/>
    </row>
    <row r="789" spans="4:10" ht="12.75">
      <c r="D789" s="70"/>
      <c r="E789" s="70"/>
      <c r="I789" s="77"/>
      <c r="J789" s="77"/>
    </row>
    <row r="790" spans="4:10" ht="12.75">
      <c r="D790" s="70"/>
      <c r="E790" s="70"/>
      <c r="I790" s="77"/>
      <c r="J790" s="77"/>
    </row>
    <row r="791" spans="4:10" ht="12.75">
      <c r="D791" s="70"/>
      <c r="E791" s="70"/>
      <c r="I791" s="77"/>
      <c r="J791" s="77"/>
    </row>
    <row r="792" spans="4:10" ht="12.75">
      <c r="D792" s="70"/>
      <c r="E792" s="70"/>
      <c r="I792" s="77"/>
      <c r="J792" s="77"/>
    </row>
    <row r="793" spans="4:10" ht="12.75">
      <c r="D793" s="70"/>
      <c r="E793" s="70"/>
      <c r="I793" s="77"/>
      <c r="J793" s="77"/>
    </row>
    <row r="794" spans="4:10" ht="12.75">
      <c r="D794" s="70"/>
      <c r="E794" s="70"/>
      <c r="I794" s="77"/>
      <c r="J794" s="77"/>
    </row>
    <row r="795" spans="4:10" ht="12.75">
      <c r="D795" s="70"/>
      <c r="E795" s="70"/>
      <c r="I795" s="77"/>
      <c r="J795" s="77"/>
    </row>
    <row r="796" spans="4:10" ht="12.75">
      <c r="D796" s="70"/>
      <c r="E796" s="70"/>
      <c r="I796" s="77"/>
      <c r="J796" s="77"/>
    </row>
    <row r="797" spans="4:10" ht="12.75">
      <c r="D797" s="70"/>
      <c r="E797" s="70"/>
      <c r="I797" s="77"/>
      <c r="J797" s="77"/>
    </row>
    <row r="798" spans="4:10" ht="12.75">
      <c r="D798" s="70"/>
      <c r="E798" s="70"/>
      <c r="I798" s="77"/>
      <c r="J798" s="77"/>
    </row>
    <row r="799" spans="4:10" ht="12.75">
      <c r="D799" s="70"/>
      <c r="E799" s="70"/>
      <c r="I799" s="77"/>
      <c r="J799" s="77"/>
    </row>
    <row r="800" spans="4:10" ht="12.75">
      <c r="D800" s="70"/>
      <c r="E800" s="70"/>
      <c r="I800" s="77"/>
      <c r="J800" s="77"/>
    </row>
    <row r="801" spans="4:10" ht="12.75">
      <c r="D801" s="70"/>
      <c r="E801" s="70"/>
      <c r="I801" s="77"/>
      <c r="J801" s="77"/>
    </row>
    <row r="802" spans="4:10" ht="12.75">
      <c r="D802" s="70"/>
      <c r="E802" s="70"/>
      <c r="I802" s="77"/>
      <c r="J802" s="77"/>
    </row>
    <row r="803" spans="4:10" ht="12.75">
      <c r="D803" s="70"/>
      <c r="E803" s="70"/>
      <c r="I803" s="77"/>
      <c r="J803" s="77"/>
    </row>
    <row r="804" spans="4:10" ht="12.75">
      <c r="D804" s="70"/>
      <c r="E804" s="70"/>
      <c r="I804" s="77"/>
      <c r="J804" s="77"/>
    </row>
    <row r="805" spans="4:10" ht="12.75">
      <c r="D805" s="70"/>
      <c r="E805" s="70"/>
      <c r="I805" s="77"/>
      <c r="J805" s="77"/>
    </row>
    <row r="806" spans="4:10" ht="12.75">
      <c r="D806" s="70"/>
      <c r="E806" s="70"/>
      <c r="I806" s="77"/>
      <c r="J806" s="77"/>
    </row>
    <row r="807" spans="4:10" ht="12.75">
      <c r="D807" s="70"/>
      <c r="E807" s="70"/>
      <c r="I807" s="77"/>
      <c r="J807" s="77"/>
    </row>
    <row r="808" spans="4:10" ht="12.75">
      <c r="D808" s="70"/>
      <c r="E808" s="70"/>
      <c r="I808" s="77"/>
      <c r="J808" s="77"/>
    </row>
    <row r="809" spans="4:10" ht="12.75">
      <c r="D809" s="70"/>
      <c r="E809" s="70"/>
      <c r="I809" s="77"/>
      <c r="J809" s="77"/>
    </row>
    <row r="810" spans="4:10" ht="12.75">
      <c r="D810" s="70"/>
      <c r="E810" s="70"/>
      <c r="I810" s="77"/>
      <c r="J810" s="77"/>
    </row>
    <row r="811" spans="4:10" ht="12.75">
      <c r="D811" s="70"/>
      <c r="E811" s="70"/>
      <c r="I811" s="77"/>
      <c r="J811" s="77"/>
    </row>
    <row r="812" spans="4:10" ht="12.75">
      <c r="D812" s="70"/>
      <c r="E812" s="70"/>
      <c r="I812" s="77"/>
      <c r="J812" s="77"/>
    </row>
    <row r="813" spans="4:10" ht="12.75">
      <c r="D813" s="70"/>
      <c r="E813" s="70"/>
      <c r="I813" s="77"/>
      <c r="J813" s="77"/>
    </row>
    <row r="814" spans="4:10" ht="12.75">
      <c r="D814" s="70"/>
      <c r="E814" s="70"/>
      <c r="I814" s="77"/>
      <c r="J814" s="77"/>
    </row>
    <row r="815" spans="4:10" ht="12.75">
      <c r="D815" s="70"/>
      <c r="E815" s="70"/>
      <c r="I815" s="77"/>
      <c r="J815" s="77"/>
    </row>
    <row r="816" spans="4:10" ht="12.75">
      <c r="D816" s="70"/>
      <c r="E816" s="70"/>
      <c r="I816" s="77"/>
      <c r="J816" s="77"/>
    </row>
    <row r="817" spans="4:10" ht="12.75">
      <c r="D817" s="70"/>
      <c r="E817" s="70"/>
      <c r="I817" s="77"/>
      <c r="J817" s="77"/>
    </row>
    <row r="818" spans="4:10" ht="12.75">
      <c r="D818" s="70"/>
      <c r="E818" s="70"/>
      <c r="I818" s="77"/>
      <c r="J818" s="77"/>
    </row>
    <row r="819" spans="4:10" ht="12.75">
      <c r="D819" s="70"/>
      <c r="E819" s="70"/>
      <c r="I819" s="77"/>
      <c r="J819" s="77"/>
    </row>
    <row r="820" spans="4:10" ht="12.75">
      <c r="D820" s="70"/>
      <c r="E820" s="70"/>
      <c r="I820" s="77"/>
      <c r="J820" s="77"/>
    </row>
    <row r="821" spans="4:10" ht="12.75">
      <c r="D821" s="70"/>
      <c r="E821" s="70"/>
      <c r="I821" s="77"/>
      <c r="J821" s="77"/>
    </row>
    <row r="822" spans="4:10" ht="12.75">
      <c r="D822" s="70"/>
      <c r="E822" s="70"/>
      <c r="I822" s="77"/>
      <c r="J822" s="77"/>
    </row>
    <row r="823" spans="4:10" ht="12.75">
      <c r="D823" s="70"/>
      <c r="E823" s="70"/>
      <c r="I823" s="77"/>
      <c r="J823" s="77"/>
    </row>
    <row r="824" spans="4:10" ht="12.75">
      <c r="D824" s="70"/>
      <c r="E824" s="70"/>
      <c r="I824" s="77"/>
      <c r="J824" s="77"/>
    </row>
    <row r="825" spans="4:10" ht="12.75">
      <c r="D825" s="70"/>
      <c r="E825" s="70"/>
      <c r="I825" s="77"/>
      <c r="J825" s="77"/>
    </row>
    <row r="826" spans="4:10" ht="12.75">
      <c r="D826" s="70"/>
      <c r="E826" s="70"/>
      <c r="I826" s="77"/>
      <c r="J826" s="77"/>
    </row>
    <row r="827" spans="4:10" ht="12.75">
      <c r="D827" s="70"/>
      <c r="E827" s="70"/>
      <c r="I827" s="77"/>
      <c r="J827" s="77"/>
    </row>
    <row r="828" spans="4:10" ht="12.75">
      <c r="D828" s="70"/>
      <c r="E828" s="70"/>
      <c r="I828" s="77"/>
      <c r="J828" s="77"/>
    </row>
    <row r="829" spans="4:10" ht="12.75">
      <c r="D829" s="70"/>
      <c r="E829" s="70"/>
      <c r="I829" s="77"/>
      <c r="J829" s="77"/>
    </row>
    <row r="830" spans="4:10" ht="12.75">
      <c r="D830" s="70"/>
      <c r="E830" s="70"/>
      <c r="I830" s="77"/>
      <c r="J830" s="77"/>
    </row>
    <row r="831" spans="4:10" ht="12.75">
      <c r="D831" s="70"/>
      <c r="E831" s="70"/>
      <c r="I831" s="77"/>
      <c r="J831" s="77"/>
    </row>
    <row r="832" spans="4:10" ht="12.75">
      <c r="D832" s="70"/>
      <c r="E832" s="70"/>
      <c r="I832" s="77"/>
      <c r="J832" s="77"/>
    </row>
    <row r="833" spans="4:10" ht="12.75">
      <c r="D833" s="70"/>
      <c r="E833" s="70"/>
      <c r="I833" s="77"/>
      <c r="J833" s="77"/>
    </row>
    <row r="834" spans="4:10" ht="12.75">
      <c r="D834" s="70"/>
      <c r="E834" s="70"/>
      <c r="I834" s="77"/>
      <c r="J834" s="77"/>
    </row>
    <row r="835" spans="4:10" ht="12.75">
      <c r="D835" s="70"/>
      <c r="E835" s="70"/>
      <c r="I835" s="77"/>
      <c r="J835" s="77"/>
    </row>
    <row r="836" spans="4:10" ht="12.75">
      <c r="D836" s="70"/>
      <c r="E836" s="70"/>
      <c r="I836" s="77"/>
      <c r="J836" s="77"/>
    </row>
    <row r="837" spans="4:10" ht="12.75">
      <c r="D837" s="70"/>
      <c r="E837" s="70"/>
      <c r="I837" s="77"/>
      <c r="J837" s="77"/>
    </row>
    <row r="838" spans="4:10" ht="12.75">
      <c r="D838" s="70"/>
      <c r="E838" s="70"/>
      <c r="I838" s="77"/>
      <c r="J838" s="77"/>
    </row>
    <row r="839" spans="4:10" ht="12.75">
      <c r="D839" s="70"/>
      <c r="E839" s="70"/>
      <c r="I839" s="77"/>
      <c r="J839" s="77"/>
    </row>
    <row r="840" spans="4:10" ht="12.75">
      <c r="D840" s="70"/>
      <c r="E840" s="70"/>
      <c r="I840" s="77"/>
      <c r="J840" s="77"/>
    </row>
    <row r="841" spans="4:10" ht="12.75">
      <c r="D841" s="70"/>
      <c r="E841" s="70"/>
      <c r="I841" s="77"/>
      <c r="J841" s="77"/>
    </row>
    <row r="842" spans="4:10" ht="12.75">
      <c r="D842" s="70"/>
      <c r="E842" s="70"/>
      <c r="I842" s="77"/>
      <c r="J842" s="77"/>
    </row>
    <row r="843" spans="4:10" ht="12.75">
      <c r="D843" s="70"/>
      <c r="E843" s="70"/>
      <c r="I843" s="77"/>
      <c r="J843" s="77"/>
    </row>
    <row r="844" spans="4:10" ht="12.75">
      <c r="D844" s="70"/>
      <c r="E844" s="70"/>
      <c r="I844" s="77"/>
      <c r="J844" s="77"/>
    </row>
    <row r="845" spans="4:10" ht="12.75">
      <c r="D845" s="70"/>
      <c r="E845" s="70"/>
      <c r="I845" s="77"/>
      <c r="J845" s="77"/>
    </row>
    <row r="846" spans="4:10" ht="12.75">
      <c r="D846" s="70"/>
      <c r="E846" s="70"/>
      <c r="I846" s="77"/>
      <c r="J846" s="77"/>
    </row>
    <row r="847" spans="4:10" ht="12.75">
      <c r="D847" s="70"/>
      <c r="E847" s="70"/>
      <c r="I847" s="77"/>
      <c r="J847" s="77"/>
    </row>
    <row r="848" spans="4:10" ht="12.75">
      <c r="D848" s="70"/>
      <c r="E848" s="70"/>
      <c r="I848" s="77"/>
      <c r="J848" s="77"/>
    </row>
    <row r="849" spans="4:10" ht="12.75">
      <c r="D849" s="70"/>
      <c r="E849" s="70"/>
      <c r="I849" s="77"/>
      <c r="J849" s="77"/>
    </row>
    <row r="850" spans="4:10" ht="12.75">
      <c r="D850" s="70"/>
      <c r="E850" s="70"/>
      <c r="I850" s="77"/>
      <c r="J850" s="77"/>
    </row>
    <row r="851" spans="4:10" ht="12.75">
      <c r="D851" s="70"/>
      <c r="E851" s="70"/>
      <c r="I851" s="77"/>
      <c r="J851" s="77"/>
    </row>
    <row r="852" spans="4:10" ht="12.75">
      <c r="D852" s="70"/>
      <c r="E852" s="70"/>
      <c r="I852" s="77"/>
      <c r="J852" s="77"/>
    </row>
    <row r="853" spans="4:10" ht="12.75">
      <c r="D853" s="70"/>
      <c r="E853" s="70"/>
      <c r="I853" s="77"/>
      <c r="J853" s="77"/>
    </row>
    <row r="854" spans="4:10" ht="12.75">
      <c r="D854" s="70"/>
      <c r="E854" s="70"/>
      <c r="I854" s="77"/>
      <c r="J854" s="77"/>
    </row>
    <row r="855" spans="4:10" ht="12.75">
      <c r="D855" s="70"/>
      <c r="E855" s="70"/>
      <c r="I855" s="77"/>
      <c r="J855" s="77"/>
    </row>
    <row r="856" spans="4:10" ht="12.75">
      <c r="D856" s="70"/>
      <c r="E856" s="70"/>
      <c r="I856" s="77"/>
      <c r="J856" s="77"/>
    </row>
    <row r="857" spans="4:10" ht="12.75">
      <c r="D857" s="70"/>
      <c r="E857" s="70"/>
      <c r="I857" s="77"/>
      <c r="J857" s="77"/>
    </row>
    <row r="858" spans="4:10" ht="12.75">
      <c r="D858" s="70"/>
      <c r="E858" s="70"/>
      <c r="I858" s="77"/>
      <c r="J858" s="77"/>
    </row>
    <row r="859" spans="4:10" ht="12.75">
      <c r="D859" s="70"/>
      <c r="E859" s="70"/>
      <c r="I859" s="77"/>
      <c r="J859" s="77"/>
    </row>
    <row r="860" spans="4:10" ht="12.75">
      <c r="D860" s="70"/>
      <c r="E860" s="70"/>
      <c r="I860" s="77"/>
      <c r="J860" s="77"/>
    </row>
    <row r="861" spans="4:10" ht="12.75">
      <c r="D861" s="70"/>
      <c r="E861" s="70"/>
      <c r="I861" s="77"/>
      <c r="J861" s="77"/>
    </row>
    <row r="862" spans="4:10" ht="12.75">
      <c r="D862" s="70"/>
      <c r="E862" s="70"/>
      <c r="I862" s="77"/>
      <c r="J862" s="77"/>
    </row>
    <row r="863" spans="4:10" ht="12.75">
      <c r="D863" s="70"/>
      <c r="E863" s="70"/>
      <c r="I863" s="77"/>
      <c r="J863" s="77"/>
    </row>
    <row r="864" spans="4:10" ht="12.75">
      <c r="D864" s="70"/>
      <c r="E864" s="70"/>
      <c r="I864" s="77"/>
      <c r="J864" s="77"/>
    </row>
    <row r="865" spans="4:10" ht="12.75">
      <c r="D865" s="70"/>
      <c r="E865" s="70"/>
      <c r="I865" s="77"/>
      <c r="J865" s="77"/>
    </row>
    <row r="866" spans="4:10" ht="12.75">
      <c r="D866" s="70"/>
      <c r="E866" s="70"/>
      <c r="I866" s="77"/>
      <c r="J866" s="77"/>
    </row>
    <row r="867" spans="4:10" ht="12.75">
      <c r="D867" s="70"/>
      <c r="E867" s="70"/>
      <c r="I867" s="77"/>
      <c r="J867" s="77"/>
    </row>
    <row r="868" spans="4:10" ht="12.75">
      <c r="D868" s="70"/>
      <c r="E868" s="70"/>
      <c r="I868" s="77"/>
      <c r="J868" s="77"/>
    </row>
    <row r="869" spans="4:10" ht="12.75">
      <c r="D869" s="70"/>
      <c r="E869" s="70"/>
      <c r="I869" s="77"/>
      <c r="J869" s="77"/>
    </row>
    <row r="870" spans="4:10" ht="12.75">
      <c r="D870" s="70"/>
      <c r="E870" s="70"/>
      <c r="I870" s="77"/>
      <c r="J870" s="77"/>
    </row>
    <row r="871" spans="4:10" ht="12.75">
      <c r="D871" s="70"/>
      <c r="E871" s="70"/>
      <c r="I871" s="77"/>
      <c r="J871" s="77"/>
    </row>
    <row r="872" spans="4:10" ht="12.75">
      <c r="D872" s="70"/>
      <c r="E872" s="70"/>
      <c r="I872" s="77"/>
      <c r="J872" s="77"/>
    </row>
    <row r="873" spans="4:10" ht="12.75">
      <c r="D873" s="70"/>
      <c r="E873" s="70"/>
      <c r="I873" s="77"/>
      <c r="J873" s="77"/>
    </row>
    <row r="874" spans="4:10" ht="12.75">
      <c r="D874" s="70"/>
      <c r="E874" s="70"/>
      <c r="I874" s="77"/>
      <c r="J874" s="77"/>
    </row>
    <row r="875" spans="4:10" ht="12.75">
      <c r="D875" s="70"/>
      <c r="E875" s="70"/>
      <c r="I875" s="77"/>
      <c r="J875" s="77"/>
    </row>
    <row r="876" spans="4:10" ht="12.75">
      <c r="D876" s="70"/>
      <c r="E876" s="70"/>
      <c r="I876" s="77"/>
      <c r="J876" s="77"/>
    </row>
    <row r="877" spans="4:10" ht="12.75">
      <c r="D877" s="70"/>
      <c r="E877" s="70"/>
      <c r="I877" s="77"/>
      <c r="J877" s="77"/>
    </row>
    <row r="878" spans="4:10" ht="12.75">
      <c r="D878" s="70"/>
      <c r="E878" s="70"/>
      <c r="I878" s="77"/>
      <c r="J878" s="77"/>
    </row>
    <row r="879" spans="4:10" ht="12.75">
      <c r="D879" s="70"/>
      <c r="E879" s="70"/>
      <c r="I879" s="77"/>
      <c r="J879" s="77"/>
    </row>
    <row r="880" spans="4:10" ht="12.75">
      <c r="D880" s="70"/>
      <c r="E880" s="70"/>
      <c r="I880" s="77"/>
      <c r="J880" s="77"/>
    </row>
    <row r="881" spans="4:10" ht="12.75">
      <c r="D881" s="70"/>
      <c r="E881" s="70"/>
      <c r="I881" s="77"/>
      <c r="J881" s="77"/>
    </row>
    <row r="882" spans="4:10" ht="12.75">
      <c r="D882" s="70"/>
      <c r="E882" s="70"/>
      <c r="I882" s="77"/>
      <c r="J882" s="77"/>
    </row>
    <row r="883" spans="4:10" ht="12.75">
      <c r="D883" s="70"/>
      <c r="E883" s="70"/>
      <c r="I883" s="77"/>
      <c r="J883" s="77"/>
    </row>
    <row r="884" spans="4:10" ht="12.75">
      <c r="D884" s="70"/>
      <c r="E884" s="70"/>
      <c r="I884" s="77"/>
      <c r="J884" s="77"/>
    </row>
    <row r="885" spans="4:10" ht="12.75">
      <c r="D885" s="70"/>
      <c r="E885" s="70"/>
      <c r="I885" s="77"/>
      <c r="J885" s="77"/>
    </row>
    <row r="886" spans="4:10" ht="12.75">
      <c r="D886" s="70"/>
      <c r="E886" s="70"/>
      <c r="I886" s="77"/>
      <c r="J886" s="77"/>
    </row>
    <row r="887" spans="4:10" ht="12.75">
      <c r="D887" s="70"/>
      <c r="E887" s="70"/>
      <c r="I887" s="77"/>
      <c r="J887" s="77"/>
    </row>
    <row r="888" spans="4:10" ht="12.75">
      <c r="D888" s="70"/>
      <c r="E888" s="70"/>
      <c r="I888" s="77"/>
      <c r="J888" s="77"/>
    </row>
    <row r="889" spans="4:10" ht="12.75">
      <c r="D889" s="70"/>
      <c r="E889" s="70"/>
      <c r="I889" s="77"/>
      <c r="J889" s="77"/>
    </row>
    <row r="890" spans="4:10" ht="12.75">
      <c r="D890" s="70"/>
      <c r="E890" s="70"/>
      <c r="I890" s="77"/>
      <c r="J890" s="77"/>
    </row>
    <row r="891" spans="4:10" ht="12.75">
      <c r="D891" s="70"/>
      <c r="E891" s="70"/>
      <c r="I891" s="77"/>
      <c r="J891" s="77"/>
    </row>
    <row r="892" spans="4:10" ht="12.75">
      <c r="D892" s="70"/>
      <c r="E892" s="70"/>
      <c r="I892" s="77"/>
      <c r="J892" s="77"/>
    </row>
    <row r="893" spans="4:10" ht="12.75">
      <c r="D893" s="70"/>
      <c r="E893" s="70"/>
      <c r="I893" s="77"/>
      <c r="J893" s="77"/>
    </row>
    <row r="894" spans="4:10" ht="12.75">
      <c r="D894" s="70"/>
      <c r="E894" s="70"/>
      <c r="I894" s="77"/>
      <c r="J894" s="77"/>
    </row>
    <row r="895" spans="4:10" ht="12.75">
      <c r="D895" s="70"/>
      <c r="E895" s="70"/>
      <c r="I895" s="77"/>
      <c r="J895" s="77"/>
    </row>
    <row r="896" spans="4:10" ht="12.75">
      <c r="D896" s="70"/>
      <c r="E896" s="70"/>
      <c r="I896" s="77"/>
      <c r="J896" s="77"/>
    </row>
    <row r="897" spans="4:10" ht="12.75">
      <c r="D897" s="70"/>
      <c r="E897" s="70"/>
      <c r="I897" s="77"/>
      <c r="J897" s="77"/>
    </row>
    <row r="898" spans="4:10" ht="12.75">
      <c r="D898" s="70"/>
      <c r="E898" s="70"/>
      <c r="I898" s="77"/>
      <c r="J898" s="77"/>
    </row>
    <row r="899" spans="4:10" ht="12.75">
      <c r="D899" s="70"/>
      <c r="E899" s="70"/>
      <c r="I899" s="77"/>
      <c r="J899" s="77"/>
    </row>
    <row r="900" spans="4:10" ht="12.75">
      <c r="D900" s="70"/>
      <c r="E900" s="70"/>
      <c r="I900" s="77"/>
      <c r="J900" s="77"/>
    </row>
    <row r="901" spans="4:10" ht="12.75">
      <c r="D901" s="70"/>
      <c r="E901" s="70"/>
      <c r="I901" s="77"/>
      <c r="J901" s="77"/>
    </row>
    <row r="902" spans="4:10" ht="12.75">
      <c r="D902" s="70"/>
      <c r="E902" s="70"/>
      <c r="I902" s="77"/>
      <c r="J902" s="77"/>
    </row>
    <row r="903" spans="4:10" ht="12.75">
      <c r="D903" s="70"/>
      <c r="E903" s="70"/>
      <c r="I903" s="77"/>
      <c r="J903" s="77"/>
    </row>
    <row r="904" spans="4:10" ht="12.75">
      <c r="D904" s="70"/>
      <c r="E904" s="70"/>
      <c r="I904" s="77"/>
      <c r="J904" s="77"/>
    </row>
    <row r="905" spans="4:10" ht="12.75">
      <c r="D905" s="70"/>
      <c r="E905" s="70"/>
      <c r="I905" s="77"/>
      <c r="J905" s="77"/>
    </row>
    <row r="906" spans="4:10" ht="12.75">
      <c r="D906" s="70"/>
      <c r="E906" s="70"/>
      <c r="I906" s="77"/>
      <c r="J906" s="77"/>
    </row>
    <row r="907" spans="4:10" ht="12.75">
      <c r="D907" s="70"/>
      <c r="E907" s="70"/>
      <c r="I907" s="77"/>
      <c r="J907" s="77"/>
    </row>
    <row r="908" spans="4:10" ht="12.75">
      <c r="D908" s="70"/>
      <c r="E908" s="70"/>
      <c r="I908" s="77"/>
      <c r="J908" s="77"/>
    </row>
    <row r="909" spans="4:10" ht="12.75">
      <c r="D909" s="70"/>
      <c r="E909" s="70"/>
      <c r="I909" s="77"/>
      <c r="J909" s="77"/>
    </row>
    <row r="910" spans="4:10" ht="12.75">
      <c r="D910" s="70"/>
      <c r="E910" s="70"/>
      <c r="I910" s="77"/>
      <c r="J910" s="77"/>
    </row>
    <row r="911" spans="4:10" ht="12.75">
      <c r="D911" s="70"/>
      <c r="E911" s="70"/>
      <c r="I911" s="77"/>
      <c r="J911" s="77"/>
    </row>
    <row r="912" spans="4:10" ht="12.75">
      <c r="D912" s="70"/>
      <c r="E912" s="70"/>
      <c r="I912" s="77"/>
      <c r="J912" s="77"/>
    </row>
    <row r="913" spans="4:10" ht="12.75">
      <c r="D913" s="70"/>
      <c r="E913" s="70"/>
      <c r="I913" s="77"/>
      <c r="J913" s="77"/>
    </row>
    <row r="914" spans="4:10" ht="12.75">
      <c r="D914" s="70"/>
      <c r="E914" s="70"/>
      <c r="I914" s="77"/>
      <c r="J914" s="77"/>
    </row>
    <row r="915" spans="4:10" ht="12.75">
      <c r="D915" s="70"/>
      <c r="E915" s="70"/>
      <c r="I915" s="77"/>
      <c r="J915" s="77"/>
    </row>
    <row r="916" spans="4:10" ht="12.75">
      <c r="D916" s="70"/>
      <c r="E916" s="70"/>
      <c r="I916" s="77"/>
      <c r="J916" s="77"/>
    </row>
    <row r="917" spans="4:10" ht="12.75">
      <c r="D917" s="70"/>
      <c r="E917" s="70"/>
      <c r="I917" s="77"/>
      <c r="J917" s="77"/>
    </row>
    <row r="918" spans="4:10" ht="12.75">
      <c r="D918" s="70"/>
      <c r="E918" s="70"/>
      <c r="I918" s="77"/>
      <c r="J918" s="77"/>
    </row>
    <row r="919" spans="4:10" ht="12.75">
      <c r="D919" s="70"/>
      <c r="E919" s="70"/>
      <c r="I919" s="77"/>
      <c r="J919" s="77"/>
    </row>
    <row r="920" spans="4:10" ht="12.75">
      <c r="D920" s="70"/>
      <c r="E920" s="70"/>
      <c r="I920" s="77"/>
      <c r="J920" s="77"/>
    </row>
    <row r="921" spans="4:10" ht="12.75">
      <c r="D921" s="70"/>
      <c r="E921" s="70"/>
      <c r="I921" s="77"/>
      <c r="J921" s="77"/>
    </row>
    <row r="922" spans="4:10" ht="12.75">
      <c r="D922" s="70"/>
      <c r="E922" s="70"/>
      <c r="I922" s="77"/>
      <c r="J922" s="77"/>
    </row>
    <row r="923" spans="4:10" ht="12.75">
      <c r="D923" s="70"/>
      <c r="E923" s="70"/>
      <c r="I923" s="77"/>
      <c r="J923" s="77"/>
    </row>
    <row r="924" spans="4:10" ht="12.75">
      <c r="D924" s="70"/>
      <c r="E924" s="70"/>
      <c r="I924" s="77"/>
      <c r="J924" s="77"/>
    </row>
    <row r="925" spans="4:10" ht="12.75">
      <c r="D925" s="70"/>
      <c r="E925" s="70"/>
      <c r="I925" s="77"/>
      <c r="J925" s="77"/>
    </row>
    <row r="926" spans="4:10" ht="12.75">
      <c r="D926" s="70"/>
      <c r="E926" s="70"/>
      <c r="I926" s="77"/>
      <c r="J926" s="77"/>
    </row>
    <row r="927" spans="4:10" ht="12.75">
      <c r="D927" s="70"/>
      <c r="E927" s="70"/>
      <c r="I927" s="77"/>
      <c r="J927" s="77"/>
    </row>
    <row r="928" spans="4:10" ht="12.75">
      <c r="D928" s="70"/>
      <c r="E928" s="70"/>
      <c r="I928" s="77"/>
      <c r="J928" s="77"/>
    </row>
    <row r="929" spans="4:10" ht="12.75">
      <c r="D929" s="70"/>
      <c r="E929" s="70"/>
      <c r="I929" s="77"/>
      <c r="J929" s="77"/>
    </row>
    <row r="930" spans="4:10" ht="12.75">
      <c r="D930" s="70"/>
      <c r="E930" s="70"/>
      <c r="I930" s="77"/>
      <c r="J930" s="77"/>
    </row>
    <row r="931" spans="4:10" ht="12.75">
      <c r="D931" s="70"/>
      <c r="E931" s="70"/>
      <c r="I931" s="77"/>
      <c r="J931" s="77"/>
    </row>
    <row r="932" spans="4:10" ht="12.75">
      <c r="D932" s="70"/>
      <c r="E932" s="70"/>
      <c r="I932" s="77"/>
      <c r="J932" s="77"/>
    </row>
    <row r="933" spans="4:10" ht="12.75">
      <c r="D933" s="70"/>
      <c r="E933" s="70"/>
      <c r="I933" s="77"/>
      <c r="J933" s="77"/>
    </row>
    <row r="934" spans="4:10" ht="12.75">
      <c r="D934" s="70"/>
      <c r="E934" s="70"/>
      <c r="I934" s="77"/>
      <c r="J934" s="77"/>
    </row>
    <row r="935" spans="4:10" ht="12.75">
      <c r="D935" s="70"/>
      <c r="E935" s="70"/>
      <c r="I935" s="77"/>
      <c r="J935" s="77"/>
    </row>
    <row r="936" spans="4:10" ht="12.75">
      <c r="D936" s="70"/>
      <c r="E936" s="70"/>
      <c r="I936" s="77"/>
      <c r="J936" s="77"/>
    </row>
    <row r="937" spans="4:10" ht="12.75">
      <c r="D937" s="70"/>
      <c r="E937" s="70"/>
      <c r="I937" s="77"/>
      <c r="J937" s="77"/>
    </row>
    <row r="938" spans="4:10" ht="12.75">
      <c r="D938" s="70"/>
      <c r="E938" s="70"/>
      <c r="I938" s="77"/>
      <c r="J938" s="77"/>
    </row>
    <row r="939" spans="4:10" ht="12.75">
      <c r="D939" s="70"/>
      <c r="E939" s="70"/>
      <c r="I939" s="77"/>
      <c r="J939" s="77"/>
    </row>
    <row r="940" spans="4:10" ht="12.75">
      <c r="D940" s="70"/>
      <c r="E940" s="70"/>
      <c r="I940" s="77"/>
      <c r="J940" s="77"/>
    </row>
    <row r="941" spans="4:10" ht="12.75">
      <c r="D941" s="70"/>
      <c r="E941" s="70"/>
      <c r="I941" s="77"/>
      <c r="J941" s="77"/>
    </row>
    <row r="942" spans="4:10" ht="12.75">
      <c r="D942" s="70"/>
      <c r="E942" s="70"/>
      <c r="I942" s="77"/>
      <c r="J942" s="77"/>
    </row>
    <row r="943" spans="4:10" ht="12.75">
      <c r="D943" s="70"/>
      <c r="E943" s="70"/>
      <c r="I943" s="77"/>
      <c r="J943" s="77"/>
    </row>
    <row r="944" spans="4:10" ht="12.75">
      <c r="D944" s="70"/>
      <c r="E944" s="70"/>
      <c r="I944" s="77"/>
      <c r="J944" s="77"/>
    </row>
    <row r="945" spans="4:10" ht="12.75">
      <c r="D945" s="70"/>
      <c r="E945" s="70"/>
      <c r="I945" s="77"/>
      <c r="J945" s="77"/>
    </row>
    <row r="946" spans="4:10" ht="12.75">
      <c r="D946" s="70"/>
      <c r="E946" s="70"/>
      <c r="I946" s="77"/>
      <c r="J946" s="77"/>
    </row>
    <row r="947" spans="4:10" ht="12.75">
      <c r="D947" s="70"/>
      <c r="E947" s="70"/>
      <c r="I947" s="77"/>
      <c r="J947" s="77"/>
    </row>
    <row r="948" spans="4:10" ht="12.75">
      <c r="D948" s="70"/>
      <c r="E948" s="70"/>
      <c r="I948" s="77"/>
      <c r="J948" s="77"/>
    </row>
    <row r="949" spans="4:10" ht="12.75">
      <c r="D949" s="70"/>
      <c r="E949" s="70"/>
      <c r="I949" s="77"/>
      <c r="J949" s="77"/>
    </row>
    <row r="950" spans="4:10" ht="12.75">
      <c r="D950" s="70"/>
      <c r="E950" s="70"/>
      <c r="I950" s="77"/>
      <c r="J950" s="77"/>
    </row>
    <row r="951" spans="4:10" ht="12.75">
      <c r="D951" s="70"/>
      <c r="E951" s="70"/>
      <c r="I951" s="77"/>
      <c r="J951" s="77"/>
    </row>
    <row r="952" spans="4:10" ht="12.75">
      <c r="D952" s="70"/>
      <c r="E952" s="70"/>
      <c r="I952" s="77"/>
      <c r="J952" s="77"/>
    </row>
    <row r="953" spans="4:10" ht="12.75">
      <c r="D953" s="70"/>
      <c r="E953" s="70"/>
      <c r="I953" s="77"/>
      <c r="J953" s="77"/>
    </row>
    <row r="954" spans="4:10" ht="12.75">
      <c r="D954" s="70"/>
      <c r="E954" s="70"/>
      <c r="I954" s="77"/>
      <c r="J954" s="77"/>
    </row>
    <row r="955" spans="4:10" ht="12.75">
      <c r="D955" s="70"/>
      <c r="E955" s="70"/>
      <c r="I955" s="77"/>
      <c r="J955" s="77"/>
    </row>
    <row r="956" spans="4:10" ht="12.75">
      <c r="D956" s="70"/>
      <c r="E956" s="70"/>
      <c r="I956" s="77"/>
      <c r="J956" s="77"/>
    </row>
    <row r="957" spans="4:10" ht="12.75">
      <c r="D957" s="70"/>
      <c r="E957" s="70"/>
      <c r="I957" s="77"/>
      <c r="J957" s="77"/>
    </row>
    <row r="958" spans="4:10" ht="12.75">
      <c r="D958" s="70"/>
      <c r="E958" s="70"/>
      <c r="I958" s="77"/>
      <c r="J958" s="77"/>
    </row>
    <row r="959" spans="4:10" ht="12.75">
      <c r="D959" s="70"/>
      <c r="E959" s="70"/>
      <c r="I959" s="77"/>
      <c r="J959" s="77"/>
    </row>
    <row r="960" spans="4:10" ht="12.75">
      <c r="D960" s="70"/>
      <c r="E960" s="70"/>
      <c r="I960" s="77"/>
      <c r="J960" s="77"/>
    </row>
    <row r="961" spans="4:10" ht="12.75">
      <c r="D961" s="70"/>
      <c r="E961" s="70"/>
      <c r="I961" s="77"/>
      <c r="J961" s="77"/>
    </row>
    <row r="962" spans="4:10" ht="12.75">
      <c r="D962" s="70"/>
      <c r="E962" s="70"/>
      <c r="I962" s="77"/>
      <c r="J962" s="77"/>
    </row>
    <row r="963" spans="4:10" ht="12.75">
      <c r="D963" s="70"/>
      <c r="E963" s="70"/>
      <c r="I963" s="77"/>
      <c r="J963" s="77"/>
    </row>
    <row r="964" spans="4:10" ht="12.75">
      <c r="D964" s="70"/>
      <c r="E964" s="70"/>
      <c r="I964" s="77"/>
      <c r="J964" s="77"/>
    </row>
    <row r="965" spans="4:10" ht="12.75">
      <c r="D965" s="70"/>
      <c r="E965" s="70"/>
      <c r="I965" s="77"/>
      <c r="J965" s="77"/>
    </row>
    <row r="966" spans="4:10" ht="12.75">
      <c r="D966" s="70"/>
      <c r="E966" s="70"/>
      <c r="I966" s="77"/>
      <c r="J966" s="77"/>
    </row>
    <row r="967" spans="4:10" ht="12.75">
      <c r="D967" s="70"/>
      <c r="E967" s="70"/>
      <c r="I967" s="77"/>
      <c r="J967" s="77"/>
    </row>
    <row r="968" spans="4:10" ht="12.75">
      <c r="D968" s="70"/>
      <c r="E968" s="70"/>
      <c r="I968" s="77"/>
      <c r="J968" s="77"/>
    </row>
    <row r="969" spans="4:10" ht="12.75">
      <c r="D969" s="70"/>
      <c r="E969" s="70"/>
      <c r="I969" s="77"/>
      <c r="J969" s="77"/>
    </row>
    <row r="970" spans="4:10" ht="12.75">
      <c r="D970" s="70"/>
      <c r="E970" s="70"/>
      <c r="I970" s="77"/>
      <c r="J970" s="77"/>
    </row>
    <row r="971" spans="4:10" ht="12.75">
      <c r="D971" s="70"/>
      <c r="E971" s="70"/>
      <c r="I971" s="77"/>
      <c r="J971" s="77"/>
    </row>
    <row r="972" spans="4:10" ht="12.75">
      <c r="D972" s="70"/>
      <c r="E972" s="70"/>
      <c r="I972" s="77"/>
      <c r="J972" s="77"/>
    </row>
    <row r="973" spans="4:10" ht="12.75">
      <c r="D973" s="70"/>
      <c r="E973" s="70"/>
      <c r="I973" s="77"/>
      <c r="J973" s="77"/>
    </row>
    <row r="974" spans="4:10" ht="12.75">
      <c r="D974" s="70"/>
      <c r="E974" s="70"/>
      <c r="I974" s="77"/>
      <c r="J974" s="77"/>
    </row>
    <row r="975" spans="4:10" ht="12.75">
      <c r="D975" s="70"/>
      <c r="E975" s="70"/>
      <c r="I975" s="77"/>
      <c r="J975" s="77"/>
    </row>
    <row r="976" spans="4:10" ht="12.75">
      <c r="D976" s="70"/>
      <c r="E976" s="70"/>
      <c r="I976" s="77"/>
      <c r="J976" s="77"/>
    </row>
    <row r="977" spans="4:10" ht="12.75">
      <c r="D977" s="70"/>
      <c r="E977" s="70"/>
      <c r="I977" s="77"/>
      <c r="J977" s="77"/>
    </row>
    <row r="978" spans="4:10" ht="12.75">
      <c r="D978" s="70"/>
      <c r="E978" s="70"/>
      <c r="I978" s="77"/>
      <c r="J978" s="77"/>
    </row>
    <row r="979" spans="4:10" ht="12.75">
      <c r="D979" s="70"/>
      <c r="E979" s="70"/>
      <c r="I979" s="77"/>
      <c r="J979" s="77"/>
    </row>
    <row r="980" spans="4:10" ht="12.75">
      <c r="D980" s="70"/>
      <c r="E980" s="70"/>
      <c r="I980" s="77"/>
      <c r="J980" s="77"/>
    </row>
    <row r="981" spans="4:10" ht="12.75">
      <c r="D981" s="70"/>
      <c r="E981" s="70"/>
      <c r="I981" s="77"/>
      <c r="J981" s="77"/>
    </row>
    <row r="982" spans="4:10" ht="12.75">
      <c r="D982" s="70"/>
      <c r="E982" s="70"/>
      <c r="I982" s="77"/>
      <c r="J982" s="77"/>
    </row>
    <row r="983" spans="4:10" ht="12.75">
      <c r="D983" s="70"/>
      <c r="E983" s="70"/>
      <c r="I983" s="77"/>
      <c r="J983" s="77"/>
    </row>
    <row r="984" spans="4:10" ht="12.75">
      <c r="D984" s="70"/>
      <c r="E984" s="70"/>
      <c r="I984" s="77"/>
      <c r="J984" s="77"/>
    </row>
    <row r="985" spans="4:10" ht="12.75">
      <c r="D985" s="70"/>
      <c r="E985" s="70"/>
      <c r="I985" s="77"/>
      <c r="J985" s="77"/>
    </row>
    <row r="986" spans="4:10" ht="12.75">
      <c r="D986" s="70"/>
      <c r="E986" s="70"/>
      <c r="I986" s="77"/>
      <c r="J986" s="77"/>
    </row>
    <row r="987" spans="4:10" ht="12.75">
      <c r="D987" s="70"/>
      <c r="E987" s="70"/>
      <c r="I987" s="77"/>
      <c r="J987" s="77"/>
    </row>
    <row r="988" spans="4:10" ht="12.75">
      <c r="D988" s="70"/>
      <c r="E988" s="70"/>
      <c r="I988" s="77"/>
      <c r="J988" s="77"/>
    </row>
    <row r="989" spans="4:10" ht="12.75">
      <c r="D989" s="70"/>
      <c r="E989" s="70"/>
      <c r="I989" s="77"/>
      <c r="J989" s="77"/>
    </row>
    <row r="990" spans="4:10" ht="12.75">
      <c r="D990" s="70"/>
      <c r="E990" s="70"/>
      <c r="I990" s="77"/>
      <c r="J990" s="77"/>
    </row>
    <row r="991" spans="4:10" ht="12.75">
      <c r="D991" s="70"/>
      <c r="E991" s="70"/>
      <c r="I991" s="77"/>
      <c r="J991" s="77"/>
    </row>
    <row r="992" spans="4:10" ht="12.75">
      <c r="D992" s="70"/>
      <c r="E992" s="70"/>
      <c r="I992" s="77"/>
      <c r="J992" s="77"/>
    </row>
    <row r="993" spans="4:10" ht="12.75">
      <c r="D993" s="70"/>
      <c r="E993" s="70"/>
      <c r="I993" s="77"/>
      <c r="J993" s="77"/>
    </row>
    <row r="994" spans="4:10" ht="12.75">
      <c r="D994" s="70"/>
      <c r="E994" s="70"/>
      <c r="I994" s="77"/>
      <c r="J994" s="77"/>
    </row>
    <row r="995" spans="4:10" ht="12.75">
      <c r="D995" s="70"/>
      <c r="E995" s="70"/>
      <c r="I995" s="77"/>
      <c r="J995" s="77"/>
    </row>
    <row r="996" spans="4:10" ht="12.75">
      <c r="D996" s="70"/>
      <c r="E996" s="70"/>
      <c r="I996" s="77"/>
      <c r="J996" s="77"/>
    </row>
    <row r="997" spans="4:10" ht="12.75">
      <c r="D997" s="70"/>
      <c r="E997" s="70"/>
      <c r="I997" s="77"/>
      <c r="J997" s="77"/>
    </row>
    <row r="998" spans="4:10" ht="12.75">
      <c r="D998" s="70"/>
      <c r="E998" s="70"/>
      <c r="I998" s="77"/>
      <c r="J998" s="77"/>
    </row>
    <row r="999" spans="4:10" ht="12.75">
      <c r="D999" s="70"/>
      <c r="E999" s="70"/>
      <c r="I999" s="77"/>
      <c r="J999" s="77"/>
    </row>
    <row r="1000" spans="4:10" ht="12.75">
      <c r="D1000" s="70"/>
      <c r="E1000" s="70"/>
      <c r="I1000" s="77"/>
      <c r="J1000" s="77"/>
    </row>
    <row r="1001" spans="4:10" ht="12.75">
      <c r="D1001" s="70"/>
      <c r="E1001" s="70"/>
      <c r="I1001" s="77"/>
      <c r="J1001" s="77"/>
    </row>
    <row r="1002" spans="4:10" ht="12.75">
      <c r="D1002" s="70"/>
      <c r="E1002" s="70"/>
      <c r="I1002" s="77"/>
      <c r="J1002" s="77"/>
    </row>
    <row r="1003" spans="4:10" ht="12.75">
      <c r="D1003" s="70"/>
      <c r="E1003" s="70"/>
      <c r="I1003" s="77"/>
      <c r="J1003" s="77"/>
    </row>
    <row r="1004" spans="4:10" ht="12.75">
      <c r="D1004" s="70"/>
      <c r="E1004" s="70"/>
      <c r="I1004" s="77"/>
      <c r="J1004" s="77"/>
    </row>
    <row r="1005" spans="4:10" ht="12.75">
      <c r="D1005" s="70"/>
      <c r="E1005" s="70"/>
      <c r="I1005" s="77"/>
      <c r="J1005" s="77"/>
    </row>
    <row r="1006" spans="4:10" ht="12.75">
      <c r="D1006" s="70"/>
      <c r="E1006" s="70"/>
      <c r="I1006" s="77"/>
      <c r="J1006" s="77"/>
    </row>
    <row r="1007" spans="4:10" ht="12.75">
      <c r="D1007" s="70"/>
      <c r="E1007" s="70"/>
      <c r="I1007" s="77"/>
      <c r="J1007" s="77"/>
    </row>
    <row r="1008" spans="4:10" ht="12.75">
      <c r="D1008" s="70"/>
      <c r="E1008" s="70"/>
      <c r="I1008" s="77"/>
      <c r="J1008" s="77"/>
    </row>
    <row r="1009" spans="4:10" ht="12.75">
      <c r="D1009" s="70"/>
      <c r="E1009" s="70"/>
      <c r="I1009" s="77"/>
      <c r="J1009" s="77"/>
    </row>
    <row r="1010" spans="4:10" ht="12.75">
      <c r="D1010" s="70"/>
      <c r="E1010" s="70"/>
      <c r="I1010" s="77"/>
      <c r="J1010" s="77"/>
    </row>
    <row r="1011" spans="4:9" ht="12.75">
      <c r="D1011" s="70"/>
      <c r="E1011" s="70"/>
      <c r="I1011" s="77"/>
    </row>
    <row r="1012" spans="4:9" ht="12.75">
      <c r="D1012" s="70"/>
      <c r="E1012" s="70"/>
      <c r="I1012" s="77"/>
    </row>
    <row r="1013" spans="4:9" ht="12.75">
      <c r="D1013" s="70"/>
      <c r="E1013" s="70"/>
      <c r="I1013" s="77"/>
    </row>
    <row r="1014" spans="4:9" ht="12.75">
      <c r="D1014" s="70"/>
      <c r="E1014" s="70"/>
      <c r="I1014" s="77"/>
    </row>
    <row r="1015" spans="4:9" ht="12.75">
      <c r="D1015" s="70"/>
      <c r="E1015" s="70"/>
      <c r="I1015" s="77"/>
    </row>
    <row r="1016" spans="4:9" ht="12.75">
      <c r="D1016" s="70"/>
      <c r="E1016" s="70"/>
      <c r="I1016" s="77"/>
    </row>
    <row r="1017" spans="4:9" ht="12.75">
      <c r="D1017" s="70"/>
      <c r="E1017" s="70"/>
      <c r="I1017" s="77"/>
    </row>
    <row r="1018" spans="4:9" ht="12.75">
      <c r="D1018" s="70"/>
      <c r="E1018" s="70"/>
      <c r="I1018" s="77"/>
    </row>
    <row r="1019" spans="4:9" ht="12.75">
      <c r="D1019" s="70"/>
      <c r="E1019" s="70"/>
      <c r="I1019" s="77"/>
    </row>
    <row r="1020" spans="4:9" ht="12.75">
      <c r="D1020" s="70"/>
      <c r="E1020" s="70"/>
      <c r="I1020" s="77"/>
    </row>
    <row r="1021" spans="4:9" ht="12.75">
      <c r="D1021" s="70"/>
      <c r="E1021" s="70"/>
      <c r="I1021" s="77"/>
    </row>
    <row r="1022" spans="4:9" ht="12.75">
      <c r="D1022" s="70"/>
      <c r="E1022" s="70"/>
      <c r="I1022" s="77"/>
    </row>
    <row r="1023" spans="4:9" ht="12.75">
      <c r="D1023" s="70"/>
      <c r="E1023" s="70"/>
      <c r="I1023" s="77"/>
    </row>
    <row r="1024" spans="4:9" ht="12.75">
      <c r="D1024" s="70"/>
      <c r="E1024" s="70"/>
      <c r="I1024" s="77"/>
    </row>
    <row r="1025" spans="4:9" ht="12.75">
      <c r="D1025" s="70"/>
      <c r="E1025" s="70"/>
      <c r="I1025" s="77"/>
    </row>
    <row r="1026" spans="4:9" ht="12.75">
      <c r="D1026" s="70"/>
      <c r="E1026" s="70"/>
      <c r="I1026" s="77"/>
    </row>
    <row r="1027" spans="4:9" ht="12.75">
      <c r="D1027" s="70"/>
      <c r="E1027" s="70"/>
      <c r="I1027" s="77"/>
    </row>
    <row r="1028" spans="4:9" ht="12.75">
      <c r="D1028" s="70"/>
      <c r="E1028" s="70"/>
      <c r="I1028" s="77"/>
    </row>
    <row r="1029" spans="4:9" ht="12.75">
      <c r="D1029" s="70"/>
      <c r="E1029" s="70"/>
      <c r="I1029" s="77"/>
    </row>
    <row r="1030" spans="4:9" ht="12.75">
      <c r="D1030" s="70"/>
      <c r="E1030" s="70"/>
      <c r="I1030" s="77"/>
    </row>
    <row r="1031" spans="4:9" ht="12.75">
      <c r="D1031" s="70"/>
      <c r="E1031" s="70"/>
      <c r="I1031" s="77"/>
    </row>
    <row r="1032" spans="4:9" ht="12.75">
      <c r="D1032" s="70"/>
      <c r="E1032" s="70"/>
      <c r="I1032" s="77"/>
    </row>
    <row r="1033" spans="4:9" ht="12.75">
      <c r="D1033" s="70"/>
      <c r="E1033" s="70"/>
      <c r="I1033" s="77"/>
    </row>
    <row r="1034" spans="4:9" ht="12.75">
      <c r="D1034" s="70"/>
      <c r="E1034" s="70"/>
      <c r="I1034" s="77"/>
    </row>
    <row r="1035" spans="4:9" ht="12.75">
      <c r="D1035" s="70"/>
      <c r="E1035" s="70"/>
      <c r="I1035" s="77"/>
    </row>
    <row r="1036" spans="4:9" ht="12.75">
      <c r="D1036" s="70"/>
      <c r="E1036" s="70"/>
      <c r="I1036" s="77"/>
    </row>
    <row r="1037" spans="4:9" ht="12.75">
      <c r="D1037" s="70"/>
      <c r="E1037" s="70"/>
      <c r="I1037" s="77"/>
    </row>
    <row r="1038" spans="4:9" ht="12.75">
      <c r="D1038" s="70"/>
      <c r="E1038" s="70"/>
      <c r="I1038" s="77"/>
    </row>
    <row r="1039" spans="4:9" ht="12.75">
      <c r="D1039" s="70"/>
      <c r="E1039" s="70"/>
      <c r="I1039" s="77"/>
    </row>
    <row r="1040" spans="4:9" ht="12.75">
      <c r="D1040" s="70"/>
      <c r="E1040" s="70"/>
      <c r="I1040" s="77"/>
    </row>
    <row r="1041" spans="4:9" ht="12.75">
      <c r="D1041" s="70"/>
      <c r="E1041" s="70"/>
      <c r="I1041" s="77"/>
    </row>
    <row r="1042" spans="4:9" ht="12.75">
      <c r="D1042" s="70"/>
      <c r="E1042" s="70"/>
      <c r="I1042" s="77"/>
    </row>
    <row r="1043" spans="4:9" ht="12.75">
      <c r="D1043" s="70"/>
      <c r="E1043" s="70"/>
      <c r="I1043" s="77"/>
    </row>
    <row r="1044" spans="4:9" ht="12.75">
      <c r="D1044" s="70"/>
      <c r="E1044" s="70"/>
      <c r="I1044" s="77"/>
    </row>
    <row r="1045" spans="4:9" ht="12.75">
      <c r="D1045" s="70"/>
      <c r="E1045" s="70"/>
      <c r="I1045" s="77"/>
    </row>
    <row r="1046" spans="4:9" ht="12.75">
      <c r="D1046" s="70"/>
      <c r="E1046" s="70"/>
      <c r="I1046" s="77"/>
    </row>
    <row r="1047" spans="4:9" ht="12.75">
      <c r="D1047" s="70"/>
      <c r="E1047" s="70"/>
      <c r="I1047" s="77"/>
    </row>
    <row r="1048" spans="4:9" ht="12.75">
      <c r="D1048" s="70"/>
      <c r="E1048" s="70"/>
      <c r="I1048" s="77"/>
    </row>
    <row r="1049" spans="4:9" ht="12.75">
      <c r="D1049" s="70"/>
      <c r="E1049" s="70"/>
      <c r="I1049" s="77"/>
    </row>
    <row r="1050" ht="12.75">
      <c r="I1050" s="77"/>
    </row>
    <row r="1051" ht="12.75">
      <c r="I1051" s="77"/>
    </row>
    <row r="1052" ht="12.75">
      <c r="I1052" s="77"/>
    </row>
    <row r="1053" ht="12.75">
      <c r="I1053" s="77"/>
    </row>
    <row r="1054" ht="12.75">
      <c r="I1054" s="77"/>
    </row>
    <row r="1055" ht="12.75">
      <c r="I1055" s="77"/>
    </row>
    <row r="1056" ht="12.75">
      <c r="I1056" s="77"/>
    </row>
    <row r="1057" ht="12.75">
      <c r="I1057" s="77"/>
    </row>
    <row r="1058" ht="12.75">
      <c r="I1058" s="77"/>
    </row>
    <row r="1059" ht="12.75">
      <c r="I1059" s="77"/>
    </row>
    <row r="1060" ht="12.75">
      <c r="I1060" s="77"/>
    </row>
    <row r="1061" ht="12.75">
      <c r="I1061" s="77"/>
    </row>
    <row r="1062" ht="12.75">
      <c r="I1062" s="77"/>
    </row>
    <row r="1063" ht="12.75">
      <c r="I1063" s="77"/>
    </row>
    <row r="1064" ht="12.75">
      <c r="I1064" s="77"/>
    </row>
    <row r="1065" ht="12.75">
      <c r="I1065" s="77"/>
    </row>
    <row r="1066" ht="12.75">
      <c r="I1066" s="77"/>
    </row>
    <row r="1067" ht="12.75">
      <c r="I1067" s="77"/>
    </row>
    <row r="1068" ht="12.75">
      <c r="I1068" s="77"/>
    </row>
    <row r="1069" ht="12.75">
      <c r="I1069" s="77"/>
    </row>
    <row r="1070" ht="12.75">
      <c r="I1070" s="77"/>
    </row>
    <row r="1071" ht="12.75">
      <c r="I1071" s="77"/>
    </row>
    <row r="1072" ht="12.75">
      <c r="I1072" s="77"/>
    </row>
    <row r="1073" ht="12.75">
      <c r="I1073" s="77"/>
    </row>
    <row r="1074" ht="12.75">
      <c r="I1074" s="77"/>
    </row>
    <row r="1075" ht="12.75">
      <c r="I1075" s="77"/>
    </row>
    <row r="1076" ht="12.75">
      <c r="I1076" s="77"/>
    </row>
    <row r="1077" ht="12.75">
      <c r="I1077" s="77"/>
    </row>
    <row r="1078" ht="12.75">
      <c r="I1078" s="77"/>
    </row>
    <row r="1079" ht="12.75">
      <c r="I1079" s="77"/>
    </row>
    <row r="1080" ht="12.75">
      <c r="I1080" s="77"/>
    </row>
    <row r="1081" ht="12.75">
      <c r="I1081" s="77"/>
    </row>
    <row r="1082" ht="12.75">
      <c r="I1082" s="77"/>
    </row>
    <row r="1083" ht="12.75">
      <c r="I1083" s="77"/>
    </row>
    <row r="1084" ht="12.75">
      <c r="I1084" s="77"/>
    </row>
    <row r="1085" ht="12.75">
      <c r="I1085" s="77"/>
    </row>
    <row r="1086" ht="12.75">
      <c r="I1086" s="77"/>
    </row>
    <row r="1087" ht="12.75">
      <c r="I1087" s="77"/>
    </row>
    <row r="1088" ht="12.75">
      <c r="I1088" s="77"/>
    </row>
    <row r="1089" ht="12.75">
      <c r="I1089" s="77"/>
    </row>
    <row r="1090" ht="12.75">
      <c r="I1090" s="77"/>
    </row>
    <row r="1091" ht="12.75">
      <c r="I1091" s="77"/>
    </row>
    <row r="1092" ht="12.75">
      <c r="I1092" s="77"/>
    </row>
    <row r="1093" ht="12.75">
      <c r="I1093" s="77"/>
    </row>
    <row r="1094" ht="12.75">
      <c r="I1094" s="77"/>
    </row>
    <row r="1095" ht="12.75">
      <c r="I1095" s="77"/>
    </row>
    <row r="1096" ht="12.75">
      <c r="I1096" s="77"/>
    </row>
    <row r="1097" ht="12.75">
      <c r="I1097" s="77"/>
    </row>
    <row r="1098" ht="12.75">
      <c r="I1098" s="77"/>
    </row>
    <row r="1099" ht="12.75">
      <c r="I1099" s="77"/>
    </row>
    <row r="1100" ht="12.75">
      <c r="I1100" s="77"/>
    </row>
    <row r="1101" ht="12.75">
      <c r="I1101" s="77"/>
    </row>
    <row r="1102" ht="12.75">
      <c r="I1102" s="77"/>
    </row>
    <row r="1103" ht="12.75">
      <c r="I1103" s="77"/>
    </row>
    <row r="1104" ht="12.75">
      <c r="I1104" s="77"/>
    </row>
    <row r="1105" ht="12.75">
      <c r="I1105" s="77"/>
    </row>
    <row r="1106" ht="12.75">
      <c r="I1106" s="77"/>
    </row>
    <row r="1107" ht="12.75">
      <c r="I1107" s="77"/>
    </row>
    <row r="1108" ht="12.75">
      <c r="I1108" s="77"/>
    </row>
    <row r="1109" ht="12.75">
      <c r="I1109" s="77"/>
    </row>
    <row r="1110" ht="12.75">
      <c r="I1110" s="77"/>
    </row>
    <row r="1111" ht="12.75">
      <c r="I1111" s="77"/>
    </row>
    <row r="1112" ht="12.75">
      <c r="I1112" s="77"/>
    </row>
    <row r="1113" ht="12.75">
      <c r="I1113" s="77"/>
    </row>
    <row r="1114" ht="12.75">
      <c r="I1114" s="77"/>
    </row>
    <row r="1115" ht="12.75">
      <c r="I1115" s="77"/>
    </row>
    <row r="1116" ht="12.75">
      <c r="I1116" s="77"/>
    </row>
    <row r="1117" ht="12.75">
      <c r="I1117" s="77"/>
    </row>
    <row r="1118" ht="12.75">
      <c r="I1118" s="77"/>
    </row>
    <row r="1119" ht="12.75">
      <c r="I1119" s="77"/>
    </row>
    <row r="1120" ht="12.75">
      <c r="I1120" s="77"/>
    </row>
    <row r="1121" ht="12.75">
      <c r="I1121" s="77"/>
    </row>
    <row r="1122" ht="12.75">
      <c r="I1122" s="77"/>
    </row>
    <row r="1123" ht="12.75">
      <c r="I1123" s="77"/>
    </row>
    <row r="1124" ht="12.75">
      <c r="I1124" s="77"/>
    </row>
    <row r="1125" ht="12.75">
      <c r="I1125" s="77"/>
    </row>
    <row r="1126" ht="12.75">
      <c r="I1126" s="77"/>
    </row>
    <row r="1127" ht="12.75">
      <c r="I1127" s="77"/>
    </row>
    <row r="1128" ht="12.75">
      <c r="I1128" s="77"/>
    </row>
    <row r="1129" ht="12.75">
      <c r="I1129" s="77"/>
    </row>
    <row r="1130" ht="12.75">
      <c r="I1130" s="77"/>
    </row>
    <row r="1131" ht="12.75">
      <c r="I1131" s="77"/>
    </row>
    <row r="1132" ht="12.75">
      <c r="I1132" s="77"/>
    </row>
    <row r="1133" ht="12.75">
      <c r="I1133" s="77"/>
    </row>
    <row r="1134" ht="12.75">
      <c r="I1134" s="77"/>
    </row>
    <row r="1135" ht="12.75">
      <c r="I1135" s="77"/>
    </row>
    <row r="1136" ht="12.75">
      <c r="I1136" s="77"/>
    </row>
    <row r="1137" ht="12.75">
      <c r="I1137" s="77"/>
    </row>
    <row r="1138" ht="12.75">
      <c r="I1138" s="77"/>
    </row>
    <row r="1139" ht="12.75">
      <c r="I1139" s="77"/>
    </row>
    <row r="1140" ht="12.75">
      <c r="I1140" s="77"/>
    </row>
    <row r="1141" ht="12.75">
      <c r="I1141" s="77"/>
    </row>
    <row r="1142" ht="12.75">
      <c r="I1142" s="77"/>
    </row>
    <row r="1143" ht="12.75">
      <c r="I1143" s="77"/>
    </row>
    <row r="1144" ht="12.75">
      <c r="I1144" s="77"/>
    </row>
    <row r="1145" ht="12.75">
      <c r="I1145" s="77"/>
    </row>
    <row r="1146" ht="12.75">
      <c r="I1146" s="77"/>
    </row>
    <row r="1147" ht="12.75">
      <c r="I1147" s="77"/>
    </row>
    <row r="1148" ht="12.75">
      <c r="I1148" s="77"/>
    </row>
    <row r="1149" ht="12.75">
      <c r="I1149" s="77"/>
    </row>
    <row r="1150" ht="12.75">
      <c r="I1150" s="77"/>
    </row>
    <row r="1151" ht="12.75">
      <c r="I1151" s="77"/>
    </row>
    <row r="1152" ht="12.75">
      <c r="I1152" s="77"/>
    </row>
    <row r="1153" ht="12.75">
      <c r="I1153" s="77"/>
    </row>
    <row r="1154" ht="12.75">
      <c r="I1154" s="77"/>
    </row>
    <row r="1155" ht="12.75">
      <c r="I1155" s="77"/>
    </row>
    <row r="1156" ht="12.75">
      <c r="I1156" s="77"/>
    </row>
    <row r="1157" ht="12.75">
      <c r="I1157" s="77"/>
    </row>
    <row r="1158" ht="12.75">
      <c r="I1158" s="77"/>
    </row>
    <row r="1159" ht="12.75">
      <c r="I1159" s="77"/>
    </row>
    <row r="1160" ht="12.75">
      <c r="I1160" s="77"/>
    </row>
    <row r="1161" ht="12.75">
      <c r="I1161" s="77"/>
    </row>
    <row r="1162" ht="12.75">
      <c r="I1162" s="77"/>
    </row>
    <row r="1163" ht="12.75">
      <c r="I1163" s="77"/>
    </row>
    <row r="1164" ht="12.75">
      <c r="I1164" s="77"/>
    </row>
    <row r="1165" ht="12.75">
      <c r="I1165" s="77"/>
    </row>
    <row r="1166" ht="12.75">
      <c r="I1166" s="77"/>
    </row>
    <row r="1167" ht="12.75">
      <c r="I1167" s="77"/>
    </row>
    <row r="1168" ht="12.75">
      <c r="I1168" s="77"/>
    </row>
    <row r="1169" ht="12.75">
      <c r="I1169" s="77"/>
    </row>
    <row r="1170" ht="12.75">
      <c r="I1170" s="77"/>
    </row>
    <row r="1171" ht="12.75">
      <c r="I1171" s="77"/>
    </row>
    <row r="1172" ht="12.75">
      <c r="I1172" s="77"/>
    </row>
    <row r="1173" ht="12.75">
      <c r="I1173" s="77"/>
    </row>
    <row r="1174" ht="12.75">
      <c r="I1174" s="77"/>
    </row>
    <row r="1175" ht="12.75">
      <c r="I1175" s="77"/>
    </row>
    <row r="1176" ht="12.75">
      <c r="I1176" s="77"/>
    </row>
    <row r="1177" ht="12.75">
      <c r="I1177" s="77"/>
    </row>
    <row r="1178" ht="12.75">
      <c r="I1178" s="77"/>
    </row>
    <row r="1179" ht="12.75">
      <c r="I1179" s="77"/>
    </row>
    <row r="1180" ht="12.75">
      <c r="I1180" s="77"/>
    </row>
    <row r="1181" ht="12.75">
      <c r="I1181" s="77"/>
    </row>
    <row r="1182" ht="12.75">
      <c r="I1182" s="77"/>
    </row>
    <row r="1183" ht="12.75">
      <c r="I1183" s="77"/>
    </row>
    <row r="1184" ht="12.75">
      <c r="I1184" s="77"/>
    </row>
    <row r="1185" ht="12.75">
      <c r="I1185" s="77"/>
    </row>
    <row r="1186" ht="12.75">
      <c r="I1186" s="77"/>
    </row>
    <row r="1187" ht="12.75">
      <c r="I1187" s="77"/>
    </row>
    <row r="1188" ht="12.75">
      <c r="I1188" s="77"/>
    </row>
    <row r="1189" ht="12.75">
      <c r="I1189" s="77"/>
    </row>
    <row r="1190" ht="12.75">
      <c r="I1190" s="77"/>
    </row>
    <row r="1191" ht="12.75">
      <c r="I1191" s="77"/>
    </row>
    <row r="1192" ht="12.75">
      <c r="I1192" s="77"/>
    </row>
    <row r="1193" ht="12.75">
      <c r="I1193" s="77"/>
    </row>
    <row r="1194" ht="12.75">
      <c r="I1194" s="77"/>
    </row>
    <row r="1195" ht="12.75">
      <c r="I1195" s="77"/>
    </row>
    <row r="1196" ht="12.75">
      <c r="I1196" s="77"/>
    </row>
    <row r="1197" ht="12.75">
      <c r="I1197" s="77"/>
    </row>
    <row r="1198" ht="12.75">
      <c r="I1198" s="77"/>
    </row>
    <row r="1199" ht="12.75">
      <c r="I1199" s="77"/>
    </row>
    <row r="1200" ht="12.75">
      <c r="I1200" s="77"/>
    </row>
    <row r="1201" ht="12.75">
      <c r="I1201" s="77"/>
    </row>
    <row r="1202" ht="12.75">
      <c r="I1202" s="77"/>
    </row>
    <row r="1203" ht="12.75">
      <c r="I1203" s="77"/>
    </row>
    <row r="1204" ht="12.75">
      <c r="I1204" s="77"/>
    </row>
    <row r="1205" ht="12.75">
      <c r="I1205" s="77"/>
    </row>
    <row r="1206" ht="12.75">
      <c r="I1206" s="77"/>
    </row>
    <row r="1207" ht="12.75">
      <c r="I1207" s="77"/>
    </row>
    <row r="1208" ht="12.75">
      <c r="I1208" s="77"/>
    </row>
    <row r="1209" ht="12.75">
      <c r="I1209" s="77"/>
    </row>
    <row r="1210" ht="12.75">
      <c r="I1210" s="77"/>
    </row>
    <row r="1211" ht="12.75">
      <c r="I1211" s="77"/>
    </row>
    <row r="1212" ht="12.75">
      <c r="I1212" s="77"/>
    </row>
    <row r="1213" ht="12.75">
      <c r="I1213" s="77"/>
    </row>
    <row r="1214" ht="12.75">
      <c r="I1214" s="77"/>
    </row>
    <row r="1215" ht="12.75">
      <c r="I1215" s="77"/>
    </row>
    <row r="1216" ht="12.75">
      <c r="I1216" s="77"/>
    </row>
    <row r="1217" ht="12.75">
      <c r="I1217" s="77"/>
    </row>
    <row r="1218" ht="12.75">
      <c r="I1218" s="77"/>
    </row>
    <row r="1219" ht="12.75">
      <c r="I1219" s="77"/>
    </row>
    <row r="1220" ht="12.75">
      <c r="I1220" s="77"/>
    </row>
    <row r="1221" ht="12.75">
      <c r="I1221" s="77"/>
    </row>
    <row r="1222" ht="12.75">
      <c r="I1222" s="77"/>
    </row>
    <row r="1223" ht="12.75">
      <c r="I1223" s="77"/>
    </row>
    <row r="1224" ht="12.75">
      <c r="I1224" s="77"/>
    </row>
    <row r="1225" ht="12.75">
      <c r="I1225" s="77"/>
    </row>
    <row r="1226" ht="12.75">
      <c r="I1226" s="77"/>
    </row>
    <row r="1227" ht="12.75">
      <c r="I1227" s="77"/>
    </row>
    <row r="1228" ht="12.75">
      <c r="I1228" s="77"/>
    </row>
    <row r="1229" ht="12.75">
      <c r="I1229" s="77"/>
    </row>
    <row r="1230" ht="12.75">
      <c r="I1230" s="77"/>
    </row>
    <row r="1231" ht="12.75">
      <c r="I1231" s="77"/>
    </row>
    <row r="1232" ht="12.75">
      <c r="I1232" s="77"/>
    </row>
    <row r="1233" ht="12.75">
      <c r="I1233" s="77"/>
    </row>
    <row r="1234" ht="12.75">
      <c r="I1234" s="77"/>
    </row>
    <row r="1235" ht="12.75">
      <c r="I1235" s="77"/>
    </row>
    <row r="1236" ht="12.75">
      <c r="I1236" s="77"/>
    </row>
    <row r="1237" ht="12.75">
      <c r="I1237" s="77"/>
    </row>
    <row r="1238" ht="12.75">
      <c r="I1238" s="77"/>
    </row>
    <row r="1239" ht="12.75">
      <c r="I1239" s="77"/>
    </row>
    <row r="1240" ht="12.75">
      <c r="I1240" s="77"/>
    </row>
    <row r="1241" ht="12.75">
      <c r="I1241" s="77"/>
    </row>
    <row r="1242" ht="12.75">
      <c r="I1242" s="77"/>
    </row>
    <row r="1243" ht="12.75">
      <c r="I1243" s="77"/>
    </row>
    <row r="1244" ht="12.75">
      <c r="I1244" s="77"/>
    </row>
    <row r="1245" ht="12.75">
      <c r="I1245" s="77"/>
    </row>
    <row r="1246" ht="12.75">
      <c r="I1246" s="77"/>
    </row>
    <row r="1247" ht="12.75">
      <c r="I1247" s="77"/>
    </row>
    <row r="1248" ht="12.75">
      <c r="I1248" s="77"/>
    </row>
    <row r="1249" ht="12.75">
      <c r="I1249" s="77"/>
    </row>
    <row r="1250" ht="12.75">
      <c r="I1250" s="77"/>
    </row>
    <row r="1251" ht="12.75">
      <c r="I1251" s="77"/>
    </row>
    <row r="1252" ht="12.75">
      <c r="I1252" s="77"/>
    </row>
    <row r="1253" ht="12.75">
      <c r="I1253" s="77"/>
    </row>
    <row r="1254" ht="12.75">
      <c r="I1254" s="77"/>
    </row>
    <row r="1255" ht="12.75">
      <c r="I1255" s="77"/>
    </row>
    <row r="1256" ht="12.75">
      <c r="I1256" s="77"/>
    </row>
    <row r="1257" ht="12.75">
      <c r="I1257" s="77"/>
    </row>
    <row r="1258" ht="12.75">
      <c r="I1258" s="77"/>
    </row>
    <row r="1259" ht="12.75">
      <c r="I1259" s="77"/>
    </row>
    <row r="1260" ht="12.75">
      <c r="I1260" s="77"/>
    </row>
    <row r="1261" ht="12.75">
      <c r="I1261" s="77"/>
    </row>
    <row r="1262" ht="12.75">
      <c r="I1262" s="77"/>
    </row>
    <row r="1263" ht="12.75">
      <c r="I1263" s="77"/>
    </row>
    <row r="1264" ht="12.75">
      <c r="I1264" s="77"/>
    </row>
    <row r="1265" ht="12.75">
      <c r="I1265" s="77"/>
    </row>
    <row r="1266" ht="12.75">
      <c r="I1266" s="77"/>
    </row>
    <row r="1267" ht="12.75">
      <c r="I1267" s="77"/>
    </row>
    <row r="1268" ht="12.75">
      <c r="I1268" s="77"/>
    </row>
    <row r="1269" ht="12.75">
      <c r="I1269" s="77"/>
    </row>
    <row r="1270" ht="12.75">
      <c r="I1270" s="77"/>
    </row>
    <row r="1271" ht="12.75">
      <c r="I1271" s="77"/>
    </row>
    <row r="1272" ht="12.75">
      <c r="I1272" s="77"/>
    </row>
    <row r="1273" ht="12.75">
      <c r="I1273" s="77"/>
    </row>
    <row r="1274" ht="12.75">
      <c r="I1274" s="77"/>
    </row>
    <row r="1275" ht="12.75">
      <c r="I1275" s="77"/>
    </row>
    <row r="1276" ht="12.75">
      <c r="I1276" s="77"/>
    </row>
    <row r="1277" ht="12.75">
      <c r="I1277" s="77"/>
    </row>
    <row r="1278" ht="12.75">
      <c r="I1278" s="77"/>
    </row>
    <row r="1279" ht="12.75">
      <c r="I1279" s="77"/>
    </row>
    <row r="1280" ht="12.75">
      <c r="I1280" s="77"/>
    </row>
    <row r="1281" ht="12.75">
      <c r="I1281" s="77"/>
    </row>
    <row r="1282" ht="12.75">
      <c r="I1282" s="77"/>
    </row>
    <row r="1283" ht="12.75">
      <c r="I1283" s="77"/>
    </row>
    <row r="1284" ht="12.75">
      <c r="I1284" s="77"/>
    </row>
    <row r="1285" ht="12.75">
      <c r="I1285" s="77"/>
    </row>
    <row r="1286" ht="12.75">
      <c r="I1286" s="77"/>
    </row>
    <row r="1287" ht="12.75">
      <c r="I1287" s="77"/>
    </row>
    <row r="1288" ht="12.75">
      <c r="I1288" s="77"/>
    </row>
    <row r="1289" ht="12.75">
      <c r="I1289" s="77"/>
    </row>
    <row r="1290" ht="12.75">
      <c r="I1290" s="77"/>
    </row>
    <row r="1291" ht="12.75">
      <c r="I1291" s="77"/>
    </row>
    <row r="1292" ht="12.75">
      <c r="I1292" s="77"/>
    </row>
    <row r="1293" ht="12.75">
      <c r="I1293" s="77"/>
    </row>
    <row r="1294" ht="12.75">
      <c r="I1294" s="77"/>
    </row>
    <row r="1295" ht="12.75">
      <c r="I1295" s="77"/>
    </row>
    <row r="1296" ht="12.75">
      <c r="I1296" s="77"/>
    </row>
    <row r="1297" ht="12.75">
      <c r="I1297" s="77"/>
    </row>
    <row r="1298" ht="12.75">
      <c r="I1298" s="77"/>
    </row>
    <row r="1299" ht="12.75">
      <c r="I1299" s="77"/>
    </row>
    <row r="1300" ht="12.75">
      <c r="I1300" s="77"/>
    </row>
    <row r="1301" ht="12.75">
      <c r="I1301" s="77"/>
    </row>
    <row r="1302" ht="12.75">
      <c r="I1302" s="77"/>
    </row>
    <row r="1303" ht="12.75">
      <c r="I1303" s="77"/>
    </row>
    <row r="1304" ht="12.75">
      <c r="I1304" s="77"/>
    </row>
    <row r="1305" ht="12.75">
      <c r="I1305" s="77"/>
    </row>
    <row r="1306" ht="12.75">
      <c r="I1306" s="77"/>
    </row>
    <row r="1307" ht="12.75">
      <c r="I1307" s="77"/>
    </row>
    <row r="1308" ht="12.75">
      <c r="I1308" s="77"/>
    </row>
    <row r="1309" ht="12.75">
      <c r="I1309" s="77"/>
    </row>
    <row r="1310" ht="12.75">
      <c r="I1310" s="77"/>
    </row>
    <row r="1311" ht="12.75">
      <c r="I1311" s="77"/>
    </row>
    <row r="1312" ht="12.75">
      <c r="I1312" s="77"/>
    </row>
    <row r="1313" ht="12.75">
      <c r="I1313" s="77"/>
    </row>
    <row r="1314" ht="12.75">
      <c r="I1314" s="77"/>
    </row>
    <row r="1315" ht="12.75">
      <c r="I1315" s="77"/>
    </row>
    <row r="1316" ht="12.75">
      <c r="I1316" s="77"/>
    </row>
    <row r="1317" ht="12.75">
      <c r="I1317" s="77"/>
    </row>
    <row r="1318" ht="12.75">
      <c r="I1318" s="77"/>
    </row>
    <row r="1319" ht="12.75">
      <c r="I1319" s="77"/>
    </row>
    <row r="1320" ht="12.75">
      <c r="I1320" s="77"/>
    </row>
    <row r="1321" ht="12.75">
      <c r="I1321" s="77"/>
    </row>
    <row r="1322" ht="12.75">
      <c r="I1322" s="77"/>
    </row>
    <row r="1323" ht="12.75">
      <c r="I1323" s="77"/>
    </row>
    <row r="1324" ht="12.75">
      <c r="I1324" s="77"/>
    </row>
    <row r="1325" ht="12.75">
      <c r="I1325" s="77"/>
    </row>
    <row r="1326" ht="12.75">
      <c r="I1326" s="77"/>
    </row>
    <row r="1327" ht="12.75">
      <c r="I1327" s="77"/>
    </row>
    <row r="1328" ht="12.75">
      <c r="I1328" s="77"/>
    </row>
    <row r="1329" ht="12.75">
      <c r="I1329" s="77"/>
    </row>
    <row r="1330" ht="12.75">
      <c r="I1330" s="77"/>
    </row>
    <row r="1331" ht="12.75">
      <c r="I1331" s="77"/>
    </row>
    <row r="1332" ht="12.75">
      <c r="I1332" s="77"/>
    </row>
    <row r="1333" ht="12.75">
      <c r="I1333" s="77"/>
    </row>
    <row r="1334" ht="12.75">
      <c r="I1334" s="77"/>
    </row>
    <row r="1335" ht="12.75">
      <c r="I1335" s="77"/>
    </row>
    <row r="1336" ht="12.75">
      <c r="I1336" s="77"/>
    </row>
    <row r="1337" ht="12.75">
      <c r="I1337" s="77"/>
    </row>
    <row r="1338" ht="12.75">
      <c r="I1338" s="77"/>
    </row>
    <row r="1339" ht="12.75">
      <c r="I1339" s="77"/>
    </row>
    <row r="1340" ht="12.75">
      <c r="I1340" s="77"/>
    </row>
    <row r="1341" ht="12.75">
      <c r="I1341" s="77"/>
    </row>
    <row r="1342" ht="12.75">
      <c r="I1342" s="77"/>
    </row>
    <row r="1343" ht="12.75">
      <c r="I1343" s="77"/>
    </row>
    <row r="1344" ht="12.75">
      <c r="I1344" s="77"/>
    </row>
    <row r="1345" ht="12.75">
      <c r="I1345" s="77"/>
    </row>
    <row r="1346" ht="12.75">
      <c r="I1346" s="77"/>
    </row>
    <row r="1347" ht="12.75">
      <c r="I1347" s="77"/>
    </row>
    <row r="1348" ht="12.75">
      <c r="I1348" s="77"/>
    </row>
    <row r="1349" ht="12.75">
      <c r="I1349" s="77"/>
    </row>
    <row r="1350" ht="12.75">
      <c r="I1350" s="77"/>
    </row>
    <row r="1351" ht="12.75">
      <c r="I1351" s="77"/>
    </row>
    <row r="1352" ht="12.75">
      <c r="I1352" s="77"/>
    </row>
    <row r="1353" ht="12.75">
      <c r="I1353" s="77"/>
    </row>
    <row r="1354" ht="12.75">
      <c r="I1354" s="77"/>
    </row>
    <row r="1355" ht="12.75">
      <c r="I1355" s="77"/>
    </row>
    <row r="1356" ht="12.75">
      <c r="I1356" s="77"/>
    </row>
    <row r="1357" ht="12.75">
      <c r="I1357" s="77"/>
    </row>
    <row r="1358" ht="12.75">
      <c r="I1358" s="77"/>
    </row>
    <row r="1359" ht="12.75">
      <c r="I1359" s="77"/>
    </row>
    <row r="1360" ht="12.75">
      <c r="I1360" s="77"/>
    </row>
    <row r="1361" ht="12.75">
      <c r="I1361" s="77"/>
    </row>
    <row r="1362" ht="12.75">
      <c r="I1362" s="77"/>
    </row>
    <row r="1363" ht="12.75">
      <c r="I1363" s="77"/>
    </row>
    <row r="1364" ht="12.75">
      <c r="I1364" s="77"/>
    </row>
    <row r="1365" ht="12.75">
      <c r="I1365" s="77"/>
    </row>
    <row r="1366" ht="12.75">
      <c r="I1366" s="77"/>
    </row>
    <row r="1367" ht="12.75">
      <c r="I1367" s="77"/>
    </row>
    <row r="1368" ht="12.75">
      <c r="I1368" s="77"/>
    </row>
    <row r="1369" ht="12.75">
      <c r="I1369" s="77"/>
    </row>
    <row r="1370" ht="12.75">
      <c r="I1370" s="77"/>
    </row>
    <row r="1371" ht="12.75">
      <c r="I1371" s="77"/>
    </row>
    <row r="1372" ht="12.75">
      <c r="I1372" s="77"/>
    </row>
    <row r="1373" ht="12.75">
      <c r="I1373" s="77"/>
    </row>
    <row r="1374" ht="12.75">
      <c r="I1374" s="77"/>
    </row>
    <row r="1375" ht="12.75">
      <c r="I1375" s="77"/>
    </row>
    <row r="1376" ht="12.75">
      <c r="I1376" s="77"/>
    </row>
    <row r="1377" ht="12.75">
      <c r="I1377" s="77"/>
    </row>
    <row r="1378" ht="12.75">
      <c r="I1378" s="77"/>
    </row>
    <row r="1379" ht="12.75">
      <c r="I1379" s="77"/>
    </row>
    <row r="1380" ht="12.75">
      <c r="I1380" s="77"/>
    </row>
    <row r="1381" ht="12.75">
      <c r="I1381" s="77"/>
    </row>
    <row r="1382" ht="12.75">
      <c r="I1382" s="77"/>
    </row>
    <row r="1383" ht="12.75">
      <c r="I1383" s="77"/>
    </row>
    <row r="1384" ht="12.75">
      <c r="I1384" s="77"/>
    </row>
    <row r="1385" ht="12.75">
      <c r="I1385" s="77"/>
    </row>
    <row r="1386" ht="12.75">
      <c r="I1386" s="77"/>
    </row>
    <row r="1387" ht="12.75">
      <c r="I1387" s="77"/>
    </row>
    <row r="1388" ht="12.75">
      <c r="I1388" s="77"/>
    </row>
    <row r="1389" ht="12.75">
      <c r="I1389" s="77"/>
    </row>
    <row r="1390" ht="12.75">
      <c r="I1390" s="77"/>
    </row>
    <row r="1391" ht="12.75">
      <c r="I1391" s="77"/>
    </row>
    <row r="1392" ht="12.75">
      <c r="I1392" s="77"/>
    </row>
    <row r="1393" ht="12.75">
      <c r="I1393" s="77"/>
    </row>
    <row r="1394" ht="12.75">
      <c r="I1394" s="77"/>
    </row>
    <row r="1395" ht="12.75">
      <c r="I1395" s="77"/>
    </row>
    <row r="1396" ht="12.75">
      <c r="I1396" s="77"/>
    </row>
    <row r="1397" ht="12.75">
      <c r="I1397" s="77"/>
    </row>
    <row r="1398" ht="12.75">
      <c r="I1398" s="77"/>
    </row>
    <row r="1399" ht="12.75">
      <c r="I1399" s="77"/>
    </row>
    <row r="1400" ht="12.75">
      <c r="I1400" s="77"/>
    </row>
    <row r="1401" ht="12.75">
      <c r="I1401" s="77"/>
    </row>
    <row r="1402" ht="12.75">
      <c r="I1402" s="77"/>
    </row>
    <row r="1403" ht="12.75">
      <c r="I1403" s="77"/>
    </row>
    <row r="1404" ht="12.75">
      <c r="I1404" s="77"/>
    </row>
    <row r="1405" ht="12.75">
      <c r="I1405" s="77"/>
    </row>
    <row r="1406" ht="12.75">
      <c r="I1406" s="77"/>
    </row>
    <row r="1407" ht="12.75">
      <c r="I1407" s="77"/>
    </row>
    <row r="1408" ht="12.75">
      <c r="I1408" s="77"/>
    </row>
    <row r="1409" ht="12.75">
      <c r="I1409" s="77"/>
    </row>
    <row r="1410" ht="12.75">
      <c r="I1410" s="77"/>
    </row>
    <row r="1411" ht="12.75">
      <c r="I1411" s="77"/>
    </row>
    <row r="1412" ht="12.75">
      <c r="I1412" s="77"/>
    </row>
    <row r="1413" ht="12.75">
      <c r="I1413" s="77"/>
    </row>
    <row r="1414" ht="12.75">
      <c r="I1414" s="77"/>
    </row>
    <row r="1415" ht="12.75">
      <c r="I1415" s="77"/>
    </row>
    <row r="1416" ht="12.75">
      <c r="I1416" s="77"/>
    </row>
    <row r="1417" ht="12.75">
      <c r="I1417" s="77"/>
    </row>
    <row r="1418" ht="12.75">
      <c r="I1418" s="77"/>
    </row>
    <row r="1419" ht="12.75">
      <c r="I1419" s="77"/>
    </row>
    <row r="1420" ht="12.75">
      <c r="I1420" s="77"/>
    </row>
    <row r="1421" ht="12.75">
      <c r="I1421" s="77"/>
    </row>
    <row r="1422" ht="12.75">
      <c r="I1422" s="77"/>
    </row>
    <row r="1423" ht="12.75">
      <c r="I1423" s="77"/>
    </row>
    <row r="1424" ht="12.75">
      <c r="I1424" s="77"/>
    </row>
    <row r="1425" ht="12.75">
      <c r="I1425" s="77"/>
    </row>
    <row r="1426" ht="12.75">
      <c r="I1426" s="77"/>
    </row>
    <row r="1427" ht="12.75">
      <c r="I1427" s="77"/>
    </row>
    <row r="1428" ht="12.75">
      <c r="I1428" s="77"/>
    </row>
    <row r="1429" ht="12.75">
      <c r="I1429" s="77"/>
    </row>
    <row r="1430" ht="12.75">
      <c r="I1430" s="77"/>
    </row>
    <row r="1431" ht="12.75">
      <c r="I1431" s="77"/>
    </row>
    <row r="1432" ht="12.75">
      <c r="I1432" s="77"/>
    </row>
    <row r="1433" ht="12.75">
      <c r="I1433" s="77"/>
    </row>
    <row r="1434" ht="12.75">
      <c r="I1434" s="77"/>
    </row>
    <row r="1435" ht="12.75">
      <c r="I1435" s="77"/>
    </row>
    <row r="1436" ht="12.75">
      <c r="I1436" s="77"/>
    </row>
    <row r="1437" ht="12.75">
      <c r="I1437" s="77"/>
    </row>
    <row r="1438" ht="12.75">
      <c r="I1438" s="77"/>
    </row>
    <row r="1439" ht="12.75">
      <c r="I1439" s="77"/>
    </row>
    <row r="1440" ht="12.75">
      <c r="I1440" s="77"/>
    </row>
    <row r="1441" ht="12.75">
      <c r="I1441" s="77"/>
    </row>
    <row r="1442" ht="12.75">
      <c r="I1442" s="77"/>
    </row>
    <row r="1443" ht="12.75">
      <c r="I1443" s="77"/>
    </row>
    <row r="1444" ht="12.75">
      <c r="I1444" s="77"/>
    </row>
    <row r="1445" ht="12.75">
      <c r="I1445" s="77"/>
    </row>
    <row r="1446" ht="12.75">
      <c r="I1446" s="77"/>
    </row>
    <row r="1447" ht="12.75">
      <c r="I1447" s="77"/>
    </row>
    <row r="1448" ht="12.75">
      <c r="I1448" s="77"/>
    </row>
    <row r="1449" ht="12.75">
      <c r="I1449" s="77"/>
    </row>
    <row r="1450" ht="12.75">
      <c r="I1450" s="77"/>
    </row>
    <row r="1451" ht="12.75">
      <c r="I1451" s="77"/>
    </row>
    <row r="1452" ht="12.75">
      <c r="I1452" s="77"/>
    </row>
    <row r="1453" ht="12.75">
      <c r="I1453" s="77"/>
    </row>
    <row r="1454" ht="12.75">
      <c r="I1454" s="77"/>
    </row>
    <row r="1455" ht="12.75">
      <c r="I1455" s="77"/>
    </row>
    <row r="1456" ht="12.75">
      <c r="I1456" s="77"/>
    </row>
    <row r="1457" ht="12.75">
      <c r="I1457" s="77"/>
    </row>
    <row r="1458" ht="12.75">
      <c r="I1458" s="77"/>
    </row>
    <row r="1459" ht="12.75">
      <c r="I1459" s="77"/>
    </row>
    <row r="1460" ht="12.75">
      <c r="I1460" s="77"/>
    </row>
    <row r="1461" ht="12.75">
      <c r="I1461" s="77"/>
    </row>
    <row r="1462" ht="12.75">
      <c r="I1462" s="77"/>
    </row>
    <row r="1463" ht="12.75">
      <c r="I1463" s="77"/>
    </row>
    <row r="1464" ht="12.75">
      <c r="I1464" s="77"/>
    </row>
    <row r="1465" ht="12.75">
      <c r="I1465" s="77"/>
    </row>
    <row r="1466" ht="12.75">
      <c r="I1466" s="77"/>
    </row>
    <row r="1467" ht="12.75">
      <c r="I1467" s="77"/>
    </row>
    <row r="1468" ht="12.75">
      <c r="I1468" s="77"/>
    </row>
    <row r="1469" ht="12.75">
      <c r="I1469" s="77"/>
    </row>
    <row r="1470" ht="12.75">
      <c r="I1470" s="77"/>
    </row>
    <row r="1471" ht="12.75">
      <c r="I1471" s="77"/>
    </row>
    <row r="1472" ht="12.75">
      <c r="I1472" s="77"/>
    </row>
    <row r="1473" ht="12.75">
      <c r="I1473" s="77"/>
    </row>
    <row r="1474" ht="12.75">
      <c r="I1474" s="77"/>
    </row>
    <row r="1475" ht="12.75">
      <c r="I1475" s="77"/>
    </row>
    <row r="1476" ht="12.75">
      <c r="I1476" s="77"/>
    </row>
    <row r="1477" ht="12.75">
      <c r="I1477" s="77"/>
    </row>
    <row r="1478" ht="12.75">
      <c r="I1478" s="77"/>
    </row>
    <row r="1479" ht="12.75">
      <c r="I1479" s="77"/>
    </row>
    <row r="1480" ht="12.75">
      <c r="I1480" s="77"/>
    </row>
    <row r="1481" ht="12.75">
      <c r="I1481" s="77"/>
    </row>
    <row r="1482" ht="12.75">
      <c r="I1482" s="77"/>
    </row>
    <row r="1483" ht="12.75">
      <c r="I1483" s="77"/>
    </row>
    <row r="1484" ht="12.75">
      <c r="I1484" s="77"/>
    </row>
    <row r="1485" ht="12.75">
      <c r="I1485" s="77"/>
    </row>
    <row r="1486" ht="12.75">
      <c r="I1486" s="77"/>
    </row>
    <row r="1487" ht="12.75">
      <c r="I1487" s="77"/>
    </row>
    <row r="1488" ht="12.75">
      <c r="I1488" s="77"/>
    </row>
    <row r="1489" ht="12.75">
      <c r="I1489" s="77"/>
    </row>
    <row r="1490" ht="12.75">
      <c r="I1490" s="77"/>
    </row>
    <row r="1491" ht="12.75">
      <c r="I1491" s="77"/>
    </row>
    <row r="1492" ht="12.75">
      <c r="I1492" s="77"/>
    </row>
    <row r="1493" ht="12.75">
      <c r="I1493" s="77"/>
    </row>
    <row r="1494" ht="12.75">
      <c r="I1494" s="77"/>
    </row>
    <row r="1495" ht="12.75">
      <c r="I1495" s="77"/>
    </row>
    <row r="1496" ht="12.75">
      <c r="I1496" s="77"/>
    </row>
    <row r="1497" ht="12.75">
      <c r="I1497" s="77"/>
    </row>
    <row r="1498" ht="12.75">
      <c r="I1498" s="77"/>
    </row>
    <row r="1499" ht="12.75">
      <c r="I1499" s="77"/>
    </row>
    <row r="1500" ht="12.75">
      <c r="I1500" s="77"/>
    </row>
    <row r="1501" ht="12.75">
      <c r="I1501" s="77"/>
    </row>
    <row r="1502" ht="12.75">
      <c r="I1502" s="77"/>
    </row>
    <row r="1503" ht="12.75">
      <c r="I1503" s="77"/>
    </row>
    <row r="1504" ht="12.75">
      <c r="I1504" s="77"/>
    </row>
    <row r="1505" ht="12.75">
      <c r="I1505" s="77"/>
    </row>
    <row r="1506" ht="12.75">
      <c r="I1506" s="77"/>
    </row>
    <row r="1507" ht="12.75">
      <c r="I1507" s="77"/>
    </row>
    <row r="1508" ht="12.75">
      <c r="I1508" s="77"/>
    </row>
    <row r="1509" ht="12.75">
      <c r="I1509" s="77"/>
    </row>
    <row r="1510" ht="12.75">
      <c r="I1510" s="77"/>
    </row>
    <row r="1511" ht="12.75">
      <c r="I1511" s="77"/>
    </row>
    <row r="1512" ht="12.75">
      <c r="I1512" s="77"/>
    </row>
    <row r="1513" ht="12.75">
      <c r="I1513" s="77"/>
    </row>
    <row r="1514" ht="12.75">
      <c r="I1514" s="77"/>
    </row>
    <row r="1515" ht="12.75">
      <c r="I1515" s="77"/>
    </row>
    <row r="1516" ht="12.75">
      <c r="I1516" s="77"/>
    </row>
    <row r="1517" ht="12.75">
      <c r="I1517" s="77"/>
    </row>
    <row r="1518" ht="12.75">
      <c r="I1518" s="77"/>
    </row>
    <row r="1519" ht="12.75">
      <c r="I1519" s="77"/>
    </row>
    <row r="1520" ht="12.75">
      <c r="I1520" s="77"/>
    </row>
    <row r="1521" ht="12.75">
      <c r="I1521" s="77"/>
    </row>
    <row r="1522" ht="12.75">
      <c r="I1522" s="77"/>
    </row>
    <row r="1523" ht="12.75">
      <c r="I1523" s="77"/>
    </row>
    <row r="1524" ht="12.75">
      <c r="I1524" s="77"/>
    </row>
    <row r="1525" ht="12.75">
      <c r="I1525" s="77"/>
    </row>
    <row r="1526" ht="12.75">
      <c r="I1526" s="77"/>
    </row>
    <row r="1527" ht="12.75">
      <c r="I1527" s="77"/>
    </row>
    <row r="1528" ht="12.75">
      <c r="I1528" s="77"/>
    </row>
    <row r="1529" ht="12.75">
      <c r="I1529" s="77"/>
    </row>
    <row r="1530" ht="12.75">
      <c r="I1530" s="77"/>
    </row>
    <row r="1531" ht="12.75">
      <c r="I1531" s="77"/>
    </row>
    <row r="1532" ht="12.75">
      <c r="I1532" s="77"/>
    </row>
    <row r="1533" ht="12.75">
      <c r="I1533" s="77"/>
    </row>
    <row r="1534" ht="12.75">
      <c r="I1534" s="77"/>
    </row>
    <row r="1535" ht="12.75">
      <c r="I1535" s="77"/>
    </row>
    <row r="1536" ht="12.75">
      <c r="I1536" s="77"/>
    </row>
    <row r="1537" ht="12.75">
      <c r="I1537" s="77"/>
    </row>
    <row r="1538" ht="12.75">
      <c r="I1538" s="77"/>
    </row>
    <row r="1539" ht="12.75">
      <c r="I1539" s="77"/>
    </row>
    <row r="1540" ht="12.75">
      <c r="I1540" s="77"/>
    </row>
    <row r="1541" ht="12.75">
      <c r="I1541" s="77"/>
    </row>
    <row r="1542" ht="12.75">
      <c r="I1542" s="77"/>
    </row>
    <row r="1543" ht="12.75">
      <c r="I1543" s="77"/>
    </row>
    <row r="1544" ht="12.75">
      <c r="I1544" s="77"/>
    </row>
    <row r="1545" ht="12.75">
      <c r="I1545" s="77"/>
    </row>
    <row r="1546" ht="12.75">
      <c r="I1546" s="77"/>
    </row>
    <row r="1547" ht="12.75">
      <c r="I1547" s="77"/>
    </row>
    <row r="1548" ht="12.75">
      <c r="I1548" s="77"/>
    </row>
    <row r="1549" ht="12.75">
      <c r="I1549" s="77"/>
    </row>
    <row r="1550" ht="12.75">
      <c r="I1550" s="77"/>
    </row>
    <row r="1551" ht="12.75">
      <c r="I1551" s="77"/>
    </row>
    <row r="1552" ht="12.75">
      <c r="I1552" s="77"/>
    </row>
    <row r="1553" ht="12.75">
      <c r="I1553" s="77"/>
    </row>
    <row r="1554" ht="12.75">
      <c r="I1554" s="77"/>
    </row>
    <row r="1555" ht="12.75">
      <c r="I1555" s="77"/>
    </row>
    <row r="1556" ht="12.75">
      <c r="I1556" s="77"/>
    </row>
    <row r="1557" ht="12.75">
      <c r="I1557" s="77"/>
    </row>
    <row r="1558" ht="12.75">
      <c r="I1558" s="77"/>
    </row>
    <row r="1559" ht="12.75">
      <c r="I1559" s="77"/>
    </row>
    <row r="1560" ht="12.75">
      <c r="I1560" s="77"/>
    </row>
    <row r="1561" ht="12.75">
      <c r="I1561" s="77"/>
    </row>
    <row r="1562" ht="12.75">
      <c r="I1562" s="77"/>
    </row>
    <row r="1563" ht="12.75">
      <c r="I1563" s="77"/>
    </row>
    <row r="1564" ht="12.75">
      <c r="I1564" s="77"/>
    </row>
    <row r="1565" ht="12.75">
      <c r="I1565" s="77"/>
    </row>
    <row r="1566" ht="12.75">
      <c r="I1566" s="77"/>
    </row>
    <row r="1567" ht="12.75">
      <c r="I1567" s="77"/>
    </row>
    <row r="1568" ht="12.75">
      <c r="I1568" s="77"/>
    </row>
    <row r="1569" ht="12.75">
      <c r="I1569" s="77"/>
    </row>
    <row r="1570" ht="12.75">
      <c r="I1570" s="77"/>
    </row>
    <row r="1571" ht="12.75">
      <c r="I1571" s="77"/>
    </row>
    <row r="1572" ht="12.75">
      <c r="I1572" s="77"/>
    </row>
    <row r="1573" ht="12.75">
      <c r="I1573" s="77"/>
    </row>
    <row r="1574" ht="12.75">
      <c r="I1574" s="77"/>
    </row>
    <row r="1575" ht="12.75">
      <c r="I1575" s="77"/>
    </row>
    <row r="1576" ht="12.75">
      <c r="I1576" s="77"/>
    </row>
    <row r="1577" ht="12.75">
      <c r="I1577" s="77"/>
    </row>
    <row r="1578" ht="12.75">
      <c r="I1578" s="77"/>
    </row>
    <row r="1579" ht="12.75">
      <c r="I1579" s="77"/>
    </row>
    <row r="1580" ht="12.75">
      <c r="I1580" s="77"/>
    </row>
    <row r="1581" ht="12.75">
      <c r="I1581" s="77"/>
    </row>
    <row r="1582" ht="12.75">
      <c r="I1582" s="77"/>
    </row>
    <row r="1583" ht="12.75">
      <c r="I1583" s="77"/>
    </row>
    <row r="1584" ht="12.75">
      <c r="I1584" s="77"/>
    </row>
    <row r="1585" ht="12.75">
      <c r="I1585" s="77"/>
    </row>
    <row r="1586" ht="12.75">
      <c r="I1586" s="77"/>
    </row>
    <row r="1587" ht="12.75">
      <c r="I1587" s="77"/>
    </row>
    <row r="1588" ht="12.75">
      <c r="I1588" s="77"/>
    </row>
    <row r="1589" ht="12.75">
      <c r="I1589" s="77"/>
    </row>
    <row r="1590" ht="12.75">
      <c r="I1590" s="77"/>
    </row>
    <row r="1591" ht="12.75">
      <c r="I1591" s="77"/>
    </row>
    <row r="1592" ht="12.75">
      <c r="I1592" s="77"/>
    </row>
    <row r="1593" ht="12.75">
      <c r="I1593" s="77"/>
    </row>
    <row r="1594" ht="12.75">
      <c r="I1594" s="77"/>
    </row>
    <row r="1595" ht="12.75">
      <c r="I1595" s="77"/>
    </row>
    <row r="1596" ht="12.75">
      <c r="I1596" s="77"/>
    </row>
    <row r="1597" ht="12.75">
      <c r="I1597" s="77"/>
    </row>
    <row r="1598" ht="12.75">
      <c r="I1598" s="77"/>
    </row>
    <row r="1599" ht="12.75">
      <c r="I1599" s="77"/>
    </row>
    <row r="1600" ht="12.75">
      <c r="I1600" s="77"/>
    </row>
    <row r="1601" ht="12.75">
      <c r="I1601" s="77"/>
    </row>
    <row r="1602" ht="12.75">
      <c r="I1602" s="77"/>
    </row>
    <row r="1603" ht="12.75">
      <c r="I1603" s="77"/>
    </row>
    <row r="1604" ht="12.75">
      <c r="I1604" s="77"/>
    </row>
    <row r="1605" ht="12.75">
      <c r="I1605" s="77"/>
    </row>
    <row r="1606" ht="12.75">
      <c r="I1606" s="77"/>
    </row>
    <row r="1607" ht="12.75">
      <c r="I1607" s="77"/>
    </row>
    <row r="1608" ht="12.75">
      <c r="I1608" s="77"/>
    </row>
    <row r="1609" ht="12.75">
      <c r="I1609" s="77"/>
    </row>
    <row r="1610" ht="12.75">
      <c r="I1610" s="77"/>
    </row>
    <row r="1611" ht="12.75">
      <c r="I1611" s="77"/>
    </row>
    <row r="1612" ht="12.75">
      <c r="I1612" s="77"/>
    </row>
    <row r="1613" ht="12.75">
      <c r="I1613" s="77"/>
    </row>
    <row r="1614" ht="12.75">
      <c r="I1614" s="77"/>
    </row>
    <row r="1615" ht="12.75">
      <c r="I1615" s="77"/>
    </row>
    <row r="1616" ht="12.75">
      <c r="I1616" s="77"/>
    </row>
    <row r="1617" ht="12.75">
      <c r="I1617" s="77"/>
    </row>
    <row r="1618" ht="12.75">
      <c r="I1618" s="77"/>
    </row>
    <row r="1619" ht="12.75">
      <c r="I1619" s="77"/>
    </row>
    <row r="1620" ht="12.75">
      <c r="I1620" s="77"/>
    </row>
    <row r="1621" ht="12.75">
      <c r="I1621" s="77"/>
    </row>
    <row r="1622" ht="12.75">
      <c r="I1622" s="77"/>
    </row>
    <row r="1623" ht="12.75">
      <c r="I1623" s="77"/>
    </row>
    <row r="1624" ht="12.75">
      <c r="I1624" s="77"/>
    </row>
    <row r="1625" ht="12.75">
      <c r="I1625" s="77"/>
    </row>
    <row r="1626" ht="12.75">
      <c r="I1626" s="77"/>
    </row>
    <row r="1627" ht="12.75">
      <c r="I1627" s="77"/>
    </row>
    <row r="1628" ht="12.75">
      <c r="I1628" s="77"/>
    </row>
    <row r="1629" ht="12.75">
      <c r="I1629" s="77"/>
    </row>
    <row r="1630" ht="12.75">
      <c r="I1630" s="77"/>
    </row>
    <row r="1631" ht="12.75">
      <c r="I1631" s="77"/>
    </row>
    <row r="1632" ht="12.75">
      <c r="I1632" s="77"/>
    </row>
    <row r="1633" ht="12.75">
      <c r="I1633" s="77"/>
    </row>
    <row r="1634" ht="12.75">
      <c r="I1634" s="77"/>
    </row>
    <row r="1635" ht="12.75">
      <c r="I1635" s="77"/>
    </row>
    <row r="1636" ht="12.75">
      <c r="I1636" s="77"/>
    </row>
    <row r="1637" ht="12.75">
      <c r="I1637" s="77"/>
    </row>
    <row r="1638" ht="12.75">
      <c r="I1638" s="77"/>
    </row>
    <row r="1639" ht="12.75">
      <c r="I1639" s="77"/>
    </row>
    <row r="1640" ht="12.75">
      <c r="I1640" s="77"/>
    </row>
    <row r="1641" ht="12.75">
      <c r="I1641" s="77"/>
    </row>
    <row r="1642" ht="12.75">
      <c r="I1642" s="77"/>
    </row>
    <row r="1643" ht="12.75">
      <c r="I1643" s="77"/>
    </row>
    <row r="1644" ht="12.75">
      <c r="I1644" s="77"/>
    </row>
    <row r="1645" ht="12.75">
      <c r="I1645" s="77"/>
    </row>
    <row r="1646" ht="12.75">
      <c r="I1646" s="77"/>
    </row>
    <row r="1647" ht="12.75">
      <c r="I1647" s="77"/>
    </row>
    <row r="1648" ht="12.75">
      <c r="I1648" s="77"/>
    </row>
    <row r="1649" ht="12.75">
      <c r="I1649" s="77"/>
    </row>
    <row r="1650" ht="12.75">
      <c r="I1650" s="77"/>
    </row>
    <row r="1651" ht="12.75">
      <c r="I1651" s="77"/>
    </row>
    <row r="1652" ht="12.75">
      <c r="I1652" s="77"/>
    </row>
    <row r="1653" ht="12.75">
      <c r="I1653" s="77"/>
    </row>
    <row r="1654" ht="12.75">
      <c r="I1654" s="77"/>
    </row>
    <row r="1655" ht="12.75">
      <c r="I1655" s="77"/>
    </row>
    <row r="1656" ht="12.75">
      <c r="I1656" s="77"/>
    </row>
    <row r="1657" ht="12.75">
      <c r="I1657" s="77"/>
    </row>
    <row r="1658" ht="12.75">
      <c r="I1658" s="77"/>
    </row>
    <row r="1659" ht="12.75">
      <c r="I1659" s="77"/>
    </row>
    <row r="1660" ht="12.75">
      <c r="I1660" s="77"/>
    </row>
    <row r="1661" ht="12.75">
      <c r="I1661" s="77"/>
    </row>
    <row r="1662" ht="12.75">
      <c r="I1662" s="77"/>
    </row>
    <row r="1663" ht="12.75">
      <c r="I1663" s="77"/>
    </row>
    <row r="1664" ht="12.75">
      <c r="I1664" s="77"/>
    </row>
    <row r="1665" ht="12.75">
      <c r="I1665" s="77"/>
    </row>
    <row r="1666" ht="12.75">
      <c r="I1666" s="77"/>
    </row>
    <row r="1667" ht="12.75">
      <c r="I1667" s="77"/>
    </row>
    <row r="1668" ht="12.75">
      <c r="I1668" s="77"/>
    </row>
    <row r="1669" ht="12.75">
      <c r="I1669" s="77"/>
    </row>
    <row r="1670" ht="12.75">
      <c r="I1670" s="77"/>
    </row>
    <row r="1671" ht="12.75">
      <c r="I1671" s="77"/>
    </row>
    <row r="1672" ht="12.75">
      <c r="I1672" s="77"/>
    </row>
    <row r="1673" ht="12.75">
      <c r="I1673" s="77"/>
    </row>
    <row r="1674" ht="12.75">
      <c r="I1674" s="77"/>
    </row>
    <row r="1675" ht="12.75">
      <c r="I1675" s="77"/>
    </row>
    <row r="1676" ht="12.75">
      <c r="I1676" s="77"/>
    </row>
    <row r="1677" ht="12.75">
      <c r="I1677" s="77"/>
    </row>
    <row r="1678" ht="12.75">
      <c r="I1678" s="77"/>
    </row>
    <row r="1679" ht="12.75">
      <c r="I1679" s="77"/>
    </row>
    <row r="1680" ht="12.75">
      <c r="I1680" s="77"/>
    </row>
    <row r="1681" ht="12.75">
      <c r="I1681" s="77"/>
    </row>
    <row r="1682" ht="12.75">
      <c r="I1682" s="77"/>
    </row>
    <row r="1683" ht="12.75">
      <c r="I1683" s="77"/>
    </row>
    <row r="1684" ht="12.75">
      <c r="I1684" s="77"/>
    </row>
    <row r="1685" ht="12.75">
      <c r="I1685" s="77"/>
    </row>
    <row r="1686" ht="12.75">
      <c r="I1686" s="77"/>
    </row>
    <row r="1687" ht="12.75">
      <c r="I1687" s="77"/>
    </row>
    <row r="1688" ht="12.75">
      <c r="I1688" s="77"/>
    </row>
    <row r="1689" ht="12.75">
      <c r="I1689" s="77"/>
    </row>
    <row r="1690" ht="12.75">
      <c r="I1690" s="77"/>
    </row>
    <row r="1691" ht="12.75">
      <c r="I1691" s="77"/>
    </row>
    <row r="1692" ht="12.75">
      <c r="I1692" s="77"/>
    </row>
    <row r="1693" ht="12.75">
      <c r="I1693" s="77"/>
    </row>
    <row r="1694" ht="12.75">
      <c r="I1694" s="77"/>
    </row>
    <row r="1695" ht="12.75">
      <c r="I1695" s="77"/>
    </row>
    <row r="1696" ht="12.75">
      <c r="I1696" s="77"/>
    </row>
    <row r="1697" ht="12.75">
      <c r="I1697" s="77"/>
    </row>
    <row r="1698" ht="12.75">
      <c r="I1698" s="77"/>
    </row>
    <row r="1699" ht="12.75">
      <c r="I1699" s="77"/>
    </row>
    <row r="1700" ht="12.75">
      <c r="I1700" s="77"/>
    </row>
    <row r="1701" ht="12.75">
      <c r="I1701" s="77"/>
    </row>
    <row r="1702" ht="12.75">
      <c r="I1702" s="77"/>
    </row>
    <row r="1703" ht="12.75">
      <c r="I1703" s="77"/>
    </row>
    <row r="1704" ht="12.75">
      <c r="I1704" s="77"/>
    </row>
    <row r="1705" ht="12.75">
      <c r="I1705" s="77"/>
    </row>
    <row r="1706" ht="12.75">
      <c r="I1706" s="77"/>
    </row>
    <row r="1707" ht="12.75">
      <c r="I1707" s="77"/>
    </row>
    <row r="1708" ht="12.75">
      <c r="I1708" s="77"/>
    </row>
    <row r="1709" ht="12.75">
      <c r="I1709" s="77"/>
    </row>
    <row r="1710" ht="12.75">
      <c r="I1710" s="77"/>
    </row>
    <row r="1711" ht="12.75">
      <c r="I1711" s="77"/>
    </row>
    <row r="1712" ht="12.75">
      <c r="I1712" s="77"/>
    </row>
    <row r="1713" ht="12.75">
      <c r="I1713" s="77"/>
    </row>
    <row r="1714" ht="12.75">
      <c r="I1714" s="77"/>
    </row>
    <row r="1715" ht="12.75">
      <c r="I1715" s="77"/>
    </row>
    <row r="1716" ht="12.75">
      <c r="I1716" s="77"/>
    </row>
    <row r="1717" ht="12.75">
      <c r="I1717" s="77"/>
    </row>
    <row r="1718" ht="12.75">
      <c r="I1718" s="77"/>
    </row>
    <row r="1719" ht="12.75">
      <c r="I1719" s="77"/>
    </row>
    <row r="1720" ht="12.75">
      <c r="I1720" s="77"/>
    </row>
    <row r="1721" ht="12.75">
      <c r="I1721" s="77"/>
    </row>
    <row r="1722" ht="12.75">
      <c r="I1722" s="77"/>
    </row>
    <row r="1723" ht="12.75">
      <c r="I1723" s="77"/>
    </row>
    <row r="1724" ht="12.75">
      <c r="I1724" s="77"/>
    </row>
    <row r="1725" ht="12.75">
      <c r="I1725" s="77"/>
    </row>
    <row r="1726" ht="12.75">
      <c r="I1726" s="77"/>
    </row>
    <row r="1727" ht="12.75">
      <c r="I1727" s="77"/>
    </row>
    <row r="1728" ht="12.75">
      <c r="I1728" s="77"/>
    </row>
    <row r="1729" ht="12.75">
      <c r="I1729" s="77"/>
    </row>
    <row r="1730" ht="12.75">
      <c r="I1730" s="77"/>
    </row>
    <row r="1731" ht="12.75">
      <c r="I1731" s="77"/>
    </row>
    <row r="1732" ht="12.75">
      <c r="I1732" s="77"/>
    </row>
    <row r="1733" ht="12.75">
      <c r="I1733" s="77"/>
    </row>
    <row r="1734" ht="12.75">
      <c r="I1734" s="77"/>
    </row>
    <row r="1735" ht="12.75">
      <c r="I1735" s="77"/>
    </row>
    <row r="1736" ht="12.75">
      <c r="I1736" s="77"/>
    </row>
    <row r="1737" ht="12.75">
      <c r="I1737" s="77"/>
    </row>
    <row r="1738" ht="12.75">
      <c r="I1738" s="77"/>
    </row>
    <row r="1739" ht="12.75">
      <c r="I1739" s="77"/>
    </row>
    <row r="1740" ht="12.75">
      <c r="I1740" s="77"/>
    </row>
    <row r="1741" ht="12.75">
      <c r="I1741" s="77"/>
    </row>
    <row r="1742" ht="12.75">
      <c r="I1742" s="77"/>
    </row>
    <row r="1743" ht="12.75">
      <c r="I1743" s="77"/>
    </row>
    <row r="1744" ht="12.75">
      <c r="I1744" s="77"/>
    </row>
    <row r="1745" ht="12.75">
      <c r="I1745" s="77"/>
    </row>
    <row r="1746" ht="12.75">
      <c r="I1746" s="77"/>
    </row>
    <row r="1747" ht="12.75">
      <c r="I1747" s="77"/>
    </row>
    <row r="1748" ht="12.75">
      <c r="I1748" s="77"/>
    </row>
    <row r="1749" ht="12.75">
      <c r="I1749" s="77"/>
    </row>
    <row r="1750" ht="12.75">
      <c r="I1750" s="77"/>
    </row>
    <row r="1751" ht="12.75">
      <c r="I1751" s="77"/>
    </row>
    <row r="1752" ht="12.75">
      <c r="I1752" s="77"/>
    </row>
    <row r="1753" ht="12.75">
      <c r="I1753" s="77"/>
    </row>
    <row r="1754" ht="12.75">
      <c r="I1754" s="77"/>
    </row>
    <row r="1755" ht="12.75">
      <c r="I1755" s="77"/>
    </row>
    <row r="1756" ht="12.75">
      <c r="I1756" s="77"/>
    </row>
    <row r="1757" ht="12.75">
      <c r="I1757" s="77"/>
    </row>
    <row r="1758" ht="12.75">
      <c r="I1758" s="77"/>
    </row>
    <row r="1759" ht="12.75">
      <c r="I1759" s="77"/>
    </row>
    <row r="1760" ht="12.75">
      <c r="I1760" s="77"/>
    </row>
    <row r="1761" ht="12.75">
      <c r="I1761" s="77"/>
    </row>
    <row r="1762" ht="12.75">
      <c r="I1762" s="77"/>
    </row>
    <row r="1763" ht="12.75">
      <c r="I1763" s="77"/>
    </row>
    <row r="1764" ht="12.75">
      <c r="I1764" s="77"/>
    </row>
    <row r="1765" ht="12.75">
      <c r="I1765" s="77"/>
    </row>
    <row r="1766" ht="12.75">
      <c r="I1766" s="77"/>
    </row>
    <row r="1767" ht="12.75">
      <c r="I1767" s="77"/>
    </row>
    <row r="1768" ht="12.75">
      <c r="I1768" s="77"/>
    </row>
    <row r="1769" ht="12.75">
      <c r="I1769" s="77"/>
    </row>
    <row r="1770" ht="12.75">
      <c r="I1770" s="77"/>
    </row>
    <row r="1771" ht="12.75">
      <c r="I1771" s="77"/>
    </row>
    <row r="1772" ht="12.75">
      <c r="I1772" s="77"/>
    </row>
    <row r="1773" ht="12.75">
      <c r="I1773" s="77"/>
    </row>
    <row r="1774" ht="12.75">
      <c r="I1774" s="77"/>
    </row>
    <row r="1775" ht="12.75">
      <c r="I1775" s="77"/>
    </row>
    <row r="1776" ht="12.75">
      <c r="I1776" s="77"/>
    </row>
    <row r="1777" ht="12.75">
      <c r="I1777" s="77"/>
    </row>
    <row r="1778" ht="12.75">
      <c r="I1778" s="77"/>
    </row>
    <row r="1779" ht="12.75">
      <c r="I1779" s="77"/>
    </row>
    <row r="1780" ht="12.75">
      <c r="I1780" s="77"/>
    </row>
    <row r="1781" ht="12.75">
      <c r="I1781" s="77"/>
    </row>
    <row r="1782" ht="12.75">
      <c r="I1782" s="77"/>
    </row>
    <row r="1783" ht="12.75">
      <c r="I1783" s="77"/>
    </row>
    <row r="1784" ht="12.75">
      <c r="I1784" s="77"/>
    </row>
    <row r="1785" ht="12.75">
      <c r="I1785" s="77"/>
    </row>
    <row r="1786" ht="12.75">
      <c r="I1786" s="77"/>
    </row>
    <row r="1787" ht="12.75">
      <c r="I1787" s="77"/>
    </row>
    <row r="1788" ht="12.75">
      <c r="I1788" s="77"/>
    </row>
    <row r="1789" ht="12.75">
      <c r="I1789" s="77"/>
    </row>
    <row r="1790" ht="12.75">
      <c r="I1790" s="77"/>
    </row>
    <row r="1791" ht="12.75">
      <c r="I1791" s="77"/>
    </row>
    <row r="1792" ht="12.75">
      <c r="I1792" s="77"/>
    </row>
    <row r="1793" ht="12.75">
      <c r="I1793" s="77"/>
    </row>
    <row r="1794" ht="12.75">
      <c r="I1794" s="77"/>
    </row>
    <row r="1795" ht="12.75">
      <c r="I1795" s="77"/>
    </row>
    <row r="1796" ht="12.75">
      <c r="I1796" s="77"/>
    </row>
    <row r="1797" ht="12.75">
      <c r="I1797" s="77"/>
    </row>
    <row r="1798" ht="12.75">
      <c r="I1798" s="77"/>
    </row>
    <row r="1799" ht="12.75">
      <c r="I1799" s="77"/>
    </row>
    <row r="1800" ht="12.75">
      <c r="I1800" s="77"/>
    </row>
    <row r="1801" ht="12.75">
      <c r="I1801" s="77"/>
    </row>
    <row r="1802" ht="12.75">
      <c r="I1802" s="77"/>
    </row>
    <row r="1803" ht="12.75">
      <c r="I1803" s="77"/>
    </row>
    <row r="1804" ht="12.75">
      <c r="I1804" s="77"/>
    </row>
    <row r="1805" ht="12.75">
      <c r="I1805" s="77"/>
    </row>
    <row r="1806" ht="12.75">
      <c r="I1806" s="77"/>
    </row>
    <row r="1807" ht="12.75">
      <c r="I1807" s="77"/>
    </row>
    <row r="1808" ht="12.75">
      <c r="I1808" s="77"/>
    </row>
    <row r="1809" ht="12.75">
      <c r="I1809" s="77"/>
    </row>
    <row r="1810" ht="12.75">
      <c r="I1810" s="77"/>
    </row>
    <row r="1811" ht="12.75">
      <c r="I1811" s="77"/>
    </row>
    <row r="1812" ht="12.75">
      <c r="I1812" s="77"/>
    </row>
    <row r="1813" ht="12.75">
      <c r="I1813" s="77"/>
    </row>
    <row r="1814" ht="12.75">
      <c r="I1814" s="77"/>
    </row>
    <row r="1815" ht="12.75">
      <c r="I1815" s="77"/>
    </row>
    <row r="1816" ht="12.75">
      <c r="I1816" s="77"/>
    </row>
    <row r="1817" ht="12.75">
      <c r="I1817" s="77"/>
    </row>
    <row r="1818" ht="12.75">
      <c r="I1818" s="77"/>
    </row>
    <row r="1819" ht="12.75">
      <c r="I1819" s="77"/>
    </row>
    <row r="1820" ht="12.75">
      <c r="I1820" s="77"/>
    </row>
    <row r="1821" ht="12.75">
      <c r="I1821" s="77"/>
    </row>
    <row r="1822" ht="12.75">
      <c r="I1822" s="77"/>
    </row>
    <row r="1823" ht="12.75">
      <c r="I1823" s="77"/>
    </row>
    <row r="1824" ht="12.75">
      <c r="I1824" s="77"/>
    </row>
    <row r="1825" ht="12.75">
      <c r="I1825" s="77"/>
    </row>
    <row r="1826" ht="12.75">
      <c r="I1826" s="77"/>
    </row>
    <row r="1827" ht="12.75">
      <c r="I1827" s="77"/>
    </row>
    <row r="1828" ht="12.75">
      <c r="I1828" s="77"/>
    </row>
    <row r="1829" ht="12.75">
      <c r="I1829" s="77"/>
    </row>
    <row r="1830" ht="12.75">
      <c r="I1830" s="77"/>
    </row>
    <row r="1831" ht="12.75">
      <c r="I1831" s="77"/>
    </row>
    <row r="1832" ht="12.75">
      <c r="I1832" s="77"/>
    </row>
    <row r="1833" ht="12.75">
      <c r="I1833" s="77"/>
    </row>
    <row r="1834" ht="12.75">
      <c r="I1834" s="77"/>
    </row>
    <row r="1835" ht="12.75">
      <c r="I1835" s="77"/>
    </row>
    <row r="1836" ht="12.75">
      <c r="I1836" s="77"/>
    </row>
    <row r="1837" ht="12.75">
      <c r="I1837" s="77"/>
    </row>
    <row r="1838" ht="12.75">
      <c r="I1838" s="77"/>
    </row>
    <row r="1839" ht="12.75">
      <c r="I1839" s="77"/>
    </row>
    <row r="1840" ht="12.75">
      <c r="I1840" s="77"/>
    </row>
    <row r="1841" ht="12.75">
      <c r="I1841" s="77"/>
    </row>
    <row r="1842" ht="12.75">
      <c r="I1842" s="77"/>
    </row>
    <row r="1843" ht="12.75">
      <c r="I1843" s="77"/>
    </row>
    <row r="1844" ht="12.75">
      <c r="I1844" s="77"/>
    </row>
    <row r="1845" ht="12.75">
      <c r="I1845" s="77"/>
    </row>
    <row r="1846" ht="12.75">
      <c r="I1846" s="77"/>
    </row>
    <row r="1847" ht="12.75">
      <c r="I1847" s="77"/>
    </row>
    <row r="1848" ht="12.75">
      <c r="I1848" s="77"/>
    </row>
    <row r="1849" ht="12.75">
      <c r="I1849" s="77"/>
    </row>
    <row r="1850" ht="12.75">
      <c r="I1850" s="77"/>
    </row>
    <row r="1851" ht="12.75">
      <c r="I1851" s="77"/>
    </row>
    <row r="1852" ht="12.75">
      <c r="I1852" s="77"/>
    </row>
    <row r="1853" ht="12.75">
      <c r="I1853" s="77"/>
    </row>
    <row r="1854" ht="12.75">
      <c r="I1854" s="77"/>
    </row>
    <row r="1855" ht="12.75">
      <c r="I1855" s="77"/>
    </row>
    <row r="1856" ht="12.75">
      <c r="I1856" s="77"/>
    </row>
    <row r="1857" ht="12.75">
      <c r="I1857" s="77"/>
    </row>
    <row r="1858" ht="12.75">
      <c r="I1858" s="77"/>
    </row>
    <row r="1859" ht="12.75">
      <c r="I1859" s="77"/>
    </row>
    <row r="1860" ht="12.75">
      <c r="I1860" s="77"/>
    </row>
    <row r="1861" ht="12.75">
      <c r="I1861" s="77"/>
    </row>
    <row r="1862" ht="12.75">
      <c r="I1862" s="77"/>
    </row>
    <row r="1863" ht="12.75">
      <c r="I1863" s="77"/>
    </row>
    <row r="1864" ht="12.75">
      <c r="I1864" s="77"/>
    </row>
    <row r="1865" ht="12.75">
      <c r="I1865" s="77"/>
    </row>
    <row r="1866" ht="12.75">
      <c r="I1866" s="77"/>
    </row>
    <row r="1867" ht="12.75">
      <c r="I1867" s="77"/>
    </row>
    <row r="1868" ht="12.75">
      <c r="I1868" s="77"/>
    </row>
    <row r="1869" ht="12.75">
      <c r="I1869" s="77"/>
    </row>
    <row r="1870" ht="12.75">
      <c r="I1870" s="77"/>
    </row>
    <row r="1871" ht="12.75">
      <c r="I1871" s="77"/>
    </row>
    <row r="1872" ht="12.75">
      <c r="I1872" s="77"/>
    </row>
    <row r="1873" ht="12.75">
      <c r="I1873" s="77"/>
    </row>
    <row r="1874" ht="12.75">
      <c r="I1874" s="77"/>
    </row>
    <row r="1875" ht="12.75">
      <c r="I1875" s="77"/>
    </row>
    <row r="1876" ht="12.75">
      <c r="I1876" s="77"/>
    </row>
    <row r="1877" ht="12.75">
      <c r="I1877" s="77"/>
    </row>
    <row r="1878" ht="12.75">
      <c r="I1878" s="77"/>
    </row>
    <row r="1879" ht="12.75">
      <c r="I1879" s="77"/>
    </row>
    <row r="1880" ht="12.75">
      <c r="I1880" s="77"/>
    </row>
    <row r="1881" ht="12.75">
      <c r="I1881" s="77"/>
    </row>
    <row r="1882" ht="12.75">
      <c r="I1882" s="77"/>
    </row>
    <row r="1883" ht="12.75">
      <c r="I1883" s="77"/>
    </row>
    <row r="1884" ht="12.75">
      <c r="I1884" s="77"/>
    </row>
    <row r="1885" ht="12.75">
      <c r="I1885" s="77"/>
    </row>
    <row r="1886" ht="12.75">
      <c r="I1886" s="77"/>
    </row>
    <row r="1887" ht="12.75">
      <c r="I1887" s="77"/>
    </row>
    <row r="1888" ht="12.75">
      <c r="I1888" s="77"/>
    </row>
    <row r="1889" ht="12.75">
      <c r="I1889" s="77"/>
    </row>
    <row r="1890" ht="12.75">
      <c r="I1890" s="77"/>
    </row>
    <row r="1891" ht="12.75">
      <c r="I1891" s="77"/>
    </row>
    <row r="1892" ht="12.75">
      <c r="I1892" s="77"/>
    </row>
    <row r="1893" ht="12.75">
      <c r="I1893" s="77"/>
    </row>
    <row r="1894" ht="12.75">
      <c r="I1894" s="77"/>
    </row>
    <row r="1895" ht="12.75">
      <c r="I1895" s="77"/>
    </row>
    <row r="1896" ht="12.75">
      <c r="I1896" s="77"/>
    </row>
    <row r="1897" ht="12.75">
      <c r="I1897" s="77"/>
    </row>
    <row r="1898" ht="12.75">
      <c r="I1898" s="77"/>
    </row>
    <row r="1899" ht="12.75">
      <c r="I1899" s="77"/>
    </row>
    <row r="1900" ht="12.75">
      <c r="I1900" s="77"/>
    </row>
    <row r="1901" ht="12.75">
      <c r="I1901" s="77"/>
    </row>
    <row r="1902" ht="12.75">
      <c r="I1902" s="77"/>
    </row>
    <row r="1903" ht="12.75">
      <c r="I1903" s="77"/>
    </row>
    <row r="1904" ht="12.75">
      <c r="I1904" s="77"/>
    </row>
    <row r="1905" ht="12.75">
      <c r="I1905" s="77"/>
    </row>
    <row r="1906" ht="12.75">
      <c r="I1906" s="77"/>
    </row>
    <row r="1907" ht="12.75">
      <c r="I1907" s="77"/>
    </row>
    <row r="1908" ht="12.75">
      <c r="I1908" s="77"/>
    </row>
    <row r="1909" ht="12.75">
      <c r="I1909" s="77"/>
    </row>
    <row r="1910" ht="12.75">
      <c r="I1910" s="77"/>
    </row>
    <row r="1911" ht="12.75">
      <c r="I1911" s="77"/>
    </row>
    <row r="1912" ht="12.75">
      <c r="I1912" s="77"/>
    </row>
    <row r="1913" ht="12.75">
      <c r="I1913" s="77"/>
    </row>
    <row r="1914" ht="12.75">
      <c r="I1914" s="77"/>
    </row>
    <row r="1915" ht="12.75">
      <c r="I1915" s="77"/>
    </row>
    <row r="1916" ht="12.75">
      <c r="I1916" s="77"/>
    </row>
    <row r="1917" ht="12.75">
      <c r="I1917" s="77"/>
    </row>
    <row r="1918" ht="12.75">
      <c r="I1918" s="77"/>
    </row>
    <row r="1919" ht="12.75">
      <c r="I1919" s="77"/>
    </row>
    <row r="1920" ht="12.75">
      <c r="I1920" s="77"/>
    </row>
    <row r="1921" ht="12.75">
      <c r="I1921" s="77"/>
    </row>
    <row r="1922" ht="12.75">
      <c r="I1922" s="77"/>
    </row>
    <row r="1923" ht="12.75">
      <c r="I1923" s="77"/>
    </row>
    <row r="1924" ht="12.75">
      <c r="I1924" s="77"/>
    </row>
    <row r="1925" ht="12.75">
      <c r="I1925" s="77"/>
    </row>
    <row r="1926" ht="12.75">
      <c r="I1926" s="77"/>
    </row>
    <row r="1927" ht="12.75">
      <c r="I1927" s="77"/>
    </row>
    <row r="1928" ht="12.75">
      <c r="I1928" s="77"/>
    </row>
    <row r="1929" ht="12.75">
      <c r="I1929" s="77"/>
    </row>
    <row r="1930" ht="12.75">
      <c r="I1930" s="77"/>
    </row>
    <row r="1931" ht="12.75">
      <c r="I1931" s="77"/>
    </row>
    <row r="1932" ht="12.75">
      <c r="I1932" s="77"/>
    </row>
    <row r="1933" ht="12.75">
      <c r="I1933" s="77"/>
    </row>
    <row r="1934" ht="12.75">
      <c r="I1934" s="77"/>
    </row>
    <row r="1935" ht="12.75">
      <c r="I1935" s="77"/>
    </row>
    <row r="1936" ht="12.75">
      <c r="I1936" s="77"/>
    </row>
    <row r="1937" ht="12.75">
      <c r="I1937" s="77"/>
    </row>
    <row r="1938" ht="12.75">
      <c r="I1938" s="77"/>
    </row>
    <row r="1939" ht="12.75">
      <c r="I1939" s="77"/>
    </row>
    <row r="1940" ht="12.75">
      <c r="I1940" s="77"/>
    </row>
    <row r="1941" ht="12.75">
      <c r="I1941" s="77"/>
    </row>
    <row r="1942" ht="12.75">
      <c r="I1942" s="77"/>
    </row>
    <row r="1943" ht="12.75">
      <c r="I1943" s="77"/>
    </row>
    <row r="1944" ht="12.75">
      <c r="I1944" s="77"/>
    </row>
    <row r="1945" ht="12.75">
      <c r="I1945" s="77"/>
    </row>
    <row r="1946" ht="12.75">
      <c r="I1946" s="77"/>
    </row>
    <row r="1947" ht="12.75">
      <c r="I1947" s="77"/>
    </row>
    <row r="1948" ht="12.75">
      <c r="I1948" s="77"/>
    </row>
    <row r="1949" ht="12.75">
      <c r="I1949" s="77"/>
    </row>
    <row r="1950" ht="12.75">
      <c r="I1950" s="77"/>
    </row>
    <row r="1951" ht="12.75">
      <c r="I1951" s="77"/>
    </row>
    <row r="1952" ht="12.75">
      <c r="I1952" s="77"/>
    </row>
    <row r="1953" ht="12.75">
      <c r="I1953" s="77"/>
    </row>
    <row r="1954" ht="12.75">
      <c r="I1954" s="77"/>
    </row>
    <row r="1955" ht="12.75">
      <c r="I1955" s="77"/>
    </row>
    <row r="1956" ht="12.75">
      <c r="I1956" s="77"/>
    </row>
    <row r="1957" ht="12.75">
      <c r="I1957" s="77"/>
    </row>
    <row r="1958" ht="12.75">
      <c r="I1958" s="77"/>
    </row>
    <row r="1959" ht="12.75">
      <c r="I1959" s="77"/>
    </row>
    <row r="1960" ht="12.75">
      <c r="I1960" s="77"/>
    </row>
    <row r="1961" ht="12.75">
      <c r="I1961" s="77"/>
    </row>
    <row r="1962" ht="12.75">
      <c r="I1962" s="77"/>
    </row>
    <row r="1963" ht="12.75">
      <c r="I1963" s="77"/>
    </row>
    <row r="1964" ht="12.75">
      <c r="I1964" s="77"/>
    </row>
    <row r="1965" ht="12.75">
      <c r="I1965" s="77"/>
    </row>
    <row r="1966" ht="12.75">
      <c r="I1966" s="77"/>
    </row>
    <row r="1967" ht="12.75">
      <c r="I1967" s="77"/>
    </row>
    <row r="1968" ht="12.75">
      <c r="I1968" s="77"/>
    </row>
    <row r="1969" ht="12.75">
      <c r="I1969" s="77"/>
    </row>
    <row r="1970" ht="12.75">
      <c r="I1970" s="77"/>
    </row>
    <row r="1971" ht="12.75">
      <c r="I1971" s="77"/>
    </row>
    <row r="1972" ht="12.75">
      <c r="I1972" s="77"/>
    </row>
    <row r="1973" ht="12.75">
      <c r="I1973" s="77"/>
    </row>
    <row r="1974" ht="12.75">
      <c r="I1974" s="77"/>
    </row>
    <row r="1975" ht="12.75">
      <c r="I1975" s="77"/>
    </row>
    <row r="1976" ht="12.75">
      <c r="I1976" s="77"/>
    </row>
    <row r="1977" ht="12.75">
      <c r="I1977" s="77"/>
    </row>
    <row r="1978" ht="12.75">
      <c r="I1978" s="77"/>
    </row>
    <row r="1979" ht="12.75">
      <c r="I1979" s="77"/>
    </row>
    <row r="1980" ht="12.75">
      <c r="I1980" s="77"/>
    </row>
    <row r="1981" ht="12.75">
      <c r="I1981" s="77"/>
    </row>
    <row r="1982" ht="12.75">
      <c r="I1982" s="77"/>
    </row>
    <row r="1983" ht="12.75">
      <c r="I1983" s="77"/>
    </row>
    <row r="1984" ht="12.75">
      <c r="I1984" s="77"/>
    </row>
    <row r="1985" ht="12.75">
      <c r="I1985" s="77"/>
    </row>
    <row r="1986" ht="12.75">
      <c r="I1986" s="77"/>
    </row>
    <row r="1987" ht="12.75">
      <c r="I1987" s="77"/>
    </row>
    <row r="1988" ht="12.75">
      <c r="I1988" s="77"/>
    </row>
    <row r="1989" ht="12.75">
      <c r="I1989" s="77"/>
    </row>
    <row r="1990" ht="12.75">
      <c r="I1990" s="77"/>
    </row>
    <row r="1991" ht="12.75">
      <c r="I1991" s="77"/>
    </row>
    <row r="1992" ht="12.75">
      <c r="I1992" s="77"/>
    </row>
    <row r="1993" ht="12.75">
      <c r="I1993" s="77"/>
    </row>
    <row r="1994" ht="12.75">
      <c r="I1994" s="77"/>
    </row>
    <row r="1995" ht="12.75">
      <c r="I1995" s="77"/>
    </row>
    <row r="1996" ht="12.75">
      <c r="I1996" s="77"/>
    </row>
    <row r="1997" ht="12.75">
      <c r="I1997" s="77"/>
    </row>
    <row r="1998" ht="12.75">
      <c r="I1998" s="77"/>
    </row>
    <row r="1999" ht="12.75">
      <c r="I1999" s="77"/>
    </row>
    <row r="2000" ht="12.75">
      <c r="I2000" s="77"/>
    </row>
    <row r="2001" ht="12.75">
      <c r="I2001" s="77"/>
    </row>
    <row r="2002" ht="12.75">
      <c r="I2002" s="77"/>
    </row>
    <row r="2003" ht="12.75">
      <c r="I2003" s="77"/>
    </row>
    <row r="2004" ht="12.75">
      <c r="I2004" s="77"/>
    </row>
    <row r="2005" ht="12.75">
      <c r="I2005" s="77"/>
    </row>
    <row r="2006" ht="12.75">
      <c r="I2006" s="77"/>
    </row>
    <row r="2007" ht="12.75">
      <c r="I2007" s="77"/>
    </row>
    <row r="2008" ht="12.75">
      <c r="I2008" s="77"/>
    </row>
    <row r="2009" ht="12.75">
      <c r="I2009" s="77"/>
    </row>
    <row r="2010" ht="12.75">
      <c r="I2010" s="77"/>
    </row>
    <row r="2011" ht="12.75">
      <c r="I2011" s="77"/>
    </row>
    <row r="2012" ht="12.75">
      <c r="I2012" s="77"/>
    </row>
    <row r="2013" ht="12.75">
      <c r="I2013" s="77"/>
    </row>
    <row r="2014" ht="12.75">
      <c r="I2014" s="77"/>
    </row>
    <row r="2015" ht="12.75">
      <c r="I2015" s="77"/>
    </row>
    <row r="2016" ht="12.75">
      <c r="I2016" s="77"/>
    </row>
    <row r="2017" ht="12.75">
      <c r="I2017" s="77"/>
    </row>
    <row r="2018" ht="12.75">
      <c r="I2018" s="77"/>
    </row>
    <row r="2019" ht="12.75">
      <c r="I2019" s="77"/>
    </row>
    <row r="2020" ht="12.75">
      <c r="I2020" s="77"/>
    </row>
    <row r="2021" ht="12.75">
      <c r="I2021" s="77"/>
    </row>
    <row r="2022" ht="12.75">
      <c r="I2022" s="77"/>
    </row>
    <row r="2023" ht="12.75">
      <c r="I2023" s="77"/>
    </row>
    <row r="2024" ht="12.75">
      <c r="I2024" s="77"/>
    </row>
    <row r="2025" ht="12.75">
      <c r="I2025" s="77"/>
    </row>
    <row r="2026" ht="12.75">
      <c r="I2026" s="77"/>
    </row>
    <row r="2027" ht="12.75">
      <c r="I2027" s="77"/>
    </row>
    <row r="2028" ht="12.75">
      <c r="I2028" s="77"/>
    </row>
    <row r="2029" ht="12.75">
      <c r="I2029" s="77"/>
    </row>
    <row r="2030" ht="12.75">
      <c r="I2030" s="77"/>
    </row>
    <row r="2031" ht="12.75">
      <c r="I2031" s="77"/>
    </row>
    <row r="2032" ht="12.75">
      <c r="I2032" s="77"/>
    </row>
    <row r="2033" ht="12.75">
      <c r="I2033" s="77"/>
    </row>
    <row r="2034" ht="12.75">
      <c r="I2034" s="77"/>
    </row>
    <row r="2035" ht="12.75">
      <c r="I2035" s="77"/>
    </row>
    <row r="2036" ht="12.75">
      <c r="I2036" s="77"/>
    </row>
    <row r="2037" ht="12.75">
      <c r="I2037" s="77"/>
    </row>
    <row r="2038" ht="12.75">
      <c r="I2038" s="77"/>
    </row>
    <row r="2039" ht="12.75">
      <c r="I2039" s="77"/>
    </row>
    <row r="2040" ht="12.75">
      <c r="I2040" s="77"/>
    </row>
    <row r="2041" ht="12.75">
      <c r="I2041" s="77"/>
    </row>
    <row r="2042" ht="12.75">
      <c r="I2042" s="77"/>
    </row>
    <row r="2043" ht="12.75">
      <c r="I2043" s="77"/>
    </row>
    <row r="2044" ht="12.75">
      <c r="I2044" s="77"/>
    </row>
    <row r="2045" ht="12.75">
      <c r="I2045" s="77"/>
    </row>
    <row r="2046" ht="12.75">
      <c r="I2046" s="77"/>
    </row>
    <row r="2047" ht="12.75">
      <c r="I2047" s="77"/>
    </row>
    <row r="2048" ht="12.75">
      <c r="I2048" s="77"/>
    </row>
    <row r="2049" ht="12.75">
      <c r="I2049" s="77"/>
    </row>
    <row r="2050" ht="12.75">
      <c r="I2050" s="77"/>
    </row>
    <row r="2051" ht="12.75">
      <c r="I2051" s="77"/>
    </row>
    <row r="2052" ht="12.75">
      <c r="I2052" s="77"/>
    </row>
    <row r="2053" ht="12.75">
      <c r="I2053" s="77"/>
    </row>
    <row r="2054" ht="12.75">
      <c r="I2054" s="77"/>
    </row>
    <row r="2055" ht="12.75">
      <c r="I2055" s="77"/>
    </row>
    <row r="2056" ht="12.75">
      <c r="I2056" s="77"/>
    </row>
    <row r="2057" ht="12.75">
      <c r="I2057" s="77"/>
    </row>
    <row r="2058" ht="12.75">
      <c r="I2058" s="77"/>
    </row>
    <row r="2059" ht="12.75">
      <c r="I2059" s="77"/>
    </row>
    <row r="2060" ht="12.75">
      <c r="I2060" s="77"/>
    </row>
    <row r="2061" ht="12.75">
      <c r="I2061" s="77"/>
    </row>
    <row r="2062" ht="12.75">
      <c r="I2062" s="77"/>
    </row>
    <row r="2063" ht="12.75">
      <c r="I2063" s="77"/>
    </row>
    <row r="2064" ht="12.75">
      <c r="I2064" s="77"/>
    </row>
    <row r="2065" ht="12.75">
      <c r="I2065" s="77"/>
    </row>
    <row r="2066" ht="12.75">
      <c r="I2066" s="77"/>
    </row>
    <row r="2067" ht="12.75">
      <c r="I2067" s="77"/>
    </row>
    <row r="2068" ht="12.75">
      <c r="I2068" s="77"/>
    </row>
    <row r="2069" ht="12.75">
      <c r="I2069" s="77"/>
    </row>
    <row r="2070" ht="12.75">
      <c r="I2070" s="77"/>
    </row>
    <row r="2071" ht="12.75">
      <c r="I2071" s="77"/>
    </row>
    <row r="2072" ht="12.75">
      <c r="I2072" s="77"/>
    </row>
    <row r="2073" ht="12.75">
      <c r="I2073" s="77"/>
    </row>
    <row r="2074" ht="12.75">
      <c r="I2074" s="77"/>
    </row>
    <row r="2075" ht="12.75">
      <c r="I2075" s="77"/>
    </row>
    <row r="2076" ht="12.75">
      <c r="I2076" s="77"/>
    </row>
    <row r="2077" ht="12.75">
      <c r="I2077" s="77"/>
    </row>
    <row r="2078" ht="12.75">
      <c r="I2078" s="77"/>
    </row>
    <row r="2079" ht="12.75">
      <c r="I2079" s="77"/>
    </row>
    <row r="2080" ht="12.75">
      <c r="I2080" s="77"/>
    </row>
    <row r="2081" ht="12.75">
      <c r="I2081" s="77"/>
    </row>
    <row r="2082" ht="12.75">
      <c r="I2082" s="77"/>
    </row>
    <row r="2083" ht="12.75">
      <c r="I2083" s="77"/>
    </row>
    <row r="2084" ht="12.75">
      <c r="I2084" s="77"/>
    </row>
    <row r="2085" ht="12.75">
      <c r="I2085" s="77"/>
    </row>
    <row r="2086" ht="12.75">
      <c r="I2086" s="77"/>
    </row>
    <row r="2087" ht="12.75">
      <c r="I2087" s="77"/>
    </row>
    <row r="2088" ht="12.75">
      <c r="I2088" s="77"/>
    </row>
    <row r="2089" ht="12.75">
      <c r="I2089" s="77"/>
    </row>
    <row r="2090" ht="12.75">
      <c r="I2090" s="77"/>
    </row>
    <row r="2091" ht="12.75">
      <c r="I2091" s="77"/>
    </row>
    <row r="2092" ht="12.75">
      <c r="I2092" s="77"/>
    </row>
    <row r="2093" ht="12.75">
      <c r="I2093" s="77"/>
    </row>
    <row r="2094" ht="12.75">
      <c r="I2094" s="77"/>
    </row>
    <row r="2095" ht="12.75">
      <c r="I2095" s="77"/>
    </row>
    <row r="2096" ht="12.75">
      <c r="I2096" s="77"/>
    </row>
    <row r="2097" ht="12.75">
      <c r="I2097" s="77"/>
    </row>
    <row r="2098" ht="12.75">
      <c r="I2098" s="77"/>
    </row>
    <row r="2099" ht="12.75">
      <c r="I2099" s="77"/>
    </row>
    <row r="2100" ht="12.75">
      <c r="I2100" s="77"/>
    </row>
    <row r="2101" ht="12.75">
      <c r="I2101" s="77"/>
    </row>
    <row r="2102" ht="12.75">
      <c r="I2102" s="77"/>
    </row>
    <row r="2103" ht="12.75">
      <c r="I2103" s="77"/>
    </row>
    <row r="2104" ht="12.75">
      <c r="I2104" s="77"/>
    </row>
    <row r="2105" ht="12.75">
      <c r="I2105" s="77"/>
    </row>
    <row r="2106" ht="12.75">
      <c r="I2106" s="77"/>
    </row>
    <row r="2107" ht="12.75">
      <c r="I2107" s="77"/>
    </row>
    <row r="2108" ht="12.75">
      <c r="I2108" s="77"/>
    </row>
    <row r="2109" ht="12.75">
      <c r="I2109" s="77"/>
    </row>
    <row r="2110" ht="12.75">
      <c r="I2110" s="77"/>
    </row>
    <row r="2111" ht="12.75">
      <c r="I2111" s="77"/>
    </row>
    <row r="2112" ht="12.75">
      <c r="I2112" s="77"/>
    </row>
    <row r="2113" ht="12.75">
      <c r="I2113" s="77"/>
    </row>
    <row r="2114" ht="12.75">
      <c r="I2114" s="77"/>
    </row>
    <row r="2115" ht="12.75">
      <c r="I2115" s="77"/>
    </row>
    <row r="2116" ht="12.75">
      <c r="I2116" s="77"/>
    </row>
    <row r="2117" ht="12.75">
      <c r="I2117" s="77"/>
    </row>
    <row r="2118" ht="12.75">
      <c r="I2118" s="77"/>
    </row>
    <row r="2119" ht="12.75">
      <c r="I2119" s="77"/>
    </row>
    <row r="2120" ht="12.75">
      <c r="I2120" s="77"/>
    </row>
    <row r="2121" ht="12.75">
      <c r="I2121" s="77"/>
    </row>
    <row r="2122" ht="12.75">
      <c r="I2122" s="77"/>
    </row>
    <row r="2123" ht="12.75">
      <c r="I2123" s="77"/>
    </row>
    <row r="2124" ht="12.75">
      <c r="I2124" s="77"/>
    </row>
    <row r="2125" ht="12.75">
      <c r="I2125" s="77"/>
    </row>
    <row r="2126" ht="12.75">
      <c r="I2126" s="77"/>
    </row>
    <row r="2127" ht="12.75">
      <c r="I2127" s="77"/>
    </row>
    <row r="2128" ht="12.75">
      <c r="I2128" s="77"/>
    </row>
    <row r="2129" ht="12.75">
      <c r="I2129" s="77"/>
    </row>
    <row r="2130" ht="12.75">
      <c r="I2130" s="77"/>
    </row>
    <row r="2131" ht="12.75">
      <c r="I2131" s="77"/>
    </row>
    <row r="2132" ht="12.75">
      <c r="I2132" s="77"/>
    </row>
    <row r="2133" ht="12.75">
      <c r="I2133" s="77"/>
    </row>
    <row r="2134" ht="12.75">
      <c r="I2134" s="77"/>
    </row>
    <row r="2135" ht="12.75">
      <c r="I2135" s="77"/>
    </row>
    <row r="2136" ht="12.75">
      <c r="I2136" s="77"/>
    </row>
    <row r="2137" ht="12.75">
      <c r="I2137" s="77"/>
    </row>
    <row r="2138" ht="12.75">
      <c r="I2138" s="77"/>
    </row>
    <row r="2139" ht="12.75">
      <c r="I2139" s="77"/>
    </row>
    <row r="2140" ht="12.75">
      <c r="I2140" s="77"/>
    </row>
    <row r="2141" ht="12.75">
      <c r="I2141" s="77"/>
    </row>
    <row r="2142" ht="12.75">
      <c r="I2142" s="77"/>
    </row>
    <row r="2143" ht="12.75">
      <c r="I2143" s="77"/>
    </row>
    <row r="2144" ht="12.75">
      <c r="I2144" s="77"/>
    </row>
    <row r="2145" ht="12.75">
      <c r="I2145" s="77"/>
    </row>
    <row r="2146" ht="12.75">
      <c r="I2146" s="77"/>
    </row>
    <row r="2147" ht="12.75">
      <c r="I2147" s="77"/>
    </row>
    <row r="2148" ht="12.75">
      <c r="I2148" s="77"/>
    </row>
    <row r="2149" ht="12.75">
      <c r="I2149" s="77"/>
    </row>
    <row r="2150" ht="12.75">
      <c r="I2150" s="77"/>
    </row>
    <row r="2151" ht="12.75">
      <c r="I2151" s="77"/>
    </row>
    <row r="2152" ht="12.75">
      <c r="I2152" s="77"/>
    </row>
    <row r="2153" ht="12.75">
      <c r="I2153" s="77"/>
    </row>
    <row r="2154" ht="12.75">
      <c r="I2154" s="77"/>
    </row>
    <row r="2155" ht="12.75">
      <c r="I2155" s="77"/>
    </row>
    <row r="2156" ht="12.75">
      <c r="I2156" s="77"/>
    </row>
    <row r="2157" ht="12.75">
      <c r="I2157" s="77"/>
    </row>
    <row r="2158" ht="12.75">
      <c r="I2158" s="77"/>
    </row>
    <row r="2159" ht="12.75">
      <c r="I2159" s="77"/>
    </row>
    <row r="2160" ht="12.75">
      <c r="I2160" s="77"/>
    </row>
    <row r="2161" ht="12.75">
      <c r="I2161" s="77"/>
    </row>
    <row r="2162" ht="12.75">
      <c r="I2162" s="77"/>
    </row>
    <row r="2163" ht="12.75">
      <c r="I2163" s="77"/>
    </row>
    <row r="2164" ht="12.75">
      <c r="I2164" s="77"/>
    </row>
    <row r="2165" ht="12.75">
      <c r="I2165" s="77"/>
    </row>
    <row r="2166" ht="12.75">
      <c r="I2166" s="77"/>
    </row>
    <row r="2167" ht="12.75">
      <c r="I2167" s="77"/>
    </row>
    <row r="2168" ht="12.75">
      <c r="I2168" s="77"/>
    </row>
    <row r="2169" ht="12.75">
      <c r="I2169" s="77"/>
    </row>
    <row r="2170" ht="12.75">
      <c r="I2170" s="77"/>
    </row>
    <row r="2171" ht="12.75">
      <c r="I2171" s="77"/>
    </row>
    <row r="2172" ht="12.75">
      <c r="I2172" s="77"/>
    </row>
    <row r="2173" ht="12.75">
      <c r="I2173" s="77"/>
    </row>
    <row r="2174" ht="12.75">
      <c r="I2174" s="77"/>
    </row>
    <row r="2175" ht="12.75">
      <c r="I2175" s="77"/>
    </row>
    <row r="2176" ht="12.75">
      <c r="I2176" s="77"/>
    </row>
    <row r="2177" ht="12.75">
      <c r="I2177" s="77"/>
    </row>
    <row r="2178" ht="12.75">
      <c r="I2178" s="77"/>
    </row>
    <row r="2179" ht="12.75">
      <c r="I2179" s="77"/>
    </row>
    <row r="2180" ht="12.75">
      <c r="I2180" s="77"/>
    </row>
    <row r="2181" ht="12.75">
      <c r="I2181" s="77"/>
    </row>
    <row r="2182" ht="12.75">
      <c r="I2182" s="77"/>
    </row>
    <row r="2183" ht="12.75">
      <c r="I2183" s="77"/>
    </row>
    <row r="2184" ht="12.75">
      <c r="I2184" s="77"/>
    </row>
    <row r="2185" ht="12.75">
      <c r="I2185" s="77"/>
    </row>
    <row r="2186" ht="12.75">
      <c r="I2186" s="77"/>
    </row>
    <row r="2187" ht="12.75">
      <c r="I2187" s="77"/>
    </row>
    <row r="2188" ht="12.75">
      <c r="I2188" s="77"/>
    </row>
    <row r="2189" ht="12.75">
      <c r="I2189" s="77"/>
    </row>
    <row r="2190" ht="12.75">
      <c r="I2190" s="77"/>
    </row>
    <row r="2191" ht="12.75">
      <c r="I2191" s="77"/>
    </row>
    <row r="2192" ht="12.75">
      <c r="I2192" s="77"/>
    </row>
    <row r="2193" ht="12.75">
      <c r="I2193" s="77"/>
    </row>
    <row r="2194" ht="12.75">
      <c r="I2194" s="77"/>
    </row>
    <row r="2195" ht="12.75">
      <c r="I2195" s="77"/>
    </row>
    <row r="2196" ht="12.75">
      <c r="I2196" s="77"/>
    </row>
    <row r="2197" ht="12.75">
      <c r="I2197" s="77"/>
    </row>
    <row r="2198" ht="12.75">
      <c r="I2198" s="77"/>
    </row>
    <row r="2199" ht="12.75">
      <c r="I2199" s="77"/>
    </row>
    <row r="2200" ht="12.75">
      <c r="I2200" s="77"/>
    </row>
    <row r="2201" ht="12.75">
      <c r="I2201" s="77"/>
    </row>
    <row r="2202" ht="12.75">
      <c r="I2202" s="77"/>
    </row>
    <row r="2203" ht="12.75">
      <c r="I2203" s="77"/>
    </row>
    <row r="2204" ht="12.75">
      <c r="I2204" s="77"/>
    </row>
    <row r="2205" ht="12.75">
      <c r="I2205" s="77"/>
    </row>
    <row r="2206" ht="12.75">
      <c r="I2206" s="77"/>
    </row>
    <row r="2207" ht="12.75">
      <c r="I2207" s="77"/>
    </row>
    <row r="2208" ht="12.75">
      <c r="I2208" s="77"/>
    </row>
    <row r="2209" ht="12.75">
      <c r="I2209" s="77"/>
    </row>
    <row r="2210" ht="12.75">
      <c r="I2210" s="77"/>
    </row>
    <row r="2211" ht="12.75">
      <c r="I2211" s="77"/>
    </row>
    <row r="2212" ht="12.75">
      <c r="I2212" s="77"/>
    </row>
    <row r="2213" ht="12.75">
      <c r="I2213" s="77"/>
    </row>
    <row r="2214" ht="12.75">
      <c r="I2214" s="77"/>
    </row>
    <row r="2215" ht="12.75">
      <c r="I2215" s="77"/>
    </row>
    <row r="2216" ht="12.75">
      <c r="I2216" s="77"/>
    </row>
    <row r="2217" ht="12.75">
      <c r="I2217" s="77"/>
    </row>
    <row r="2218" ht="12.75">
      <c r="I2218" s="77"/>
    </row>
    <row r="2219" ht="12.75">
      <c r="I2219" s="77"/>
    </row>
    <row r="2220" ht="12.75">
      <c r="I2220" s="77"/>
    </row>
    <row r="2221" ht="12.75">
      <c r="I2221" s="77"/>
    </row>
    <row r="2222" ht="12.75">
      <c r="I2222" s="77"/>
    </row>
    <row r="2223" ht="12.75">
      <c r="I2223" s="77"/>
    </row>
    <row r="2224" ht="12.75">
      <c r="I2224" s="77"/>
    </row>
    <row r="2225" ht="12.75">
      <c r="I2225" s="77"/>
    </row>
    <row r="2226" ht="12.75">
      <c r="I2226" s="77"/>
    </row>
    <row r="2227" ht="12.75">
      <c r="I2227" s="77"/>
    </row>
    <row r="2228" ht="12.75">
      <c r="I2228" s="77"/>
    </row>
    <row r="2229" ht="12.75">
      <c r="I2229" s="77"/>
    </row>
    <row r="2230" ht="12.75">
      <c r="I2230" s="77"/>
    </row>
    <row r="2231" ht="12.75">
      <c r="I2231" s="77"/>
    </row>
    <row r="2232" ht="12.75">
      <c r="I2232" s="77"/>
    </row>
    <row r="2233" ht="12.75">
      <c r="I2233" s="77"/>
    </row>
    <row r="2234" ht="12.75">
      <c r="I2234" s="77"/>
    </row>
    <row r="2235" ht="12.75">
      <c r="I2235" s="77"/>
    </row>
    <row r="2236" ht="12.75">
      <c r="I2236" s="77"/>
    </row>
    <row r="2237" ht="12.75">
      <c r="I2237" s="77"/>
    </row>
    <row r="2238" ht="12.75">
      <c r="I2238" s="77"/>
    </row>
    <row r="2239" ht="12.75">
      <c r="I2239" s="77"/>
    </row>
    <row r="2240" ht="12.75">
      <c r="I2240" s="77"/>
    </row>
    <row r="2241" ht="12.75">
      <c r="I2241" s="77"/>
    </row>
    <row r="2242" ht="12.75">
      <c r="I2242" s="77"/>
    </row>
    <row r="2243" ht="12.75">
      <c r="I2243" s="77"/>
    </row>
    <row r="2244" ht="12.75">
      <c r="I2244" s="77"/>
    </row>
    <row r="2245" ht="12.75">
      <c r="I2245" s="77"/>
    </row>
    <row r="2246" ht="12.75">
      <c r="I2246" s="77"/>
    </row>
    <row r="2247" ht="12.75">
      <c r="I2247" s="77"/>
    </row>
    <row r="2248" ht="12.75">
      <c r="I2248" s="77"/>
    </row>
    <row r="2249" ht="12.75">
      <c r="I2249" s="77"/>
    </row>
    <row r="2250" ht="12.75">
      <c r="I2250" s="77"/>
    </row>
    <row r="2251" ht="12.75">
      <c r="I2251" s="77"/>
    </row>
    <row r="2252" ht="12.75">
      <c r="I2252" s="77"/>
    </row>
    <row r="2253" ht="12.75">
      <c r="I2253" s="77"/>
    </row>
    <row r="2254" ht="12.75">
      <c r="I2254" s="77"/>
    </row>
    <row r="2255" ht="12.75">
      <c r="I2255" s="77"/>
    </row>
    <row r="2256" ht="12.75">
      <c r="I2256" s="77"/>
    </row>
    <row r="2257" ht="12.75">
      <c r="I2257" s="77"/>
    </row>
    <row r="2258" ht="12.75">
      <c r="I2258" s="77"/>
    </row>
    <row r="2259" ht="12.75">
      <c r="I2259" s="77"/>
    </row>
    <row r="2260" ht="12.75">
      <c r="I2260" s="77"/>
    </row>
    <row r="2261" ht="12.75">
      <c r="I2261" s="77"/>
    </row>
    <row r="2262" ht="12.75">
      <c r="I2262" s="77"/>
    </row>
    <row r="2263" ht="12.75">
      <c r="I2263" s="77"/>
    </row>
    <row r="2264" ht="12.75">
      <c r="I2264" s="77"/>
    </row>
    <row r="2265" ht="12.75">
      <c r="I2265" s="77"/>
    </row>
    <row r="2266" ht="12.75">
      <c r="I2266" s="77"/>
    </row>
    <row r="2267" ht="12.75">
      <c r="I2267" s="77"/>
    </row>
    <row r="2268" ht="12.75">
      <c r="I2268" s="77"/>
    </row>
    <row r="2269" ht="12.75">
      <c r="I2269" s="77"/>
    </row>
    <row r="2270" ht="12.75">
      <c r="I2270" s="77"/>
    </row>
    <row r="2271" ht="12.75">
      <c r="I2271" s="77"/>
    </row>
    <row r="2272" ht="12.75">
      <c r="I2272" s="77"/>
    </row>
    <row r="2273" ht="12.75">
      <c r="I2273" s="77"/>
    </row>
    <row r="2274" ht="12.75">
      <c r="I2274" s="77"/>
    </row>
    <row r="2275" ht="12.75">
      <c r="I2275" s="77"/>
    </row>
    <row r="2276" ht="12.75">
      <c r="I2276" s="77"/>
    </row>
    <row r="2277" ht="12.75">
      <c r="I2277" s="77"/>
    </row>
    <row r="2278" ht="12.75">
      <c r="I2278" s="77"/>
    </row>
    <row r="2279" ht="12.75">
      <c r="I2279" s="77"/>
    </row>
    <row r="2280" ht="12.75">
      <c r="I2280" s="77"/>
    </row>
    <row r="2281" ht="12.75">
      <c r="I2281" s="77"/>
    </row>
    <row r="2282" ht="12.75">
      <c r="I2282" s="77"/>
    </row>
    <row r="2283" ht="12.75">
      <c r="I2283" s="77"/>
    </row>
    <row r="2284" ht="12.75">
      <c r="I2284" s="77"/>
    </row>
    <row r="2285" ht="12.75">
      <c r="I2285" s="77"/>
    </row>
    <row r="2286" ht="12.75">
      <c r="I2286" s="77"/>
    </row>
    <row r="2287" ht="12.75">
      <c r="I2287" s="77"/>
    </row>
    <row r="2288" ht="12.75">
      <c r="I2288" s="77"/>
    </row>
    <row r="2289" ht="12.75">
      <c r="I2289" s="77"/>
    </row>
    <row r="2290" ht="12.75">
      <c r="I2290" s="77"/>
    </row>
    <row r="2291" ht="12.75">
      <c r="I2291" s="77"/>
    </row>
    <row r="2292" ht="12.75">
      <c r="I2292" s="77"/>
    </row>
    <row r="2293" ht="12.75">
      <c r="I2293" s="77"/>
    </row>
    <row r="2294" ht="12.75">
      <c r="I2294" s="77"/>
    </row>
    <row r="2295" ht="12.75">
      <c r="I2295" s="77"/>
    </row>
    <row r="2296" ht="12.75">
      <c r="I2296" s="77"/>
    </row>
    <row r="2297" ht="12.75">
      <c r="I2297" s="77"/>
    </row>
    <row r="2298" ht="12.75">
      <c r="I2298" s="77"/>
    </row>
    <row r="2299" ht="12.75">
      <c r="I2299" s="77"/>
    </row>
    <row r="2300" ht="12.75">
      <c r="I2300" s="77"/>
    </row>
    <row r="2301" ht="12.75">
      <c r="I2301" s="77"/>
    </row>
    <row r="2302" ht="12.75">
      <c r="I2302" s="77"/>
    </row>
    <row r="2303" ht="12.75">
      <c r="I2303" s="77"/>
    </row>
    <row r="2304" ht="12.75">
      <c r="I2304" s="77"/>
    </row>
    <row r="2305" ht="12.75">
      <c r="I2305" s="77"/>
    </row>
    <row r="2306" ht="12.75">
      <c r="I2306" s="77"/>
    </row>
    <row r="2307" ht="12.75">
      <c r="I2307" s="77"/>
    </row>
    <row r="2308" ht="12.75">
      <c r="I2308" s="77"/>
    </row>
    <row r="2309" ht="12.75">
      <c r="I2309" s="77"/>
    </row>
    <row r="2310" ht="12.75">
      <c r="I2310" s="77"/>
    </row>
    <row r="2311" ht="12.75">
      <c r="I2311" s="77"/>
    </row>
    <row r="2312" ht="12.75">
      <c r="I2312" s="77"/>
    </row>
    <row r="2313" ht="12.75">
      <c r="I2313" s="77"/>
    </row>
    <row r="2314" ht="12.75">
      <c r="I2314" s="77"/>
    </row>
    <row r="2315" ht="12.75">
      <c r="I2315" s="77"/>
    </row>
    <row r="2316" ht="12.75">
      <c r="I2316" s="77"/>
    </row>
    <row r="2317" ht="12.75">
      <c r="I2317" s="77"/>
    </row>
    <row r="2318" ht="12.75">
      <c r="I2318" s="77"/>
    </row>
    <row r="2319" ht="12.75">
      <c r="I2319" s="77"/>
    </row>
    <row r="2320" ht="12.75">
      <c r="I2320" s="77"/>
    </row>
    <row r="2321" ht="12.75">
      <c r="I2321" s="77"/>
    </row>
    <row r="2322" ht="12.75">
      <c r="I2322" s="77"/>
    </row>
    <row r="2323" ht="12.75">
      <c r="I2323" s="77"/>
    </row>
    <row r="2324" ht="12.75">
      <c r="I2324" s="77"/>
    </row>
    <row r="2325" ht="12.75">
      <c r="I2325" s="77"/>
    </row>
    <row r="2326" ht="12.75">
      <c r="I2326" s="77"/>
    </row>
    <row r="2327" ht="12.75">
      <c r="I2327" s="77"/>
    </row>
    <row r="2328" ht="12.75">
      <c r="I2328" s="77"/>
    </row>
    <row r="2329" ht="12.75">
      <c r="I2329" s="77"/>
    </row>
    <row r="2330" ht="12.75">
      <c r="I2330" s="77"/>
    </row>
    <row r="2331" ht="12.75">
      <c r="I2331" s="77"/>
    </row>
    <row r="2332" ht="12.75">
      <c r="I2332" s="77"/>
    </row>
    <row r="2333" ht="12.75">
      <c r="I2333" s="77"/>
    </row>
    <row r="2334" ht="12.75">
      <c r="I2334" s="77"/>
    </row>
    <row r="2335" ht="12.75">
      <c r="I2335" s="77"/>
    </row>
    <row r="2336" ht="12.75">
      <c r="I2336" s="77"/>
    </row>
    <row r="2337" ht="12.75">
      <c r="I2337" s="77"/>
    </row>
    <row r="2338" ht="12.75">
      <c r="I2338" s="77"/>
    </row>
    <row r="2339" ht="12.75">
      <c r="I2339" s="77"/>
    </row>
    <row r="2340" ht="12.75">
      <c r="I2340" s="77"/>
    </row>
    <row r="2341" ht="12.75">
      <c r="I2341" s="77"/>
    </row>
    <row r="2342" ht="12.75">
      <c r="I2342" s="77"/>
    </row>
    <row r="2343" ht="12.75">
      <c r="I2343" s="77"/>
    </row>
    <row r="2344" ht="12.75">
      <c r="I2344" s="77"/>
    </row>
    <row r="2345" ht="12.75">
      <c r="I2345" s="77"/>
    </row>
    <row r="2346" ht="12.75">
      <c r="I2346" s="77"/>
    </row>
    <row r="2347" ht="12.75">
      <c r="I2347" s="77"/>
    </row>
    <row r="2348" ht="12.75">
      <c r="I2348" s="77"/>
    </row>
    <row r="2349" ht="12.75">
      <c r="I2349" s="77"/>
    </row>
    <row r="2350" ht="12.75">
      <c r="I2350" s="77"/>
    </row>
    <row r="2351" ht="12.75">
      <c r="I2351" s="77"/>
    </row>
    <row r="2352" ht="12.75">
      <c r="I2352" s="77"/>
    </row>
    <row r="2353" ht="12.75">
      <c r="I2353" s="77"/>
    </row>
    <row r="2354" ht="12.75">
      <c r="I2354" s="77"/>
    </row>
    <row r="2355" ht="12.75">
      <c r="I2355" s="77"/>
    </row>
    <row r="2356" ht="12.75">
      <c r="I2356" s="77"/>
    </row>
    <row r="2357" ht="12.75">
      <c r="I2357" s="77"/>
    </row>
    <row r="2358" ht="12.75">
      <c r="I2358" s="77"/>
    </row>
    <row r="2359" ht="12.75">
      <c r="I2359" s="77"/>
    </row>
    <row r="2360" ht="12.75">
      <c r="I2360" s="77"/>
    </row>
    <row r="2361" ht="12.75">
      <c r="I2361" s="77"/>
    </row>
    <row r="2362" ht="12.75">
      <c r="I2362" s="77"/>
    </row>
    <row r="2363" ht="12.75">
      <c r="I2363" s="77"/>
    </row>
    <row r="2364" ht="12.75">
      <c r="I2364" s="77"/>
    </row>
    <row r="2365" ht="12.75">
      <c r="I2365" s="77"/>
    </row>
    <row r="2366" ht="12.75">
      <c r="I2366" s="77"/>
    </row>
    <row r="2367" ht="12.75">
      <c r="I2367" s="77"/>
    </row>
    <row r="2368" ht="12.75">
      <c r="I2368" s="77"/>
    </row>
    <row r="2369" ht="12.75">
      <c r="I2369" s="77"/>
    </row>
    <row r="2370" ht="12.75">
      <c r="I2370" s="77"/>
    </row>
    <row r="2371" ht="12.75">
      <c r="I2371" s="77"/>
    </row>
    <row r="2372" ht="12.75">
      <c r="I2372" s="77"/>
    </row>
    <row r="2373" ht="12.75">
      <c r="I2373" s="77"/>
    </row>
    <row r="2374" ht="12.75">
      <c r="I2374" s="77"/>
    </row>
    <row r="2375" ht="12.75">
      <c r="I2375" s="77"/>
    </row>
    <row r="2376" ht="12.75">
      <c r="I2376" s="77"/>
    </row>
    <row r="2377" ht="12.75">
      <c r="I2377" s="77"/>
    </row>
    <row r="2378" ht="12.75">
      <c r="I2378" s="77"/>
    </row>
    <row r="2379" ht="12.75">
      <c r="I2379" s="77"/>
    </row>
    <row r="2380" ht="12.75">
      <c r="I2380" s="77"/>
    </row>
    <row r="2381" ht="12.75">
      <c r="I2381" s="77"/>
    </row>
    <row r="2382" ht="12.75">
      <c r="I2382" s="77"/>
    </row>
    <row r="2383" ht="12.75">
      <c r="I2383" s="77"/>
    </row>
    <row r="2384" ht="12.75">
      <c r="I2384" s="77"/>
    </row>
    <row r="2385" ht="12.75">
      <c r="I2385" s="77"/>
    </row>
    <row r="2386" ht="12.75">
      <c r="I2386" s="77"/>
    </row>
    <row r="2387" ht="12.75">
      <c r="I2387" s="77"/>
    </row>
    <row r="2388" ht="12.75">
      <c r="I2388" s="77"/>
    </row>
    <row r="2389" ht="12.75">
      <c r="I2389" s="77"/>
    </row>
    <row r="2390" ht="12.75">
      <c r="I2390" s="77"/>
    </row>
    <row r="2391" ht="12.75">
      <c r="I2391" s="77"/>
    </row>
    <row r="2392" ht="12.75">
      <c r="I2392" s="77"/>
    </row>
    <row r="2393" ht="12.75">
      <c r="I2393" s="77"/>
    </row>
    <row r="2394" ht="12.75">
      <c r="I2394" s="77"/>
    </row>
    <row r="2395" ht="12.75">
      <c r="I2395" s="77"/>
    </row>
    <row r="2396" ht="12.75">
      <c r="I2396" s="77"/>
    </row>
    <row r="2397" ht="12.75">
      <c r="I2397" s="77"/>
    </row>
    <row r="2398" ht="12.75">
      <c r="I2398" s="77"/>
    </row>
    <row r="2399" ht="12.75">
      <c r="I2399" s="77"/>
    </row>
    <row r="2400" ht="12.75">
      <c r="I2400" s="77"/>
    </row>
    <row r="2401" ht="12.75">
      <c r="I2401" s="77"/>
    </row>
    <row r="2402" ht="12.75">
      <c r="I2402" s="77"/>
    </row>
    <row r="2403" ht="12.75">
      <c r="I2403" s="77"/>
    </row>
    <row r="2404" ht="12.75">
      <c r="I2404" s="77"/>
    </row>
    <row r="2405" ht="12.75">
      <c r="I2405" s="77"/>
    </row>
    <row r="2406" ht="12.75">
      <c r="I2406" s="77"/>
    </row>
    <row r="2407" ht="12.75">
      <c r="I2407" s="77"/>
    </row>
    <row r="2408" ht="12.75">
      <c r="I2408" s="77"/>
    </row>
    <row r="2409" ht="12.75">
      <c r="I2409" s="77"/>
    </row>
    <row r="2410" ht="12.75">
      <c r="I2410" s="77"/>
    </row>
    <row r="2411" ht="12.75">
      <c r="I2411" s="77"/>
    </row>
    <row r="2412" ht="12.75">
      <c r="I2412" s="77"/>
    </row>
    <row r="2413" ht="12.75">
      <c r="I2413" s="77"/>
    </row>
    <row r="2414" ht="12.75">
      <c r="I2414" s="77"/>
    </row>
    <row r="2415" ht="12.75">
      <c r="I2415" s="77"/>
    </row>
    <row r="2416" ht="12.75">
      <c r="I2416" s="77"/>
    </row>
    <row r="2417" ht="12.75">
      <c r="I2417" s="77"/>
    </row>
    <row r="2418" ht="12.75">
      <c r="I2418" s="77"/>
    </row>
    <row r="2419" ht="12.75">
      <c r="I2419" s="77"/>
    </row>
    <row r="2420" ht="12.75">
      <c r="I2420" s="77"/>
    </row>
    <row r="2421" ht="12.75">
      <c r="I2421" s="77"/>
    </row>
    <row r="2422" ht="12.75">
      <c r="I2422" s="77"/>
    </row>
    <row r="2423" ht="12.75">
      <c r="I2423" s="77"/>
    </row>
    <row r="2424" ht="12.75">
      <c r="I2424" s="77"/>
    </row>
    <row r="2425" ht="12.75">
      <c r="I2425" s="77"/>
    </row>
    <row r="2426" ht="12.75">
      <c r="I2426" s="77"/>
    </row>
    <row r="2427" ht="12.75">
      <c r="I2427" s="77"/>
    </row>
    <row r="2428" ht="12.75">
      <c r="I2428" s="77"/>
    </row>
    <row r="2429" ht="12.75">
      <c r="I2429" s="77"/>
    </row>
    <row r="2430" ht="12.75">
      <c r="I2430" s="77"/>
    </row>
    <row r="2431" ht="12.75">
      <c r="I2431" s="77"/>
    </row>
    <row r="2432" ht="12.75">
      <c r="I2432" s="77"/>
    </row>
    <row r="2433" ht="12.75">
      <c r="I2433" s="77"/>
    </row>
    <row r="2434" ht="12.75">
      <c r="I2434" s="77"/>
    </row>
    <row r="2435" ht="12.75">
      <c r="I2435" s="77"/>
    </row>
    <row r="2436" ht="12.75">
      <c r="I2436" s="77"/>
    </row>
    <row r="2437" ht="12.75">
      <c r="I2437" s="77"/>
    </row>
    <row r="2438" ht="12.75">
      <c r="I2438" s="77"/>
    </row>
    <row r="2439" ht="12.75">
      <c r="I2439" s="77"/>
    </row>
    <row r="2440" ht="12.75">
      <c r="I2440" s="77"/>
    </row>
    <row r="2441" ht="12.75">
      <c r="I2441" s="77"/>
    </row>
    <row r="2442" ht="12.75">
      <c r="I2442" s="77"/>
    </row>
    <row r="2443" ht="12.75">
      <c r="I2443" s="77"/>
    </row>
    <row r="2444" ht="12.75">
      <c r="I2444" s="77"/>
    </row>
    <row r="2445" ht="12.75">
      <c r="I2445" s="77"/>
    </row>
    <row r="2446" ht="12.75">
      <c r="I2446" s="77"/>
    </row>
    <row r="2447" ht="12.75">
      <c r="I2447" s="77"/>
    </row>
    <row r="2448" ht="12.75">
      <c r="I2448" s="77"/>
    </row>
    <row r="2449" ht="12.75">
      <c r="I2449" s="77"/>
    </row>
    <row r="2450" ht="12.75">
      <c r="I2450" s="77"/>
    </row>
    <row r="2451" ht="12.75">
      <c r="I2451" s="77"/>
    </row>
    <row r="2452" ht="12.75">
      <c r="I2452" s="77"/>
    </row>
    <row r="2453" ht="12.75">
      <c r="I2453" s="77"/>
    </row>
    <row r="2454" ht="12.75">
      <c r="I2454" s="77"/>
    </row>
    <row r="2455" ht="12.75">
      <c r="I2455" s="77"/>
    </row>
    <row r="2456" ht="12.75">
      <c r="I2456" s="77"/>
    </row>
    <row r="2457" ht="12.75">
      <c r="I2457" s="77"/>
    </row>
    <row r="2458" ht="12.75">
      <c r="I2458" s="77"/>
    </row>
    <row r="2459" ht="12.75">
      <c r="I2459" s="77"/>
    </row>
    <row r="2460" ht="12.75">
      <c r="I2460" s="77"/>
    </row>
    <row r="2461" ht="12.75">
      <c r="I2461" s="77"/>
    </row>
    <row r="2462" ht="12.75">
      <c r="I2462" s="77"/>
    </row>
    <row r="2463" ht="12.75">
      <c r="I2463" s="77"/>
    </row>
    <row r="2464" ht="12.75">
      <c r="I2464" s="77"/>
    </row>
    <row r="2465" ht="12.75">
      <c r="I2465" s="77"/>
    </row>
    <row r="2466" ht="12.75">
      <c r="I2466" s="77"/>
    </row>
    <row r="2467" ht="12.75">
      <c r="I2467" s="77"/>
    </row>
    <row r="2468" ht="12.75">
      <c r="I2468" s="77"/>
    </row>
    <row r="2469" ht="12.75">
      <c r="I2469" s="77"/>
    </row>
    <row r="2470" ht="12.75">
      <c r="I2470" s="77"/>
    </row>
    <row r="2471" ht="12.75">
      <c r="I2471" s="77"/>
    </row>
    <row r="2472" ht="12.75">
      <c r="I2472" s="77"/>
    </row>
    <row r="2473" ht="12.75">
      <c r="I2473" s="77"/>
    </row>
    <row r="2474" ht="12.75">
      <c r="I2474" s="77"/>
    </row>
    <row r="2475" ht="12.75">
      <c r="I2475" s="77"/>
    </row>
    <row r="2476" ht="12.75">
      <c r="I2476" s="77"/>
    </row>
    <row r="2477" ht="12.75">
      <c r="I2477" s="77"/>
    </row>
    <row r="2478" ht="12.75">
      <c r="I2478" s="77"/>
    </row>
    <row r="2479" ht="12.75">
      <c r="I2479" s="77"/>
    </row>
    <row r="2480" ht="12.75">
      <c r="I2480" s="77"/>
    </row>
    <row r="2481" ht="12.75">
      <c r="I2481" s="77"/>
    </row>
    <row r="2482" ht="12.75">
      <c r="I2482" s="77"/>
    </row>
    <row r="2483" ht="12.75">
      <c r="I2483" s="77"/>
    </row>
    <row r="2484" ht="12.75">
      <c r="I2484" s="77"/>
    </row>
    <row r="2485" ht="12.75">
      <c r="I2485" s="77"/>
    </row>
    <row r="2486" ht="12.75">
      <c r="I2486" s="77"/>
    </row>
    <row r="2487" ht="12.75">
      <c r="I2487" s="77"/>
    </row>
    <row r="2488" ht="12.75">
      <c r="I2488" s="77"/>
    </row>
    <row r="2489" ht="12.75">
      <c r="I2489" s="77"/>
    </row>
    <row r="2490" ht="12.75">
      <c r="I2490" s="77"/>
    </row>
    <row r="2491" ht="12.75">
      <c r="I2491" s="77"/>
    </row>
    <row r="2492" ht="12.75">
      <c r="I2492" s="77"/>
    </row>
    <row r="2493" ht="12.75">
      <c r="I2493" s="77"/>
    </row>
    <row r="2494" ht="12.75">
      <c r="I2494" s="77"/>
    </row>
    <row r="2495" ht="12.75">
      <c r="I2495" s="77"/>
    </row>
    <row r="2496" ht="12.75">
      <c r="I2496" s="77"/>
    </row>
    <row r="2497" ht="12.75">
      <c r="I2497" s="77"/>
    </row>
    <row r="2498" ht="12.75">
      <c r="I2498" s="77"/>
    </row>
    <row r="2499" ht="12.75">
      <c r="I2499" s="77"/>
    </row>
    <row r="2500" ht="12.75">
      <c r="I2500" s="77"/>
    </row>
    <row r="2501" ht="12.75">
      <c r="I2501" s="77"/>
    </row>
    <row r="2502" ht="12.75">
      <c r="I2502" s="77"/>
    </row>
    <row r="2503" ht="12.75">
      <c r="I2503" s="77"/>
    </row>
    <row r="2504" ht="12.75">
      <c r="I2504" s="77"/>
    </row>
    <row r="2505" ht="12.75">
      <c r="I2505" s="77"/>
    </row>
    <row r="2506" ht="12.75">
      <c r="I2506" s="77"/>
    </row>
    <row r="2507" ht="12.75">
      <c r="I2507" s="77"/>
    </row>
    <row r="2508" ht="12.75">
      <c r="I2508" s="77"/>
    </row>
    <row r="2509" ht="12.75">
      <c r="I2509" s="77"/>
    </row>
    <row r="2510" ht="12.75">
      <c r="I2510" s="77"/>
    </row>
    <row r="2511" ht="12.75">
      <c r="I2511" s="77"/>
    </row>
    <row r="2512" ht="12.75">
      <c r="I2512" s="77"/>
    </row>
    <row r="2513" ht="12.75">
      <c r="I2513" s="77"/>
    </row>
    <row r="2514" ht="12.75">
      <c r="I2514" s="77"/>
    </row>
    <row r="2515" ht="12.75">
      <c r="I2515" s="77"/>
    </row>
    <row r="2516" ht="12.75">
      <c r="I2516" s="77"/>
    </row>
    <row r="2517" ht="12.75">
      <c r="I2517" s="77"/>
    </row>
    <row r="2518" ht="12.75">
      <c r="I2518" s="77"/>
    </row>
    <row r="2519" ht="12.75">
      <c r="I2519" s="77"/>
    </row>
    <row r="2520" ht="12.75">
      <c r="I2520" s="77"/>
    </row>
    <row r="2521" ht="12.75">
      <c r="I2521" s="77"/>
    </row>
    <row r="2522" ht="12.75">
      <c r="I2522" s="77"/>
    </row>
    <row r="2523" ht="12.75">
      <c r="I2523" s="77"/>
    </row>
    <row r="2524" ht="12.75">
      <c r="I2524" s="77"/>
    </row>
    <row r="2525" ht="12.75">
      <c r="I2525" s="77"/>
    </row>
    <row r="2526" ht="12.75">
      <c r="I2526" s="77"/>
    </row>
    <row r="2527" ht="12.75">
      <c r="I2527" s="77"/>
    </row>
    <row r="2528" ht="12.75">
      <c r="I2528" s="77"/>
    </row>
    <row r="2529" ht="12.75">
      <c r="I2529" s="77"/>
    </row>
    <row r="2530" ht="12.75">
      <c r="I2530" s="77"/>
    </row>
    <row r="2531" ht="12.75">
      <c r="I2531" s="77"/>
    </row>
    <row r="2532" ht="12.75">
      <c r="I2532" s="77"/>
    </row>
    <row r="2533" ht="12.75">
      <c r="I2533" s="77"/>
    </row>
    <row r="2534" ht="12.75">
      <c r="I2534" s="77"/>
    </row>
    <row r="2535" ht="12.75">
      <c r="I2535" s="77"/>
    </row>
    <row r="2536" ht="12.75">
      <c r="I2536" s="77"/>
    </row>
    <row r="2537" ht="12.75">
      <c r="I2537" s="77"/>
    </row>
    <row r="2538" ht="12.75">
      <c r="I2538" s="77"/>
    </row>
    <row r="2539" ht="12.75">
      <c r="I2539" s="77"/>
    </row>
    <row r="2540" ht="12.75">
      <c r="I2540" s="77"/>
    </row>
    <row r="2541" ht="12.75">
      <c r="I2541" s="77"/>
    </row>
    <row r="2542" ht="12.75">
      <c r="I2542" s="77"/>
    </row>
    <row r="2543" ht="12.75">
      <c r="I2543" s="77"/>
    </row>
    <row r="2544" ht="12.75">
      <c r="I2544" s="77"/>
    </row>
    <row r="2545" ht="12.75">
      <c r="I2545" s="77"/>
    </row>
    <row r="2546" ht="12.75">
      <c r="I2546" s="77"/>
    </row>
    <row r="2547" ht="12.75">
      <c r="I2547" s="77"/>
    </row>
    <row r="2548" ht="12.75">
      <c r="I2548" s="77"/>
    </row>
    <row r="2549" ht="12.75">
      <c r="I2549" s="77"/>
    </row>
    <row r="2550" ht="12.75">
      <c r="I2550" s="77"/>
    </row>
    <row r="2551" ht="12.75">
      <c r="I2551" s="77"/>
    </row>
    <row r="2552" ht="12.75">
      <c r="I2552" s="77"/>
    </row>
    <row r="2553" ht="12.75">
      <c r="I2553" s="77"/>
    </row>
    <row r="2554" ht="12.75">
      <c r="I2554" s="77"/>
    </row>
    <row r="2555" ht="12.75">
      <c r="I2555" s="77"/>
    </row>
    <row r="2556" ht="12.75">
      <c r="I2556" s="77"/>
    </row>
    <row r="2557" ht="12.75">
      <c r="I2557" s="77"/>
    </row>
    <row r="2558" ht="12.75">
      <c r="I2558" s="77"/>
    </row>
    <row r="2559" ht="12.75">
      <c r="I2559" s="77"/>
    </row>
    <row r="2560" ht="12.75">
      <c r="I2560" s="77"/>
    </row>
    <row r="2561" ht="12.75">
      <c r="I2561" s="77"/>
    </row>
    <row r="2562" ht="12.75">
      <c r="I2562" s="77"/>
    </row>
    <row r="2563" ht="12.75">
      <c r="I2563" s="77"/>
    </row>
    <row r="2564" ht="12.75">
      <c r="I2564" s="77"/>
    </row>
    <row r="2565" ht="12.75">
      <c r="I2565" s="77"/>
    </row>
    <row r="2566" ht="12.75">
      <c r="I2566" s="77"/>
    </row>
    <row r="2567" ht="12.75">
      <c r="I2567" s="77"/>
    </row>
    <row r="2568" ht="12.75">
      <c r="I2568" s="77"/>
    </row>
    <row r="2569" ht="12.75">
      <c r="I2569" s="77"/>
    </row>
    <row r="2570" ht="12.75">
      <c r="I2570" s="77"/>
    </row>
    <row r="2571" ht="12.75">
      <c r="I2571" s="77"/>
    </row>
    <row r="2572" ht="12.75">
      <c r="I2572" s="77"/>
    </row>
    <row r="2573" ht="12.75">
      <c r="I2573" s="77"/>
    </row>
    <row r="2574" ht="12.75">
      <c r="I2574" s="77"/>
    </row>
    <row r="2575" ht="12.75">
      <c r="I2575" s="77"/>
    </row>
    <row r="2576" ht="12.75">
      <c r="I2576" s="77"/>
    </row>
    <row r="2577" ht="12.75">
      <c r="I2577" s="77"/>
    </row>
    <row r="2578" ht="12.75">
      <c r="I2578" s="77"/>
    </row>
    <row r="2579" ht="12.75">
      <c r="I2579" s="77"/>
    </row>
    <row r="2580" ht="12.75">
      <c r="I2580" s="77"/>
    </row>
    <row r="2581" ht="12.75">
      <c r="I2581" s="77"/>
    </row>
    <row r="2582" ht="12.75">
      <c r="I2582" s="77"/>
    </row>
    <row r="2583" ht="12.75">
      <c r="I2583" s="77"/>
    </row>
    <row r="2584" ht="12.75">
      <c r="I2584" s="77"/>
    </row>
    <row r="2585" ht="12.75">
      <c r="I2585" s="77"/>
    </row>
    <row r="2586" ht="12.75">
      <c r="I2586" s="77"/>
    </row>
    <row r="2587" ht="12.75">
      <c r="I2587" s="77"/>
    </row>
    <row r="2588" ht="12.75">
      <c r="I2588" s="77"/>
    </row>
    <row r="2589" ht="12.75">
      <c r="I2589" s="77"/>
    </row>
    <row r="2590" ht="12.75">
      <c r="I2590" s="77"/>
    </row>
    <row r="2591" ht="12.75">
      <c r="I2591" s="77"/>
    </row>
    <row r="2592" ht="12.75">
      <c r="I2592" s="77"/>
    </row>
    <row r="2593" ht="12.75">
      <c r="I2593" s="77"/>
    </row>
    <row r="2594" ht="12.75">
      <c r="I2594" s="77"/>
    </row>
    <row r="2595" ht="12.75">
      <c r="I2595" s="77"/>
    </row>
    <row r="2596" ht="12.75">
      <c r="I2596" s="77"/>
    </row>
    <row r="2597" ht="12.75">
      <c r="I2597" s="77"/>
    </row>
    <row r="2598" ht="12.75">
      <c r="I2598" s="77"/>
    </row>
    <row r="2599" ht="12.75">
      <c r="I2599" s="77"/>
    </row>
    <row r="2600" ht="12.75">
      <c r="I2600" s="77"/>
    </row>
    <row r="2601" ht="12.75">
      <c r="I2601" s="77"/>
    </row>
    <row r="2602" ht="12.75">
      <c r="I2602" s="77"/>
    </row>
    <row r="2603" ht="12.75">
      <c r="I2603" s="77"/>
    </row>
    <row r="2604" ht="12.75">
      <c r="I2604" s="77"/>
    </row>
    <row r="2605" ht="12.75">
      <c r="I2605" s="77"/>
    </row>
    <row r="2606" ht="12.75">
      <c r="I2606" s="77"/>
    </row>
    <row r="2607" ht="12.75">
      <c r="I2607" s="77"/>
    </row>
    <row r="2608" ht="12.75">
      <c r="I2608" s="77"/>
    </row>
    <row r="2609" ht="12.75">
      <c r="I2609" s="77"/>
    </row>
    <row r="2610" ht="12.75">
      <c r="I2610" s="77"/>
    </row>
    <row r="2611" ht="12.75">
      <c r="I2611" s="77"/>
    </row>
    <row r="2612" ht="12.75">
      <c r="I2612" s="77"/>
    </row>
    <row r="2613" ht="12.75">
      <c r="I2613" s="77"/>
    </row>
    <row r="2614" ht="12.75">
      <c r="I2614" s="77"/>
    </row>
    <row r="2615" ht="12.75">
      <c r="I2615" s="77"/>
    </row>
    <row r="2616" ht="12.75">
      <c r="I2616" s="77"/>
    </row>
    <row r="2617" ht="12.75">
      <c r="I2617" s="77"/>
    </row>
    <row r="2618" ht="12.75">
      <c r="I2618" s="77"/>
    </row>
    <row r="2619" ht="12.75">
      <c r="I2619" s="77"/>
    </row>
    <row r="2620" ht="12.75">
      <c r="I2620" s="77"/>
    </row>
    <row r="2621" ht="12.75">
      <c r="I2621" s="77"/>
    </row>
    <row r="2622" ht="12.75">
      <c r="I2622" s="77"/>
    </row>
    <row r="2623" ht="12.75">
      <c r="I2623" s="77"/>
    </row>
    <row r="2624" ht="12.75">
      <c r="I2624" s="77"/>
    </row>
    <row r="2625" ht="12.75">
      <c r="I2625" s="77"/>
    </row>
    <row r="2626" ht="12.75">
      <c r="I2626" s="77"/>
    </row>
    <row r="2627" ht="12.75">
      <c r="I2627" s="77"/>
    </row>
    <row r="2628" ht="12.75">
      <c r="I2628" s="77"/>
    </row>
    <row r="2629" ht="12.75">
      <c r="I2629" s="77"/>
    </row>
    <row r="2630" ht="12.75">
      <c r="I2630" s="77"/>
    </row>
    <row r="2631" ht="12.75">
      <c r="I2631" s="77"/>
    </row>
    <row r="2632" ht="12.75">
      <c r="I2632" s="77"/>
    </row>
    <row r="2633" ht="12.75">
      <c r="I2633" s="77"/>
    </row>
    <row r="2634" ht="12.75">
      <c r="I2634" s="77"/>
    </row>
    <row r="2635" ht="12.75">
      <c r="I2635" s="77"/>
    </row>
    <row r="2636" ht="12.75">
      <c r="I2636" s="77"/>
    </row>
    <row r="2637" ht="12.75">
      <c r="I2637" s="77"/>
    </row>
    <row r="2638" ht="12.75">
      <c r="I2638" s="77"/>
    </row>
    <row r="2639" ht="12.75">
      <c r="I2639" s="77"/>
    </row>
    <row r="2640" ht="12.75">
      <c r="I2640" s="77"/>
    </row>
    <row r="2641" ht="12.75">
      <c r="I2641" s="77"/>
    </row>
    <row r="2642" ht="12.75">
      <c r="I2642" s="77"/>
    </row>
    <row r="2643" ht="12.75">
      <c r="I2643" s="77"/>
    </row>
    <row r="2644" ht="12.75">
      <c r="I2644" s="77"/>
    </row>
    <row r="2645" ht="12.75">
      <c r="I2645" s="77"/>
    </row>
    <row r="2646" ht="12.75">
      <c r="I2646" s="77"/>
    </row>
    <row r="2647" ht="12.75">
      <c r="I2647" s="77"/>
    </row>
    <row r="2648" ht="12.75">
      <c r="I2648" s="77"/>
    </row>
    <row r="2649" ht="12.75">
      <c r="I2649" s="77"/>
    </row>
    <row r="2650" ht="12.75">
      <c r="I2650" s="77"/>
    </row>
    <row r="2651" ht="12.75">
      <c r="I2651" s="77"/>
    </row>
    <row r="2652" ht="12.75">
      <c r="I2652" s="77"/>
    </row>
    <row r="2653" ht="12.75">
      <c r="I2653" s="77"/>
    </row>
    <row r="2654" ht="12.75">
      <c r="I2654" s="77"/>
    </row>
    <row r="2655" ht="12.75">
      <c r="I2655" s="77"/>
    </row>
    <row r="2656" ht="12.75">
      <c r="I2656" s="77"/>
    </row>
    <row r="2657" ht="12.75">
      <c r="I2657" s="77"/>
    </row>
    <row r="2658" ht="12.75">
      <c r="I2658" s="77"/>
    </row>
    <row r="2659" ht="12.75">
      <c r="I2659" s="77"/>
    </row>
    <row r="2660" ht="12.75">
      <c r="I2660" s="77"/>
    </row>
    <row r="2661" ht="12.75">
      <c r="I2661" s="77"/>
    </row>
    <row r="2662" ht="12.75">
      <c r="I2662" s="77"/>
    </row>
    <row r="2663" ht="12.75">
      <c r="I2663" s="77"/>
    </row>
    <row r="2664" ht="12.75">
      <c r="I2664" s="77"/>
    </row>
    <row r="2665" ht="12.75">
      <c r="I2665" s="77"/>
    </row>
    <row r="2666" ht="12.75">
      <c r="I2666" s="77"/>
    </row>
    <row r="2667" ht="12.75">
      <c r="I2667" s="77"/>
    </row>
    <row r="2668" ht="12.75">
      <c r="I2668" s="77"/>
    </row>
    <row r="2669" ht="12.75">
      <c r="I2669" s="77"/>
    </row>
    <row r="2670" ht="12.75">
      <c r="I2670" s="77"/>
    </row>
    <row r="2671" ht="12.75">
      <c r="I2671" s="77"/>
    </row>
    <row r="2672" ht="12.75">
      <c r="I2672" s="77"/>
    </row>
    <row r="2673" ht="12.75">
      <c r="I2673" s="77"/>
    </row>
    <row r="2674" ht="12.75">
      <c r="I2674" s="77"/>
    </row>
    <row r="2675" ht="12.75">
      <c r="I2675" s="77"/>
    </row>
    <row r="2676" ht="12.75">
      <c r="I2676" s="77"/>
    </row>
    <row r="2677" ht="12.75">
      <c r="I2677" s="77"/>
    </row>
    <row r="2678" ht="12.75">
      <c r="I2678" s="77"/>
    </row>
    <row r="2679" ht="12.75">
      <c r="I2679" s="77"/>
    </row>
    <row r="2680" ht="12.75">
      <c r="I2680" s="77"/>
    </row>
    <row r="2681" ht="12.75">
      <c r="I2681" s="77"/>
    </row>
    <row r="2682" ht="12.75">
      <c r="I2682" s="77"/>
    </row>
    <row r="2683" ht="12.75">
      <c r="I2683" s="77"/>
    </row>
    <row r="2684" ht="12.75">
      <c r="I2684" s="77"/>
    </row>
    <row r="2685" ht="12.75">
      <c r="I2685" s="77"/>
    </row>
    <row r="2686" ht="12.75">
      <c r="I2686" s="77"/>
    </row>
    <row r="2687" ht="12.75">
      <c r="I2687" s="77"/>
    </row>
    <row r="2688" ht="12.75">
      <c r="I2688" s="77"/>
    </row>
    <row r="2689" ht="12.75">
      <c r="I2689" s="77"/>
    </row>
    <row r="2690" ht="12.75">
      <c r="I2690" s="77"/>
    </row>
    <row r="2691" ht="12.75">
      <c r="I2691" s="77"/>
    </row>
    <row r="2692" ht="12.75">
      <c r="I2692" s="77"/>
    </row>
    <row r="2693" ht="12.75">
      <c r="I2693" s="77"/>
    </row>
    <row r="2694" ht="12.75">
      <c r="I2694" s="77"/>
    </row>
    <row r="2695" ht="12.75">
      <c r="I2695" s="77"/>
    </row>
    <row r="2696" ht="12.75">
      <c r="I2696" s="77"/>
    </row>
    <row r="2697" ht="12.75">
      <c r="I2697" s="77"/>
    </row>
    <row r="2698" ht="12.75">
      <c r="I2698" s="77"/>
    </row>
    <row r="2699" ht="12.75">
      <c r="I2699" s="77"/>
    </row>
    <row r="2700" ht="12.75">
      <c r="I2700" s="77"/>
    </row>
    <row r="2701" ht="12.75">
      <c r="I2701" s="77"/>
    </row>
    <row r="2702" ht="12.75">
      <c r="I2702" s="77"/>
    </row>
    <row r="2703" ht="12.75">
      <c r="I2703" s="77"/>
    </row>
    <row r="2704" ht="12.75">
      <c r="I2704" s="77"/>
    </row>
    <row r="2705" ht="12.75">
      <c r="I2705" s="77"/>
    </row>
    <row r="2706" ht="12.75">
      <c r="I2706" s="77"/>
    </row>
    <row r="2707" ht="12.75">
      <c r="I2707" s="77"/>
    </row>
    <row r="2708" ht="12.75">
      <c r="I2708" s="77"/>
    </row>
    <row r="2709" ht="12.75">
      <c r="I2709" s="77"/>
    </row>
    <row r="2710" ht="12.75">
      <c r="I2710" s="77"/>
    </row>
    <row r="2711" ht="12.75">
      <c r="I2711" s="77"/>
    </row>
  </sheetData>
  <sheetProtection/>
  <mergeCells count="181">
    <mergeCell ref="A221:A226"/>
    <mergeCell ref="J172:J173"/>
    <mergeCell ref="I82:I86"/>
    <mergeCell ref="I98:I102"/>
    <mergeCell ref="J98:J102"/>
    <mergeCell ref="J82:J86"/>
    <mergeCell ref="J152:J169"/>
    <mergeCell ref="J116:J141"/>
    <mergeCell ref="A198:A220"/>
    <mergeCell ref="A96:A196"/>
    <mergeCell ref="F3:F4"/>
    <mergeCell ref="G3:G4"/>
    <mergeCell ref="G21:G24"/>
    <mergeCell ref="I21:I24"/>
    <mergeCell ref="I26:I31"/>
    <mergeCell ref="H5:H10"/>
    <mergeCell ref="I12:I13"/>
    <mergeCell ref="G50:G56"/>
    <mergeCell ref="G37:G38"/>
    <mergeCell ref="G39:G40"/>
    <mergeCell ref="G143:G149"/>
    <mergeCell ref="I37:I38"/>
    <mergeCell ref="H12:H13"/>
    <mergeCell ref="I116:I141"/>
    <mergeCell ref="G12:G13"/>
    <mergeCell ref="G14:G15"/>
    <mergeCell ref="G41:G42"/>
    <mergeCell ref="G43:G44"/>
    <mergeCell ref="G45:G49"/>
    <mergeCell ref="G116:G141"/>
    <mergeCell ref="A5:A95"/>
    <mergeCell ref="H14:H15"/>
    <mergeCell ref="H18:H19"/>
    <mergeCell ref="G5:G10"/>
    <mergeCell ref="G26:G31"/>
    <mergeCell ref="G18:G19"/>
    <mergeCell ref="D5:D10"/>
    <mergeCell ref="A3:A4"/>
    <mergeCell ref="C3:C4"/>
    <mergeCell ref="B3:B4"/>
    <mergeCell ref="H3:H4"/>
    <mergeCell ref="D3:D4"/>
    <mergeCell ref="V143:V149"/>
    <mergeCell ref="I50:I56"/>
    <mergeCell ref="I39:I40"/>
    <mergeCell ref="I41:I42"/>
    <mergeCell ref="I43:I44"/>
    <mergeCell ref="I45:I49"/>
    <mergeCell ref="I76:I81"/>
    <mergeCell ref="J41:J42"/>
    <mergeCell ref="J43:J44"/>
    <mergeCell ref="J3:J4"/>
    <mergeCell ref="I5:I10"/>
    <mergeCell ref="I3:I4"/>
    <mergeCell ref="I14:I15"/>
    <mergeCell ref="I18:I19"/>
    <mergeCell ref="J5:J10"/>
    <mergeCell ref="K98:K102"/>
    <mergeCell ref="J26:J31"/>
    <mergeCell ref="K3:U3"/>
    <mergeCell ref="V3:AF3"/>
    <mergeCell ref="J45:J49"/>
    <mergeCell ref="J50:J56"/>
    <mergeCell ref="P35:P48"/>
    <mergeCell ref="Q35:Q48"/>
    <mergeCell ref="AA50:AA56"/>
    <mergeCell ref="AB50:AB56"/>
    <mergeCell ref="AW50:AW56"/>
    <mergeCell ref="AX50:AX56"/>
    <mergeCell ref="AG3:AQ3"/>
    <mergeCell ref="J76:J81"/>
    <mergeCell ref="J12:J13"/>
    <mergeCell ref="J14:J15"/>
    <mergeCell ref="J18:J19"/>
    <mergeCell ref="J21:J24"/>
    <mergeCell ref="J37:J38"/>
    <mergeCell ref="J39:J40"/>
    <mergeCell ref="L98:L102"/>
    <mergeCell ref="M98:M102"/>
    <mergeCell ref="W98:W102"/>
    <mergeCell ref="X98:X102"/>
    <mergeCell ref="V98:V102"/>
    <mergeCell ref="T98:T102"/>
    <mergeCell ref="U98:U102"/>
    <mergeCell ref="E5:E10"/>
    <mergeCell ref="D12:D13"/>
    <mergeCell ref="E12:E13"/>
    <mergeCell ref="BC3:BM3"/>
    <mergeCell ref="BH50:BH56"/>
    <mergeCell ref="BI50:BI56"/>
    <mergeCell ref="AL50:AL56"/>
    <mergeCell ref="AM50:AM56"/>
    <mergeCell ref="AR3:BB3"/>
    <mergeCell ref="D21:D24"/>
    <mergeCell ref="E21:E24"/>
    <mergeCell ref="D26:D31"/>
    <mergeCell ref="E26:E31"/>
    <mergeCell ref="D14:D15"/>
    <mergeCell ref="E14:E15"/>
    <mergeCell ref="D18:D19"/>
    <mergeCell ref="E18:E19"/>
    <mergeCell ref="D43:D44"/>
    <mergeCell ref="D45:D49"/>
    <mergeCell ref="D50:D56"/>
    <mergeCell ref="D90:D94"/>
    <mergeCell ref="D37:D38"/>
    <mergeCell ref="E37:E38"/>
    <mergeCell ref="D39:D40"/>
    <mergeCell ref="D41:D42"/>
    <mergeCell ref="E90:E94"/>
    <mergeCell ref="D98:D102"/>
    <mergeCell ref="E98:E102"/>
    <mergeCell ref="E105:E106"/>
    <mergeCell ref="D105:D106"/>
    <mergeCell ref="D73:D74"/>
    <mergeCell ref="E73:E74"/>
    <mergeCell ref="D76:D89"/>
    <mergeCell ref="E76:E89"/>
    <mergeCell ref="D142:D143"/>
    <mergeCell ref="D144:D149"/>
    <mergeCell ref="E142:E143"/>
    <mergeCell ref="E144:E149"/>
    <mergeCell ref="D110:D111"/>
    <mergeCell ref="E110:E111"/>
    <mergeCell ref="D116:D141"/>
    <mergeCell ref="E116:E141"/>
    <mergeCell ref="E193:E195"/>
    <mergeCell ref="E177:E179"/>
    <mergeCell ref="D152:D169"/>
    <mergeCell ref="E152:E169"/>
    <mergeCell ref="D172:D173"/>
    <mergeCell ref="E172:E173"/>
    <mergeCell ref="J142:J149"/>
    <mergeCell ref="D199:D201"/>
    <mergeCell ref="D203:D204"/>
    <mergeCell ref="E203:E204"/>
    <mergeCell ref="I199:I201"/>
    <mergeCell ref="I203:I204"/>
    <mergeCell ref="J199:J201"/>
    <mergeCell ref="J203:J204"/>
    <mergeCell ref="D177:D179"/>
    <mergeCell ref="D193:D195"/>
    <mergeCell ref="P76:P81"/>
    <mergeCell ref="Q76:Q81"/>
    <mergeCell ref="R76:R81"/>
    <mergeCell ref="P82:P86"/>
    <mergeCell ref="Q82:Q86"/>
    <mergeCell ref="N76:N81"/>
    <mergeCell ref="N82:N86"/>
    <mergeCell ref="O76:O81"/>
    <mergeCell ref="O82:O86"/>
    <mergeCell ref="AJ177:AJ179"/>
    <mergeCell ref="AK177:AK179"/>
    <mergeCell ref="AL177:AL179"/>
    <mergeCell ref="AM177:AM179"/>
    <mergeCell ref="R82:R86"/>
    <mergeCell ref="D183:D190"/>
    <mergeCell ref="E183:E190"/>
    <mergeCell ref="AG144:AG149"/>
    <mergeCell ref="AG142:AG143"/>
    <mergeCell ref="I142:I149"/>
    <mergeCell ref="AB98:AB102"/>
    <mergeCell ref="I208:I214"/>
    <mergeCell ref="J208:J214"/>
    <mergeCell ref="D208:D214"/>
    <mergeCell ref="E208:E214"/>
    <mergeCell ref="AC87:AC90"/>
    <mergeCell ref="Y87:Y89"/>
    <mergeCell ref="Z87:Z89"/>
    <mergeCell ref="AA87:AA89"/>
    <mergeCell ref="AB87:AB89"/>
    <mergeCell ref="AR229:BB229"/>
    <mergeCell ref="BC229:BM229"/>
    <mergeCell ref="AL98:AL102"/>
    <mergeCell ref="AM98:AM102"/>
    <mergeCell ref="K229:U229"/>
    <mergeCell ref="V229:AF229"/>
    <mergeCell ref="AG229:AQ229"/>
    <mergeCell ref="AH98:AH102"/>
    <mergeCell ref="AI98:AI102"/>
    <mergeCell ref="AA98:AA102"/>
  </mergeCells>
  <printOptions/>
  <pageMargins left="0.7086614173228347" right="0.7086614173228347" top="0.7480314960629921" bottom="0.7480314960629921" header="0.31496062992125984" footer="0.31496062992125984"/>
  <pageSetup fitToHeight="5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zoomScalePageLayoutView="0" workbookViewId="0" topLeftCell="C75">
      <selection activeCell="N115" sqref="N115"/>
    </sheetView>
  </sheetViews>
  <sheetFormatPr defaultColWidth="9.140625" defaultRowHeight="12.75"/>
  <cols>
    <col min="1" max="1" width="23.7109375" style="34" bestFit="1" customWidth="1"/>
    <col min="2" max="2" width="44.7109375" style="0" bestFit="1" customWidth="1"/>
    <col min="4" max="4" width="15.28125" style="0" bestFit="1" customWidth="1"/>
    <col min="5" max="5" width="13.8515625" style="0" bestFit="1" customWidth="1"/>
    <col min="8" max="8" width="9.7109375" style="0" bestFit="1" customWidth="1"/>
    <col min="10" max="10" width="19.140625" style="0" bestFit="1" customWidth="1"/>
    <col min="11" max="11" width="15.7109375" style="0" bestFit="1" customWidth="1"/>
    <col min="12" max="12" width="10.7109375" style="0" bestFit="1" customWidth="1"/>
    <col min="13" max="13" width="24.140625" style="0" bestFit="1" customWidth="1"/>
  </cols>
  <sheetData>
    <row r="1" spans="1:5" ht="15.75">
      <c r="A1" s="546" t="s">
        <v>601</v>
      </c>
      <c r="B1" s="547"/>
      <c r="C1" s="547"/>
      <c r="D1" s="547"/>
      <c r="E1" s="548"/>
    </row>
    <row r="2" spans="1:5" ht="12.75">
      <c r="A2" s="35"/>
      <c r="B2" s="29"/>
      <c r="C2" s="29"/>
      <c r="D2" s="29"/>
      <c r="E2" s="29"/>
    </row>
    <row r="3" spans="1:5" ht="14.25">
      <c r="A3" s="549" t="s">
        <v>602</v>
      </c>
      <c r="B3" s="550"/>
      <c r="C3" s="550"/>
      <c r="D3" s="550"/>
      <c r="E3" s="551"/>
    </row>
    <row r="4" spans="1:5" ht="12.75">
      <c r="A4" s="35"/>
      <c r="B4" s="29"/>
      <c r="C4" s="545" t="s">
        <v>617</v>
      </c>
      <c r="D4" s="498"/>
      <c r="E4" s="498"/>
    </row>
    <row r="5" spans="1:5" ht="12.75">
      <c r="A5" s="35" t="s">
        <v>344</v>
      </c>
      <c r="B5" s="232" t="s">
        <v>607</v>
      </c>
      <c r="C5" s="29" t="s">
        <v>603</v>
      </c>
      <c r="D5" s="29" t="s">
        <v>604</v>
      </c>
      <c r="E5" s="29" t="s">
        <v>605</v>
      </c>
    </row>
    <row r="6" spans="1:5" s="34" customFormat="1" ht="25.5">
      <c r="A6" s="217" t="s">
        <v>616</v>
      </c>
      <c r="B6" s="217" t="s">
        <v>608</v>
      </c>
      <c r="C6" s="35">
        <v>0.5</v>
      </c>
      <c r="D6" s="35"/>
      <c r="E6" s="35"/>
    </row>
    <row r="7" spans="1:5" ht="12.75">
      <c r="A7" s="35"/>
      <c r="B7" s="232" t="s">
        <v>609</v>
      </c>
      <c r="C7" s="29">
        <v>4</v>
      </c>
      <c r="D7" s="29"/>
      <c r="E7" s="29"/>
    </row>
    <row r="8" spans="1:5" ht="12.75">
      <c r="A8" s="35"/>
      <c r="B8" s="232" t="s">
        <v>610</v>
      </c>
      <c r="C8" s="29">
        <v>0.5</v>
      </c>
      <c r="D8" s="29"/>
      <c r="E8" s="29"/>
    </row>
    <row r="9" spans="1:5" ht="12.75">
      <c r="A9" s="35"/>
      <c r="B9" s="232" t="s">
        <v>611</v>
      </c>
      <c r="C9" s="29">
        <v>3</v>
      </c>
      <c r="D9" s="29"/>
      <c r="E9" s="29"/>
    </row>
    <row r="10" spans="1:5" ht="12.75">
      <c r="A10" s="35"/>
      <c r="B10" s="232" t="s">
        <v>606</v>
      </c>
      <c r="C10" s="29">
        <v>7.5</v>
      </c>
      <c r="D10" s="29"/>
      <c r="E10" s="29">
        <v>0.5</v>
      </c>
    </row>
    <row r="11" spans="1:5" ht="12.75">
      <c r="A11" s="35"/>
      <c r="B11" s="232" t="s">
        <v>612</v>
      </c>
      <c r="C11" s="29">
        <v>5</v>
      </c>
      <c r="D11" s="29"/>
      <c r="E11" s="29"/>
    </row>
    <row r="12" spans="1:5" ht="12.75">
      <c r="A12" s="35"/>
      <c r="B12" s="232" t="s">
        <v>613</v>
      </c>
      <c r="C12" s="29">
        <v>2.5</v>
      </c>
      <c r="D12" s="29"/>
      <c r="E12" s="29"/>
    </row>
    <row r="13" spans="1:5" ht="12.75">
      <c r="A13" s="35"/>
      <c r="B13" s="232" t="s">
        <v>614</v>
      </c>
      <c r="C13" s="29">
        <v>2</v>
      </c>
      <c r="D13" s="29"/>
      <c r="E13" s="29"/>
    </row>
    <row r="14" spans="1:5" ht="12.75">
      <c r="A14" s="35"/>
      <c r="B14" s="232" t="s">
        <v>615</v>
      </c>
      <c r="C14" s="29">
        <v>1</v>
      </c>
      <c r="D14" s="29"/>
      <c r="E14" s="29"/>
    </row>
    <row r="15" spans="1:5" ht="12.75">
      <c r="A15" s="35"/>
      <c r="B15" s="232" t="s">
        <v>618</v>
      </c>
      <c r="C15" s="29">
        <v>2</v>
      </c>
      <c r="D15" s="29"/>
      <c r="E15" s="29"/>
    </row>
    <row r="16" spans="1:5" ht="12.75">
      <c r="A16" s="35"/>
      <c r="B16" s="29"/>
      <c r="C16" s="29"/>
      <c r="D16" s="29"/>
      <c r="E16" s="29"/>
    </row>
    <row r="17" spans="1:5" ht="12.75">
      <c r="A17" s="35"/>
      <c r="B17" s="232" t="s">
        <v>620</v>
      </c>
      <c r="C17" s="29">
        <f>SUM(C6:C15)</f>
        <v>28</v>
      </c>
      <c r="D17" s="29">
        <f>SUM(D6:D15)</f>
        <v>0</v>
      </c>
      <c r="E17" s="29">
        <f>SUM(E6:E15)</f>
        <v>0.5</v>
      </c>
    </row>
    <row r="18" spans="1:5" ht="12.75">
      <c r="A18" s="35"/>
      <c r="B18" s="29"/>
      <c r="C18" s="29"/>
      <c r="D18" s="29"/>
      <c r="E18" s="29"/>
    </row>
    <row r="19" spans="1:5" ht="12.75">
      <c r="A19" s="35"/>
      <c r="B19" s="233" t="s">
        <v>621</v>
      </c>
      <c r="C19" s="234">
        <f>C17/5</f>
        <v>5.6</v>
      </c>
      <c r="D19" s="234">
        <f>D17/5</f>
        <v>0</v>
      </c>
      <c r="E19" s="234">
        <f>E17/5</f>
        <v>0.1</v>
      </c>
    </row>
    <row r="20" spans="1:5" ht="12.75">
      <c r="A20" s="35"/>
      <c r="B20" s="29"/>
      <c r="C20" s="29"/>
      <c r="D20" s="29"/>
      <c r="E20" s="29"/>
    </row>
    <row r="21" spans="1:5" ht="12.75">
      <c r="A21" s="217" t="s">
        <v>622</v>
      </c>
      <c r="B21" s="232" t="s">
        <v>623</v>
      </c>
      <c r="C21" s="29">
        <v>4</v>
      </c>
      <c r="D21" s="29"/>
      <c r="E21" s="29"/>
    </row>
    <row r="22" spans="1:5" ht="12.75">
      <c r="A22" s="35"/>
      <c r="B22" s="232" t="s">
        <v>627</v>
      </c>
      <c r="C22" s="29">
        <v>1</v>
      </c>
      <c r="D22" s="29"/>
      <c r="E22" s="29"/>
    </row>
    <row r="23" spans="1:5" ht="12.75">
      <c r="A23" s="35"/>
      <c r="B23" s="232" t="s">
        <v>624</v>
      </c>
      <c r="C23" s="29">
        <v>1</v>
      </c>
      <c r="D23" s="29"/>
      <c r="E23" s="29"/>
    </row>
    <row r="24" spans="1:5" ht="12.75">
      <c r="A24" s="35"/>
      <c r="B24" s="232" t="s">
        <v>696</v>
      </c>
      <c r="C24" s="29">
        <v>2</v>
      </c>
      <c r="D24" s="29"/>
      <c r="E24" s="29">
        <v>1</v>
      </c>
    </row>
    <row r="25" spans="1:5" ht="12.75">
      <c r="A25" s="35"/>
      <c r="B25" s="232" t="s">
        <v>625</v>
      </c>
      <c r="C25" s="29">
        <v>0.5</v>
      </c>
      <c r="D25" s="29"/>
      <c r="E25" s="29"/>
    </row>
    <row r="26" spans="1:5" ht="12.75">
      <c r="A26" s="35"/>
      <c r="B26" s="232" t="s">
        <v>626</v>
      </c>
      <c r="C26" s="29">
        <v>0.5</v>
      </c>
      <c r="D26" s="29"/>
      <c r="E26" s="29"/>
    </row>
    <row r="27" spans="1:5" ht="12.75">
      <c r="A27" s="35"/>
      <c r="B27" s="232" t="s">
        <v>697</v>
      </c>
      <c r="C27" s="29">
        <v>7</v>
      </c>
      <c r="D27" s="29"/>
      <c r="E27" s="29"/>
    </row>
    <row r="28" spans="1:5" ht="12.75">
      <c r="A28" s="35"/>
      <c r="B28" s="29"/>
      <c r="C28" s="29"/>
      <c r="D28" s="29"/>
      <c r="E28" s="29"/>
    </row>
    <row r="29" spans="1:5" ht="12.75">
      <c r="A29" s="35"/>
      <c r="B29" s="232" t="s">
        <v>620</v>
      </c>
      <c r="C29" s="29">
        <f>SUM(C21:C27)</f>
        <v>16</v>
      </c>
      <c r="D29" s="29">
        <f>SUM(D21:D27)</f>
        <v>0</v>
      </c>
      <c r="E29" s="29">
        <f>SUM(E21:E27)</f>
        <v>1</v>
      </c>
    </row>
    <row r="30" spans="1:5" ht="12.75">
      <c r="A30" s="35"/>
      <c r="B30" s="29"/>
      <c r="C30" s="29"/>
      <c r="D30" s="29"/>
      <c r="E30" s="29"/>
    </row>
    <row r="31" spans="1:5" ht="12.75">
      <c r="A31" s="35"/>
      <c r="B31" s="233" t="s">
        <v>621</v>
      </c>
      <c r="C31" s="234">
        <f>C29/5</f>
        <v>3.2</v>
      </c>
      <c r="D31" s="234">
        <f>D29/5</f>
        <v>0</v>
      </c>
      <c r="E31" s="234">
        <f>E29/5</f>
        <v>0.2</v>
      </c>
    </row>
    <row r="32" spans="1:5" ht="12.75">
      <c r="A32" s="35"/>
      <c r="B32" s="29"/>
      <c r="C32" s="29"/>
      <c r="D32" s="29"/>
      <c r="E32" s="29"/>
    </row>
    <row r="33" spans="1:5" ht="12.75">
      <c r="A33" s="217" t="s">
        <v>628</v>
      </c>
      <c r="B33" s="232" t="s">
        <v>629</v>
      </c>
      <c r="C33" s="29">
        <v>2</v>
      </c>
      <c r="D33" s="29"/>
      <c r="E33" s="29"/>
    </row>
    <row r="34" spans="1:5" ht="12.75">
      <c r="A34" s="35"/>
      <c r="B34" s="232" t="s">
        <v>630</v>
      </c>
      <c r="C34" s="29">
        <v>4</v>
      </c>
      <c r="D34" s="29"/>
      <c r="E34" s="29"/>
    </row>
    <row r="35" spans="1:5" ht="12.75">
      <c r="A35" s="35"/>
      <c r="B35" s="232" t="s">
        <v>631</v>
      </c>
      <c r="C35" s="29">
        <v>5</v>
      </c>
      <c r="D35" s="29"/>
      <c r="E35" s="29">
        <v>2</v>
      </c>
    </row>
    <row r="36" spans="1:5" ht="12.75">
      <c r="A36" s="35"/>
      <c r="B36" s="232" t="s">
        <v>63</v>
      </c>
      <c r="C36" s="29">
        <v>1</v>
      </c>
      <c r="D36" s="29"/>
      <c r="E36" s="29"/>
    </row>
    <row r="37" spans="1:5" ht="12.75">
      <c r="A37" s="35"/>
      <c r="B37" s="29"/>
      <c r="C37" s="29"/>
      <c r="D37" s="29"/>
      <c r="E37" s="29"/>
    </row>
    <row r="38" spans="1:5" ht="12.75">
      <c r="A38" s="35"/>
      <c r="B38" s="29"/>
      <c r="C38" s="29"/>
      <c r="D38" s="29"/>
      <c r="E38" s="29"/>
    </row>
    <row r="39" spans="1:5" ht="12.75">
      <c r="A39" s="35"/>
      <c r="B39" s="232" t="s">
        <v>620</v>
      </c>
      <c r="C39" s="29">
        <f>SUM(C33:C36)</f>
        <v>12</v>
      </c>
      <c r="D39" s="29">
        <f>SUM(D33:D36)</f>
        <v>0</v>
      </c>
      <c r="E39" s="29">
        <f>SUM(E33:E36)</f>
        <v>2</v>
      </c>
    </row>
    <row r="40" spans="1:5" ht="12.75">
      <c r="A40" s="35"/>
      <c r="B40" s="29"/>
      <c r="C40" s="29"/>
      <c r="D40" s="29"/>
      <c r="E40" s="29"/>
    </row>
    <row r="41" spans="1:5" ht="12.75">
      <c r="A41" s="35"/>
      <c r="B41" s="233" t="s">
        <v>621</v>
      </c>
      <c r="C41" s="234">
        <f>C39/5</f>
        <v>2.4</v>
      </c>
      <c r="D41" s="234">
        <f>D39/5</f>
        <v>0</v>
      </c>
      <c r="E41" s="234">
        <f>E39/5</f>
        <v>0.4</v>
      </c>
    </row>
    <row r="42" spans="1:5" ht="12.75">
      <c r="A42" s="35"/>
      <c r="B42" s="29"/>
      <c r="C42" s="29"/>
      <c r="D42" s="29"/>
      <c r="E42" s="29"/>
    </row>
    <row r="43" spans="1:5" ht="25.5">
      <c r="A43" s="217" t="s">
        <v>815</v>
      </c>
      <c r="B43" s="232" t="s">
        <v>632</v>
      </c>
      <c r="C43" s="232">
        <v>3</v>
      </c>
      <c r="D43" s="29"/>
      <c r="E43" s="29"/>
    </row>
    <row r="44" spans="1:5" ht="12.75">
      <c r="A44" s="35"/>
      <c r="B44" s="232" t="s">
        <v>633</v>
      </c>
      <c r="C44" s="405">
        <v>2</v>
      </c>
      <c r="D44" s="29"/>
      <c r="E44" s="29"/>
    </row>
    <row r="45" spans="1:5" ht="12.75">
      <c r="A45" s="35"/>
      <c r="B45" s="232" t="s">
        <v>634</v>
      </c>
      <c r="C45" s="405">
        <v>3</v>
      </c>
      <c r="D45" s="29"/>
      <c r="E45" s="29">
        <v>2</v>
      </c>
    </row>
    <row r="46" spans="1:5" ht="12.75">
      <c r="A46" s="35"/>
      <c r="B46" s="232" t="s">
        <v>635</v>
      </c>
      <c r="C46" s="29">
        <v>4.5</v>
      </c>
      <c r="D46" s="405"/>
      <c r="E46" s="29"/>
    </row>
    <row r="47" spans="1:5" ht="12.75">
      <c r="A47" s="35"/>
      <c r="B47" s="232" t="s">
        <v>297</v>
      </c>
      <c r="C47" s="405">
        <v>3.5</v>
      </c>
      <c r="D47" s="29"/>
      <c r="E47" s="29"/>
    </row>
    <row r="48" spans="1:5" ht="12.75">
      <c r="A48" s="35"/>
      <c r="B48" s="232" t="s">
        <v>636</v>
      </c>
      <c r="C48" s="405">
        <v>3.5</v>
      </c>
      <c r="D48" s="29"/>
      <c r="E48" s="29"/>
    </row>
    <row r="49" spans="1:5" ht="12.75">
      <c r="A49" s="35"/>
      <c r="B49" s="232" t="s">
        <v>63</v>
      </c>
      <c r="C49" s="29">
        <v>1.5</v>
      </c>
      <c r="D49" s="405"/>
      <c r="E49" s="29"/>
    </row>
    <row r="50" spans="1:5" ht="12.75">
      <c r="A50" s="35"/>
      <c r="B50" s="232" t="s">
        <v>620</v>
      </c>
      <c r="C50" s="29">
        <f>SUM(C42:C49)</f>
        <v>21</v>
      </c>
      <c r="D50" s="29">
        <f>SUM(D42:D49)</f>
        <v>0</v>
      </c>
      <c r="E50" s="29">
        <f>SUM(E42:E48)</f>
        <v>2</v>
      </c>
    </row>
    <row r="51" spans="1:5" ht="12.75">
      <c r="A51" s="35"/>
      <c r="B51" s="29"/>
      <c r="C51" s="29"/>
      <c r="D51" s="29"/>
      <c r="E51" s="29"/>
    </row>
    <row r="52" spans="1:5" ht="12.75">
      <c r="A52" s="35"/>
      <c r="B52" s="233" t="s">
        <v>621</v>
      </c>
      <c r="C52" s="234">
        <f>C50/5</f>
        <v>4.2</v>
      </c>
      <c r="D52" s="234">
        <f>D50/5</f>
        <v>0</v>
      </c>
      <c r="E52" s="234">
        <f>E50/5</f>
        <v>0.4</v>
      </c>
    </row>
    <row r="53" spans="1:5" ht="12.75">
      <c r="A53" s="35"/>
      <c r="B53" s="29"/>
      <c r="C53" s="29"/>
      <c r="D53" s="29"/>
      <c r="E53" s="29"/>
    </row>
    <row r="54" spans="1:5" ht="12.75">
      <c r="A54" s="217" t="s">
        <v>638</v>
      </c>
      <c r="B54" s="232" t="s">
        <v>639</v>
      </c>
      <c r="C54" s="29">
        <v>1.5</v>
      </c>
      <c r="D54" s="29"/>
      <c r="E54" s="29"/>
    </row>
    <row r="55" spans="1:5" ht="12.75">
      <c r="A55" s="35"/>
      <c r="B55" s="232" t="s">
        <v>640</v>
      </c>
      <c r="C55" s="405">
        <v>5</v>
      </c>
      <c r="D55" s="29"/>
      <c r="E55" s="29"/>
    </row>
    <row r="56" spans="1:5" ht="12.75">
      <c r="A56" s="35"/>
      <c r="B56" s="232" t="s">
        <v>641</v>
      </c>
      <c r="C56" s="29">
        <v>2.5</v>
      </c>
      <c r="D56" s="405"/>
      <c r="E56" s="29">
        <v>4</v>
      </c>
    </row>
    <row r="57" spans="1:5" ht="12.75">
      <c r="A57" s="35"/>
      <c r="B57" s="232" t="s">
        <v>615</v>
      </c>
      <c r="C57" s="29">
        <v>1</v>
      </c>
      <c r="D57" s="29"/>
      <c r="E57" s="29"/>
    </row>
    <row r="58" spans="1:5" ht="12.75">
      <c r="A58" s="35"/>
      <c r="B58" s="232" t="s">
        <v>642</v>
      </c>
      <c r="C58" s="405">
        <v>1.25</v>
      </c>
      <c r="D58" s="29"/>
      <c r="E58" s="29"/>
    </row>
    <row r="59" spans="1:5" ht="12.75">
      <c r="A59" s="35"/>
      <c r="B59" s="29" t="s">
        <v>695</v>
      </c>
      <c r="C59" s="29">
        <v>1</v>
      </c>
      <c r="D59" s="29"/>
      <c r="E59" s="29"/>
    </row>
    <row r="60" spans="1:5" ht="12.75">
      <c r="A60" s="35"/>
      <c r="B60" s="232" t="s">
        <v>620</v>
      </c>
      <c r="C60" s="29">
        <f>SUM(C54:C59)</f>
        <v>12.25</v>
      </c>
      <c r="D60" s="29">
        <f>SUM(D54:D59)</f>
        <v>0</v>
      </c>
      <c r="E60" s="29">
        <f>SUM(E54:E59)</f>
        <v>4</v>
      </c>
    </row>
    <row r="61" spans="1:5" ht="12.75">
      <c r="A61" s="35"/>
      <c r="B61" s="29"/>
      <c r="C61" s="29"/>
      <c r="D61" s="29"/>
      <c r="E61" s="29"/>
    </row>
    <row r="62" spans="1:5" ht="12.75">
      <c r="A62" s="35"/>
      <c r="B62" s="233" t="s">
        <v>621</v>
      </c>
      <c r="C62" s="234">
        <f>C60/5</f>
        <v>2.45</v>
      </c>
      <c r="D62" s="234">
        <f>D60/5</f>
        <v>0</v>
      </c>
      <c r="E62" s="234">
        <f>E60/5</f>
        <v>0.8</v>
      </c>
    </row>
    <row r="63" spans="1:5" ht="12.75">
      <c r="A63" s="35"/>
      <c r="B63" s="29"/>
      <c r="C63" s="29"/>
      <c r="D63" s="29"/>
      <c r="E63" s="29"/>
    </row>
    <row r="64" spans="1:5" ht="12.75">
      <c r="A64" s="35"/>
      <c r="B64" s="29"/>
      <c r="C64" s="29"/>
      <c r="D64" s="29"/>
      <c r="E64" s="29"/>
    </row>
    <row r="65" spans="1:5" ht="12.75">
      <c r="A65" s="217" t="s">
        <v>643</v>
      </c>
      <c r="B65" s="232" t="s">
        <v>644</v>
      </c>
      <c r="C65" s="405">
        <v>5</v>
      </c>
      <c r="D65" s="405"/>
      <c r="E65" s="29"/>
    </row>
    <row r="66" spans="1:5" ht="12.75">
      <c r="A66" s="35"/>
      <c r="B66" s="232" t="s">
        <v>645</v>
      </c>
      <c r="C66" s="405">
        <v>4</v>
      </c>
      <c r="D66" s="29"/>
      <c r="E66" s="29"/>
    </row>
    <row r="67" spans="1:5" ht="12.75">
      <c r="A67" s="35"/>
      <c r="B67" s="232" t="s">
        <v>646</v>
      </c>
      <c r="C67" s="29">
        <v>6</v>
      </c>
      <c r="D67" s="29"/>
      <c r="E67" s="29">
        <v>2</v>
      </c>
    </row>
    <row r="68" spans="1:5" ht="12.75">
      <c r="A68" s="35"/>
      <c r="B68" s="232" t="s">
        <v>647</v>
      </c>
      <c r="C68" s="405">
        <v>5</v>
      </c>
      <c r="D68" s="29"/>
      <c r="E68" s="29"/>
    </row>
    <row r="69" spans="1:5" ht="12.75">
      <c r="A69" s="35"/>
      <c r="B69" s="232" t="s">
        <v>648</v>
      </c>
      <c r="C69" s="405">
        <v>7</v>
      </c>
      <c r="D69" s="29"/>
      <c r="E69" s="29"/>
    </row>
    <row r="70" spans="1:5" ht="12.75">
      <c r="A70" s="35"/>
      <c r="B70" s="232" t="s">
        <v>649</v>
      </c>
      <c r="C70" s="29">
        <v>5</v>
      </c>
      <c r="D70" s="405"/>
      <c r="E70" s="29"/>
    </row>
    <row r="71" spans="1:5" ht="12.75">
      <c r="A71" s="35"/>
      <c r="B71" s="232" t="s">
        <v>650</v>
      </c>
      <c r="C71" s="29">
        <v>1</v>
      </c>
      <c r="D71" s="29"/>
      <c r="E71" s="29"/>
    </row>
    <row r="72" spans="1:5" ht="12.75">
      <c r="A72" s="35"/>
      <c r="B72" s="232" t="s">
        <v>651</v>
      </c>
      <c r="C72" s="29">
        <v>7</v>
      </c>
      <c r="D72" s="405"/>
      <c r="E72" s="29"/>
    </row>
    <row r="73" spans="1:5" ht="12.75">
      <c r="A73" s="35"/>
      <c r="B73" s="232" t="s">
        <v>652</v>
      </c>
      <c r="C73" s="29">
        <v>6</v>
      </c>
      <c r="D73" s="29"/>
      <c r="E73" s="29"/>
    </row>
    <row r="74" spans="1:5" ht="12.75">
      <c r="A74" s="35"/>
      <c r="B74" s="232"/>
      <c r="C74" s="29"/>
      <c r="D74" s="29"/>
      <c r="E74" s="29"/>
    </row>
    <row r="75" spans="1:5" ht="12.75">
      <c r="A75" s="35"/>
      <c r="B75" s="232" t="s">
        <v>620</v>
      </c>
      <c r="C75" s="29">
        <f>SUM(C65:C73)</f>
        <v>46</v>
      </c>
      <c r="D75" s="29"/>
      <c r="E75" s="29">
        <v>5.5</v>
      </c>
    </row>
    <row r="76" spans="1:5" ht="12.75">
      <c r="A76" s="35"/>
      <c r="B76" s="29"/>
      <c r="C76" s="29"/>
      <c r="D76" s="29"/>
      <c r="E76" s="29"/>
    </row>
    <row r="77" spans="1:5" ht="12.75">
      <c r="A77" s="35"/>
      <c r="B77" s="233" t="s">
        <v>621</v>
      </c>
      <c r="C77" s="234">
        <f>C75/5</f>
        <v>9.2</v>
      </c>
      <c r="D77" s="234">
        <f>D75/5</f>
        <v>0</v>
      </c>
      <c r="E77" s="234">
        <f>E75/5</f>
        <v>1.1</v>
      </c>
    </row>
    <row r="78" spans="1:5" ht="12.75">
      <c r="A78" s="35"/>
      <c r="B78" s="29"/>
      <c r="C78" s="29"/>
      <c r="D78" s="29"/>
      <c r="E78" s="29"/>
    </row>
    <row r="79" spans="1:5" ht="12.75">
      <c r="A79" s="35"/>
      <c r="B79" s="29"/>
      <c r="C79" s="29"/>
      <c r="D79" s="29"/>
      <c r="E79" s="29"/>
    </row>
    <row r="80" spans="1:11" ht="12.75">
      <c r="A80" s="35"/>
      <c r="B80" s="29"/>
      <c r="C80" s="29"/>
      <c r="D80" s="29"/>
      <c r="E80" s="29"/>
      <c r="G80" s="231" t="s">
        <v>863</v>
      </c>
      <c r="H80" s="231" t="s">
        <v>864</v>
      </c>
      <c r="J80" s="231" t="s">
        <v>865</v>
      </c>
      <c r="K80" s="293" t="s">
        <v>866</v>
      </c>
    </row>
    <row r="81" spans="1:11" ht="12.75">
      <c r="A81" s="35"/>
      <c r="B81" s="572" t="s">
        <v>619</v>
      </c>
      <c r="C81" s="573">
        <f>C77+C62+C52+C41+C31+C19</f>
        <v>27.049999999999997</v>
      </c>
      <c r="D81" s="573">
        <f>D77+D62+D52+D41+D31+D19</f>
        <v>0</v>
      </c>
      <c r="E81" s="573">
        <f>E77+E62+E52+E41+E31+E19</f>
        <v>3.0000000000000004</v>
      </c>
      <c r="G81">
        <f>C81*52*40</f>
        <v>56264</v>
      </c>
      <c r="H81">
        <f>58*1.5</f>
        <v>87</v>
      </c>
      <c r="I81">
        <f>H81*G81</f>
        <v>4894968</v>
      </c>
      <c r="J81">
        <v>4</v>
      </c>
      <c r="K81">
        <f>J81*I81/1000000</f>
        <v>19.579872</v>
      </c>
    </row>
    <row r="84" spans="1:5" ht="14.25">
      <c r="A84" s="552" t="s">
        <v>69</v>
      </c>
      <c r="B84" s="552"/>
      <c r="C84" s="552"/>
      <c r="D84" s="552"/>
      <c r="E84" s="552"/>
    </row>
    <row r="85" spans="1:5" ht="12.75">
      <c r="A85" s="35"/>
      <c r="B85" s="29"/>
      <c r="C85" s="545" t="s">
        <v>617</v>
      </c>
      <c r="D85" s="498"/>
      <c r="E85" s="498"/>
    </row>
    <row r="86" spans="1:5" ht="12.75">
      <c r="A86" s="35" t="s">
        <v>344</v>
      </c>
      <c r="B86" s="232" t="s">
        <v>607</v>
      </c>
      <c r="C86" s="29" t="s">
        <v>603</v>
      </c>
      <c r="D86" s="29" t="s">
        <v>604</v>
      </c>
      <c r="E86" s="29" t="s">
        <v>605</v>
      </c>
    </row>
    <row r="87" spans="2:4" ht="12.75">
      <c r="B87" s="231" t="s">
        <v>698</v>
      </c>
      <c r="C87">
        <v>7</v>
      </c>
      <c r="D87" s="406"/>
    </row>
    <row r="88" spans="2:4" ht="12.75">
      <c r="B88" s="231" t="s">
        <v>699</v>
      </c>
      <c r="C88">
        <v>7</v>
      </c>
      <c r="D88" s="406"/>
    </row>
    <row r="89" spans="2:3" ht="12.75">
      <c r="B89" s="293" t="s">
        <v>700</v>
      </c>
      <c r="C89" s="406">
        <v>7</v>
      </c>
    </row>
    <row r="90" spans="2:3" ht="12.75">
      <c r="B90" s="293" t="s">
        <v>701</v>
      </c>
      <c r="C90" s="406">
        <v>7</v>
      </c>
    </row>
    <row r="91" spans="5:11" ht="12.75">
      <c r="E91" s="406">
        <v>2.5</v>
      </c>
      <c r="G91" s="231" t="s">
        <v>863</v>
      </c>
      <c r="H91" s="231" t="s">
        <v>864</v>
      </c>
      <c r="J91" s="231" t="s">
        <v>865</v>
      </c>
      <c r="K91" s="293" t="s">
        <v>866</v>
      </c>
    </row>
    <row r="92" spans="2:11" ht="12.75">
      <c r="B92" s="233" t="s">
        <v>621</v>
      </c>
      <c r="C92" s="234">
        <f>SUM(C87:C91)/5</f>
        <v>5.6</v>
      </c>
      <c r="D92" s="234">
        <f>SUM(D87:D91)/5</f>
        <v>0</v>
      </c>
      <c r="E92" s="234">
        <f>SUM(E87:E91)/5</f>
        <v>0.5</v>
      </c>
      <c r="G92">
        <f>C92*52*40</f>
        <v>11648</v>
      </c>
      <c r="H92">
        <f>58*1.5</f>
        <v>87</v>
      </c>
      <c r="I92">
        <f>H92*G92</f>
        <v>1013376</v>
      </c>
      <c r="J92">
        <v>4</v>
      </c>
      <c r="K92">
        <f>J92*I92/1000000</f>
        <v>4.053504</v>
      </c>
    </row>
    <row r="97" spans="5:13" ht="12.75">
      <c r="E97" s="231" t="s">
        <v>867</v>
      </c>
      <c r="G97" s="231" t="s">
        <v>863</v>
      </c>
      <c r="H97" s="231" t="s">
        <v>864</v>
      </c>
      <c r="J97" s="231" t="s">
        <v>865</v>
      </c>
      <c r="K97" s="293" t="s">
        <v>867</v>
      </c>
      <c r="M97" s="231" t="s">
        <v>868</v>
      </c>
    </row>
    <row r="98" spans="5:13" ht="12.75">
      <c r="E98">
        <v>3.5</v>
      </c>
      <c r="G98">
        <f>E98*52*40</f>
        <v>7280</v>
      </c>
      <c r="H98">
        <f>100</f>
        <v>100</v>
      </c>
      <c r="I98">
        <f>H98*G98</f>
        <v>728000</v>
      </c>
      <c r="J98">
        <v>4</v>
      </c>
      <c r="K98">
        <f>J98*I98/1000000</f>
        <v>2.912</v>
      </c>
      <c r="M98">
        <f>K98+K92+K81</f>
        <v>26.545376</v>
      </c>
    </row>
    <row r="100" spans="11:13" ht="12.75">
      <c r="K100" s="231" t="s">
        <v>869</v>
      </c>
      <c r="L100" s="231" t="s">
        <v>870</v>
      </c>
      <c r="M100" s="231" t="s">
        <v>394</v>
      </c>
    </row>
    <row r="101" spans="11:13" ht="12.75">
      <c r="K101">
        <v>50000</v>
      </c>
      <c r="L101">
        <v>48</v>
      </c>
      <c r="M101">
        <f>L101*K101/10^6</f>
        <v>2.4</v>
      </c>
    </row>
    <row r="103" spans="11:12" ht="12.75">
      <c r="K103" s="231" t="s">
        <v>871</v>
      </c>
      <c r="L103">
        <v>5</v>
      </c>
    </row>
    <row r="106" ht="12.75">
      <c r="M106" s="231" t="s">
        <v>872</v>
      </c>
    </row>
    <row r="107" ht="12.75">
      <c r="M107">
        <f>L103+M101+M98</f>
        <v>33.945376</v>
      </c>
    </row>
    <row r="109" ht="12.75">
      <c r="K109" s="231" t="s">
        <v>873</v>
      </c>
    </row>
    <row r="110" spans="10:13" ht="12.75">
      <c r="J110" s="231" t="s">
        <v>874</v>
      </c>
      <c r="K110">
        <f>3*40*52*100*3</f>
        <v>1872000</v>
      </c>
      <c r="M110">
        <f>K110/9</f>
        <v>208000</v>
      </c>
    </row>
    <row r="111" spans="10:13" ht="12.75">
      <c r="J111" s="231" t="s">
        <v>875</v>
      </c>
      <c r="K111">
        <f>3*40*52*75*3</f>
        <v>1404000</v>
      </c>
      <c r="M111">
        <f>K111/3</f>
        <v>468000</v>
      </c>
    </row>
    <row r="113" spans="10:14" ht="12.75">
      <c r="J113" s="231" t="s">
        <v>876</v>
      </c>
      <c r="K113">
        <f>K111+K110</f>
        <v>3276000</v>
      </c>
      <c r="N113">
        <f>62/90</f>
        <v>0.6888888888888889</v>
      </c>
    </row>
    <row r="115" spans="12:14" ht="12.75">
      <c r="L115" s="231" t="s">
        <v>877</v>
      </c>
      <c r="M115" s="231" t="s">
        <v>139</v>
      </c>
      <c r="N115" s="231" t="s">
        <v>880</v>
      </c>
    </row>
    <row r="116" spans="12:14" ht="12.75">
      <c r="L116" s="231"/>
      <c r="M116" s="231" t="s">
        <v>601</v>
      </c>
      <c r="N116" s="231" t="s">
        <v>878</v>
      </c>
    </row>
    <row r="117" spans="12:14" ht="12.75">
      <c r="L117" s="231"/>
      <c r="M117" s="231" t="s">
        <v>57</v>
      </c>
      <c r="N117" s="231" t="s">
        <v>879</v>
      </c>
    </row>
  </sheetData>
  <sheetProtection/>
  <mergeCells count="5">
    <mergeCell ref="C4:E4"/>
    <mergeCell ref="A1:E1"/>
    <mergeCell ref="A3:E3"/>
    <mergeCell ref="C85:E85"/>
    <mergeCell ref="A84:E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zoomScalePageLayoutView="0" workbookViewId="0" topLeftCell="A29">
      <selection activeCell="A58" sqref="A58"/>
    </sheetView>
  </sheetViews>
  <sheetFormatPr defaultColWidth="9.140625" defaultRowHeight="12.75"/>
  <cols>
    <col min="1" max="1" width="34.57421875" style="298" bestFit="1" customWidth="1"/>
    <col min="2" max="2" width="9.140625" style="298" customWidth="1"/>
    <col min="3" max="3" width="18.7109375" style="298" customWidth="1"/>
    <col min="4" max="4" width="9.140625" style="298" customWidth="1"/>
    <col min="5" max="6" width="11.57421875" style="298" bestFit="1" customWidth="1"/>
    <col min="7" max="7" width="13.421875" style="298" bestFit="1" customWidth="1"/>
    <col min="8" max="8" width="13.421875" style="298" customWidth="1"/>
    <col min="9" max="9" width="11.57421875" style="298" bestFit="1" customWidth="1"/>
    <col min="10" max="10" width="11.7109375" style="298" bestFit="1" customWidth="1"/>
    <col min="11" max="11" width="17.00390625" style="298" customWidth="1"/>
    <col min="12" max="12" width="44.00390625" style="298" customWidth="1"/>
    <col min="13" max="13" width="11.57421875" style="298" bestFit="1" customWidth="1"/>
    <col min="14" max="16" width="9.140625" style="298" customWidth="1"/>
    <col min="17" max="17" width="11.57421875" style="298" bestFit="1" customWidth="1"/>
    <col min="18" max="18" width="9.140625" style="298" customWidth="1"/>
    <col min="19" max="19" width="11.57421875" style="298" bestFit="1" customWidth="1"/>
    <col min="20" max="20" width="10.57421875" style="298" bestFit="1" customWidth="1"/>
    <col min="21" max="21" width="9.140625" style="298" customWidth="1"/>
    <col min="22" max="22" width="11.57421875" style="298" bestFit="1" customWidth="1"/>
    <col min="23" max="23" width="10.57421875" style="298" bestFit="1" customWidth="1"/>
    <col min="24" max="24" width="11.57421875" style="298" bestFit="1" customWidth="1"/>
    <col min="25" max="16384" width="9.140625" style="298" customWidth="1"/>
  </cols>
  <sheetData>
    <row r="1" spans="1:12" ht="12.75">
      <c r="A1" s="297" t="s">
        <v>362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12.75">
      <c r="A2" s="297" t="s">
        <v>567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25.5">
      <c r="A3" s="40" t="s">
        <v>343</v>
      </c>
      <c r="B3" s="218" t="s">
        <v>704</v>
      </c>
      <c r="C3" s="218" t="s">
        <v>705</v>
      </c>
      <c r="D3" s="218" t="s">
        <v>390</v>
      </c>
      <c r="E3" s="218" t="s">
        <v>391</v>
      </c>
      <c r="F3" s="218" t="s">
        <v>392</v>
      </c>
      <c r="G3" s="40" t="s">
        <v>711</v>
      </c>
      <c r="H3" s="218" t="s">
        <v>393</v>
      </c>
      <c r="I3" s="218" t="s">
        <v>394</v>
      </c>
      <c r="J3" s="40" t="s">
        <v>346</v>
      </c>
      <c r="K3" s="40" t="s">
        <v>360</v>
      </c>
      <c r="L3" s="40" t="s">
        <v>361</v>
      </c>
    </row>
    <row r="4" spans="1:12" ht="25.5">
      <c r="A4" s="40" t="s">
        <v>58</v>
      </c>
      <c r="B4" s="40" t="s">
        <v>159</v>
      </c>
      <c r="C4" s="40" t="s">
        <v>348</v>
      </c>
      <c r="D4" s="40">
        <v>1</v>
      </c>
      <c r="E4" s="40">
        <v>4</v>
      </c>
      <c r="F4" s="40">
        <v>0.5</v>
      </c>
      <c r="G4" s="40" t="s">
        <v>66</v>
      </c>
      <c r="H4" s="219">
        <v>500</v>
      </c>
      <c r="I4" s="219">
        <f>(D4+F4)*E4*H4</f>
        <v>3000</v>
      </c>
      <c r="J4" s="40" t="s">
        <v>97</v>
      </c>
      <c r="K4" s="40" t="s">
        <v>682</v>
      </c>
      <c r="L4" s="40" t="s">
        <v>395</v>
      </c>
    </row>
    <row r="5" spans="1:12" ht="25.5">
      <c r="A5" s="40" t="s">
        <v>52</v>
      </c>
      <c r="B5" s="40" t="s">
        <v>159</v>
      </c>
      <c r="C5" s="40" t="s">
        <v>348</v>
      </c>
      <c r="D5" s="40">
        <v>1</v>
      </c>
      <c r="E5" s="40">
        <v>4</v>
      </c>
      <c r="F5" s="40">
        <v>0.5</v>
      </c>
      <c r="G5" s="40" t="s">
        <v>66</v>
      </c>
      <c r="H5" s="219">
        <v>800</v>
      </c>
      <c r="I5" s="219">
        <f>H5*(D5+F5)*E5</f>
        <v>4800</v>
      </c>
      <c r="J5" s="40" t="s">
        <v>96</v>
      </c>
      <c r="K5" s="40" t="s">
        <v>682</v>
      </c>
      <c r="L5" s="44" t="s">
        <v>365</v>
      </c>
    </row>
    <row r="6" spans="1:12" ht="25.5">
      <c r="A6" s="40" t="s">
        <v>347</v>
      </c>
      <c r="B6" s="40" t="s">
        <v>159</v>
      </c>
      <c r="C6" s="40" t="s">
        <v>348</v>
      </c>
      <c r="D6" s="40">
        <v>1</v>
      </c>
      <c r="E6" s="40">
        <v>4</v>
      </c>
      <c r="F6" s="40">
        <v>0.5</v>
      </c>
      <c r="G6" s="40" t="s">
        <v>66</v>
      </c>
      <c r="H6" s="296">
        <f>5000/15*1.5/4*(D6+E6)*2</f>
        <v>1250</v>
      </c>
      <c r="I6" s="295">
        <f>(D6+F6)*E6*H6</f>
        <v>7500</v>
      </c>
      <c r="J6" s="40" t="s">
        <v>96</v>
      </c>
      <c r="K6" s="40" t="s">
        <v>682</v>
      </c>
      <c r="L6" s="218" t="s">
        <v>784</v>
      </c>
    </row>
    <row r="7" spans="1:12" ht="51">
      <c r="A7" s="40" t="s">
        <v>56</v>
      </c>
      <c r="B7" s="40" t="s">
        <v>159</v>
      </c>
      <c r="C7" s="40" t="s">
        <v>349</v>
      </c>
      <c r="D7" s="40">
        <v>0.5</v>
      </c>
      <c r="E7" s="40">
        <v>4</v>
      </c>
      <c r="F7" s="40">
        <v>0</v>
      </c>
      <c r="G7" s="40" t="s">
        <v>66</v>
      </c>
      <c r="H7" s="219">
        <f>160*7*2</f>
        <v>2240</v>
      </c>
      <c r="I7" s="219">
        <f>H7*(D7+F7)*E7+10000+15000+2000</f>
        <v>31480</v>
      </c>
      <c r="J7" s="40" t="s">
        <v>96</v>
      </c>
      <c r="K7" s="40" t="s">
        <v>683</v>
      </c>
      <c r="L7" s="218" t="s">
        <v>777</v>
      </c>
    </row>
    <row r="8" spans="1:12" ht="51">
      <c r="A8" s="40" t="s">
        <v>56</v>
      </c>
      <c r="B8" s="40" t="s">
        <v>159</v>
      </c>
      <c r="C8" s="40" t="s">
        <v>159</v>
      </c>
      <c r="D8" s="40">
        <v>1</v>
      </c>
      <c r="E8" s="40">
        <v>4</v>
      </c>
      <c r="F8" s="40">
        <v>0.5</v>
      </c>
      <c r="G8" s="40" t="s">
        <v>66</v>
      </c>
      <c r="H8" s="219">
        <f>160*7*2</f>
        <v>2240</v>
      </c>
      <c r="I8" s="219">
        <f>H8*(D8+F8)*E8+5000+5000+4000</f>
        <v>27440</v>
      </c>
      <c r="J8" s="40" t="s">
        <v>96</v>
      </c>
      <c r="K8" s="40" t="s">
        <v>684</v>
      </c>
      <c r="L8" s="218" t="s">
        <v>778</v>
      </c>
    </row>
    <row r="9" spans="1:12" ht="25.5">
      <c r="A9" s="40" t="s">
        <v>146</v>
      </c>
      <c r="B9" s="40" t="s">
        <v>159</v>
      </c>
      <c r="C9" s="40" t="s">
        <v>350</v>
      </c>
      <c r="D9" s="40">
        <v>0.25</v>
      </c>
      <c r="E9" s="40">
        <v>4</v>
      </c>
      <c r="F9" s="40">
        <v>0.25</v>
      </c>
      <c r="G9" s="40" t="s">
        <v>66</v>
      </c>
      <c r="H9" s="219">
        <f>250*2</f>
        <v>500</v>
      </c>
      <c r="I9" s="219">
        <f>(D9+F9)*E9*H9</f>
        <v>1000</v>
      </c>
      <c r="J9" s="40" t="s">
        <v>96</v>
      </c>
      <c r="K9" s="40" t="s">
        <v>683</v>
      </c>
      <c r="L9" s="218" t="s">
        <v>785</v>
      </c>
    </row>
    <row r="10" spans="1:12" ht="38.25">
      <c r="A10" s="40" t="s">
        <v>146</v>
      </c>
      <c r="B10" s="40" t="s">
        <v>159</v>
      </c>
      <c r="C10" s="40" t="s">
        <v>159</v>
      </c>
      <c r="D10" s="40">
        <v>1</v>
      </c>
      <c r="E10" s="40">
        <v>4</v>
      </c>
      <c r="F10" s="40">
        <v>0.5</v>
      </c>
      <c r="G10" s="40" t="s">
        <v>66</v>
      </c>
      <c r="H10" s="219">
        <f>250*2</f>
        <v>500</v>
      </c>
      <c r="I10" s="219">
        <f>(D10+F10)*E10*H10</f>
        <v>3000</v>
      </c>
      <c r="J10" s="40" t="s">
        <v>96</v>
      </c>
      <c r="K10" s="40" t="s">
        <v>684</v>
      </c>
      <c r="L10" s="218" t="s">
        <v>786</v>
      </c>
    </row>
    <row r="11" spans="1:12" ht="25.5">
      <c r="A11" s="40" t="s">
        <v>351</v>
      </c>
      <c r="B11" s="40" t="s">
        <v>159</v>
      </c>
      <c r="C11" s="40" t="s">
        <v>159</v>
      </c>
      <c r="D11" s="40">
        <v>1</v>
      </c>
      <c r="E11" s="40">
        <v>4</v>
      </c>
      <c r="F11" s="40">
        <v>1</v>
      </c>
      <c r="G11" s="40" t="s">
        <v>66</v>
      </c>
      <c r="H11" s="219">
        <f>12000/15*1.5/4*4</f>
        <v>1200</v>
      </c>
      <c r="I11" s="219">
        <f>(D11+F11)*E11*H11</f>
        <v>9600</v>
      </c>
      <c r="J11" s="40" t="s">
        <v>681</v>
      </c>
      <c r="K11" s="40" t="s">
        <v>685</v>
      </c>
      <c r="L11" s="218" t="s">
        <v>779</v>
      </c>
    </row>
    <row r="12" spans="1:12" ht="25.5">
      <c r="A12" s="40" t="s">
        <v>587</v>
      </c>
      <c r="B12" s="218" t="s">
        <v>159</v>
      </c>
      <c r="C12" s="218" t="s">
        <v>159</v>
      </c>
      <c r="D12" s="40">
        <v>1</v>
      </c>
      <c r="E12" s="40">
        <v>1</v>
      </c>
      <c r="F12" s="40">
        <v>1</v>
      </c>
      <c r="G12" s="218" t="s">
        <v>159</v>
      </c>
      <c r="H12" s="219">
        <v>500</v>
      </c>
      <c r="I12" s="296">
        <f>H12*(F12+D12)*E12+1000</f>
        <v>2000</v>
      </c>
      <c r="J12" s="40" t="s">
        <v>97</v>
      </c>
      <c r="K12" s="40" t="s">
        <v>685</v>
      </c>
      <c r="L12" s="44" t="s">
        <v>670</v>
      </c>
    </row>
    <row r="13" spans="1:12" ht="38.25">
      <c r="A13" s="40" t="s">
        <v>48</v>
      </c>
      <c r="B13" s="40" t="s">
        <v>159</v>
      </c>
      <c r="C13" s="40" t="s">
        <v>159</v>
      </c>
      <c r="D13" s="40">
        <v>1</v>
      </c>
      <c r="E13" s="40">
        <v>1</v>
      </c>
      <c r="F13" s="40">
        <v>0.25</v>
      </c>
      <c r="G13" s="40" t="s">
        <v>159</v>
      </c>
      <c r="H13" s="219">
        <f>30000/2250*1500*0.7*1.7</f>
        <v>23800</v>
      </c>
      <c r="I13" s="296">
        <f aca="true" t="shared" si="0" ref="I13:I23">H13*(F13+D13)*E13</f>
        <v>29750</v>
      </c>
      <c r="J13" s="40" t="s">
        <v>96</v>
      </c>
      <c r="K13" s="40" t="s">
        <v>686</v>
      </c>
      <c r="L13" s="218" t="s">
        <v>780</v>
      </c>
    </row>
    <row r="14" spans="1:12" ht="25.5">
      <c r="A14" s="40" t="s">
        <v>47</v>
      </c>
      <c r="B14" s="40" t="s">
        <v>159</v>
      </c>
      <c r="C14" s="40" t="s">
        <v>159</v>
      </c>
      <c r="D14" s="40">
        <v>1</v>
      </c>
      <c r="E14" s="40">
        <v>1</v>
      </c>
      <c r="F14" s="40">
        <v>0.25</v>
      </c>
      <c r="G14" s="40" t="s">
        <v>159</v>
      </c>
      <c r="H14" s="219">
        <f>600/900*45000*1.7</f>
        <v>51000</v>
      </c>
      <c r="I14" s="296">
        <f t="shared" si="0"/>
        <v>63750</v>
      </c>
      <c r="J14" s="40" t="s">
        <v>96</v>
      </c>
      <c r="K14" s="40" t="s">
        <v>687</v>
      </c>
      <c r="L14" s="218" t="s">
        <v>781</v>
      </c>
    </row>
    <row r="15" spans="1:12" ht="25.5">
      <c r="A15" s="40" t="s">
        <v>352</v>
      </c>
      <c r="B15" s="40" t="s">
        <v>159</v>
      </c>
      <c r="C15" s="40" t="s">
        <v>159</v>
      </c>
      <c r="D15" s="40">
        <v>1</v>
      </c>
      <c r="E15" s="40">
        <v>1</v>
      </c>
      <c r="F15" s="40">
        <v>1</v>
      </c>
      <c r="G15" s="40" t="s">
        <v>159</v>
      </c>
      <c r="H15" s="219">
        <f>5000/15/2*1.5*2*2</f>
        <v>1000</v>
      </c>
      <c r="I15" s="296">
        <f t="shared" si="0"/>
        <v>2000</v>
      </c>
      <c r="J15" s="40" t="s">
        <v>96</v>
      </c>
      <c r="K15" s="40" t="s">
        <v>688</v>
      </c>
      <c r="L15" s="44" t="s">
        <v>363</v>
      </c>
    </row>
    <row r="16" spans="1:12" ht="25.5">
      <c r="A16" s="44" t="s">
        <v>227</v>
      </c>
      <c r="B16" s="44" t="s">
        <v>159</v>
      </c>
      <c r="C16" s="44" t="s">
        <v>159</v>
      </c>
      <c r="D16" s="44">
        <v>1</v>
      </c>
      <c r="E16" s="40">
        <v>1</v>
      </c>
      <c r="F16" s="40">
        <v>0.5</v>
      </c>
      <c r="G16" s="44" t="s">
        <v>159</v>
      </c>
      <c r="H16" s="219">
        <f>22000*1.7</f>
        <v>37400</v>
      </c>
      <c r="I16" s="296">
        <f t="shared" si="0"/>
        <v>56100</v>
      </c>
      <c r="J16" s="40" t="s">
        <v>96</v>
      </c>
      <c r="K16" s="40" t="s">
        <v>689</v>
      </c>
      <c r="L16" s="218" t="s">
        <v>787</v>
      </c>
    </row>
    <row r="17" spans="1:12" ht="25.5">
      <c r="A17" s="40" t="s">
        <v>353</v>
      </c>
      <c r="B17" s="40" t="s">
        <v>159</v>
      </c>
      <c r="C17" s="40" t="s">
        <v>159</v>
      </c>
      <c r="D17" s="40">
        <v>1</v>
      </c>
      <c r="E17" s="40">
        <v>2</v>
      </c>
      <c r="F17" s="40">
        <v>0</v>
      </c>
      <c r="G17" s="40" t="s">
        <v>354</v>
      </c>
      <c r="H17" s="219">
        <f>3000/2*2*1.3</f>
        <v>3900</v>
      </c>
      <c r="I17" s="296">
        <f t="shared" si="0"/>
        <v>7800</v>
      </c>
      <c r="J17" s="40" t="s">
        <v>96</v>
      </c>
      <c r="K17" s="40" t="s">
        <v>690</v>
      </c>
      <c r="L17" s="44" t="s">
        <v>566</v>
      </c>
    </row>
    <row r="18" spans="1:12" ht="25.5">
      <c r="A18" s="40" t="s">
        <v>355</v>
      </c>
      <c r="B18" s="40" t="s">
        <v>159</v>
      </c>
      <c r="C18" s="40" t="s">
        <v>159</v>
      </c>
      <c r="D18" s="40">
        <v>1</v>
      </c>
      <c r="E18" s="40">
        <v>2</v>
      </c>
      <c r="F18" s="40">
        <v>1</v>
      </c>
      <c r="G18" s="40" t="s">
        <v>354</v>
      </c>
      <c r="H18" s="219">
        <f>5000/2*1.5*1.3</f>
        <v>4875</v>
      </c>
      <c r="I18" s="296">
        <f t="shared" si="0"/>
        <v>19500</v>
      </c>
      <c r="J18" s="40" t="s">
        <v>96</v>
      </c>
      <c r="K18" s="40" t="s">
        <v>690</v>
      </c>
      <c r="L18" s="218" t="s">
        <v>782</v>
      </c>
    </row>
    <row r="19" spans="1:12" ht="12.75">
      <c r="A19" s="40" t="s">
        <v>356</v>
      </c>
      <c r="B19" s="40" t="s">
        <v>159</v>
      </c>
      <c r="C19" s="40" t="s">
        <v>159</v>
      </c>
      <c r="D19" s="40">
        <v>1</v>
      </c>
      <c r="E19" s="40">
        <v>1</v>
      </c>
      <c r="F19" s="40">
        <v>0</v>
      </c>
      <c r="G19" s="40" t="s">
        <v>354</v>
      </c>
      <c r="H19" s="219">
        <f>5000/15*1.5*1.5</f>
        <v>750</v>
      </c>
      <c r="I19" s="296">
        <f t="shared" si="0"/>
        <v>750</v>
      </c>
      <c r="J19" s="40" t="s">
        <v>96</v>
      </c>
      <c r="K19" s="40" t="s">
        <v>690</v>
      </c>
      <c r="L19" s="44" t="s">
        <v>364</v>
      </c>
    </row>
    <row r="20" spans="1:12" ht="12.75">
      <c r="A20" s="40" t="s">
        <v>357</v>
      </c>
      <c r="B20" s="40" t="s">
        <v>159</v>
      </c>
      <c r="C20" s="40" t="s">
        <v>159</v>
      </c>
      <c r="D20" s="40">
        <v>1</v>
      </c>
      <c r="E20" s="40">
        <v>2</v>
      </c>
      <c r="F20" s="40">
        <v>0</v>
      </c>
      <c r="G20" s="40" t="s">
        <v>354</v>
      </c>
      <c r="H20" s="219">
        <v>10000</v>
      </c>
      <c r="I20" s="296">
        <f t="shared" si="0"/>
        <v>20000</v>
      </c>
      <c r="J20" s="40" t="s">
        <v>96</v>
      </c>
      <c r="K20" s="40" t="s">
        <v>690</v>
      </c>
      <c r="L20" s="44" t="s">
        <v>365</v>
      </c>
    </row>
    <row r="21" spans="1:12" ht="12.75">
      <c r="A21" s="40" t="s">
        <v>358</v>
      </c>
      <c r="B21" s="40" t="s">
        <v>159</v>
      </c>
      <c r="C21" s="40" t="s">
        <v>348</v>
      </c>
      <c r="D21" s="40">
        <v>1</v>
      </c>
      <c r="E21" s="40">
        <v>1</v>
      </c>
      <c r="F21" s="40">
        <v>0</v>
      </c>
      <c r="G21" s="40" t="s">
        <v>359</v>
      </c>
      <c r="H21" s="219">
        <v>15000</v>
      </c>
      <c r="I21" s="296">
        <f t="shared" si="0"/>
        <v>15000</v>
      </c>
      <c r="J21" s="40" t="s">
        <v>96</v>
      </c>
      <c r="K21" s="40" t="s">
        <v>359</v>
      </c>
      <c r="L21" s="44" t="s">
        <v>365</v>
      </c>
    </row>
    <row r="22" spans="1:12" ht="25.5">
      <c r="A22" s="40" t="s">
        <v>62</v>
      </c>
      <c r="B22" s="40" t="s">
        <v>159</v>
      </c>
      <c r="C22" s="40" t="s">
        <v>159</v>
      </c>
      <c r="D22" s="40">
        <v>1</v>
      </c>
      <c r="E22" s="40">
        <v>8</v>
      </c>
      <c r="F22" s="40">
        <v>1</v>
      </c>
      <c r="G22" s="40" t="s">
        <v>159</v>
      </c>
      <c r="H22" s="219">
        <f>10000/15*1.5*2*2/3</f>
        <v>1333.3333333333333</v>
      </c>
      <c r="I22" s="296">
        <f t="shared" si="0"/>
        <v>21333.333333333332</v>
      </c>
      <c r="J22" s="40" t="s">
        <v>96</v>
      </c>
      <c r="K22" s="40" t="s">
        <v>685</v>
      </c>
      <c r="L22" s="44" t="s">
        <v>366</v>
      </c>
    </row>
    <row r="23" spans="1:12" ht="12.75">
      <c r="A23" s="44" t="s">
        <v>367</v>
      </c>
      <c r="B23" s="44" t="s">
        <v>159</v>
      </c>
      <c r="C23" s="44" t="s">
        <v>159</v>
      </c>
      <c r="D23" s="44">
        <v>1</v>
      </c>
      <c r="E23" s="40">
        <v>1</v>
      </c>
      <c r="F23" s="40">
        <v>0</v>
      </c>
      <c r="G23" s="44" t="s">
        <v>159</v>
      </c>
      <c r="H23" s="219">
        <f>1500*1.5</f>
        <v>2250</v>
      </c>
      <c r="I23" s="296">
        <f t="shared" si="0"/>
        <v>2250</v>
      </c>
      <c r="J23" s="40" t="s">
        <v>96</v>
      </c>
      <c r="K23" s="40" t="s">
        <v>690</v>
      </c>
      <c r="L23" s="218" t="s">
        <v>783</v>
      </c>
    </row>
    <row r="24" spans="1:12" ht="12.75">
      <c r="A24" s="301"/>
      <c r="B24" s="301"/>
      <c r="C24" s="301"/>
      <c r="D24" s="301"/>
      <c r="E24" s="297"/>
      <c r="F24" s="297"/>
      <c r="G24" s="301"/>
      <c r="H24" s="301"/>
      <c r="I24" s="297"/>
      <c r="J24" s="297"/>
      <c r="K24" s="297"/>
      <c r="L24" s="301"/>
    </row>
    <row r="25" spans="1:13" s="565" customFormat="1" ht="51">
      <c r="A25" s="562" t="s">
        <v>58</v>
      </c>
      <c r="B25" s="563" t="s">
        <v>368</v>
      </c>
      <c r="C25" s="564" t="s">
        <v>369</v>
      </c>
      <c r="D25" s="564">
        <v>90</v>
      </c>
      <c r="E25" s="562">
        <v>1</v>
      </c>
      <c r="F25" s="562">
        <v>0</v>
      </c>
      <c r="G25" s="562" t="s">
        <v>827</v>
      </c>
      <c r="H25" s="562">
        <v>9000</v>
      </c>
      <c r="I25" s="568">
        <f>(D25+F25)*E25*H25</f>
        <v>810000</v>
      </c>
      <c r="J25" s="562" t="s">
        <v>714</v>
      </c>
      <c r="K25" s="562" t="s">
        <v>828</v>
      </c>
      <c r="L25" s="562" t="s">
        <v>573</v>
      </c>
      <c r="M25" s="566" t="s">
        <v>830</v>
      </c>
    </row>
    <row r="26" spans="1:13" ht="25.5">
      <c r="A26" s="562" t="s">
        <v>52</v>
      </c>
      <c r="B26" s="563" t="s">
        <v>368</v>
      </c>
      <c r="C26" s="562" t="s">
        <v>369</v>
      </c>
      <c r="D26" s="562">
        <v>90</v>
      </c>
      <c r="E26" s="562">
        <v>2</v>
      </c>
      <c r="F26" s="562">
        <v>0</v>
      </c>
      <c r="G26" s="562" t="s">
        <v>66</v>
      </c>
      <c r="H26" s="562">
        <f>34.5/15*13*5*2*2</f>
        <v>598</v>
      </c>
      <c r="I26" s="568">
        <f>H26*(D26+F26)*E26+8000*2</f>
        <v>123640</v>
      </c>
      <c r="J26" s="562" t="s">
        <v>96</v>
      </c>
      <c r="K26" s="562" t="s">
        <v>828</v>
      </c>
      <c r="L26" s="562" t="s">
        <v>825</v>
      </c>
      <c r="M26" s="302" t="s">
        <v>829</v>
      </c>
    </row>
    <row r="27" spans="1:13" ht="51">
      <c r="A27" s="562" t="s">
        <v>347</v>
      </c>
      <c r="B27" s="563" t="s">
        <v>368</v>
      </c>
      <c r="C27" s="562" t="s">
        <v>369</v>
      </c>
      <c r="D27" s="562">
        <v>90</v>
      </c>
      <c r="E27" s="562">
        <v>2</v>
      </c>
      <c r="F27" s="562">
        <v>0</v>
      </c>
      <c r="G27" s="562" t="s">
        <v>66</v>
      </c>
      <c r="H27" s="564">
        <v>3200</v>
      </c>
      <c r="I27" s="568">
        <f>(D27+F27)*E27*H27</f>
        <v>576000</v>
      </c>
      <c r="J27" s="562" t="s">
        <v>96</v>
      </c>
      <c r="K27" s="562" t="s">
        <v>828</v>
      </c>
      <c r="L27" s="562" t="s">
        <v>826</v>
      </c>
      <c r="M27" s="566" t="s">
        <v>830</v>
      </c>
    </row>
    <row r="28" spans="1:13" ht="63.75">
      <c r="A28" s="562" t="s">
        <v>56</v>
      </c>
      <c r="B28" s="563" t="s">
        <v>368</v>
      </c>
      <c r="C28" s="562" t="s">
        <v>369</v>
      </c>
      <c r="D28" s="562">
        <v>90</v>
      </c>
      <c r="E28" s="562">
        <v>2</v>
      </c>
      <c r="F28" s="562">
        <v>0</v>
      </c>
      <c r="G28" s="562" t="s">
        <v>66</v>
      </c>
      <c r="H28" s="562">
        <f>120*7*2+500</f>
        <v>2180</v>
      </c>
      <c r="I28" s="568">
        <f>(D28+F28)*E28*H28+100000</f>
        <v>492400</v>
      </c>
      <c r="J28" s="562" t="s">
        <v>96</v>
      </c>
      <c r="K28" s="562" t="s">
        <v>828</v>
      </c>
      <c r="L28" s="564" t="s">
        <v>831</v>
      </c>
      <c r="M28" s="567" t="s">
        <v>441</v>
      </c>
    </row>
    <row r="29" spans="1:20" ht="38.25">
      <c r="A29" s="562" t="s">
        <v>146</v>
      </c>
      <c r="B29" s="563" t="s">
        <v>368</v>
      </c>
      <c r="C29" s="562" t="s">
        <v>369</v>
      </c>
      <c r="D29" s="562">
        <v>90</v>
      </c>
      <c r="E29" s="562">
        <v>2</v>
      </c>
      <c r="F29" s="562">
        <v>0</v>
      </c>
      <c r="G29" s="562" t="s">
        <v>66</v>
      </c>
      <c r="H29" s="562">
        <f>250*1.2</f>
        <v>300</v>
      </c>
      <c r="I29" s="568">
        <f>(D29+F29)*E29*H29</f>
        <v>54000</v>
      </c>
      <c r="J29" s="562" t="s">
        <v>96</v>
      </c>
      <c r="K29" s="562" t="s">
        <v>828</v>
      </c>
      <c r="L29" s="564" t="s">
        <v>832</v>
      </c>
      <c r="M29" s="567" t="s">
        <v>833</v>
      </c>
      <c r="P29" s="302" t="s">
        <v>45</v>
      </c>
      <c r="Q29" s="302" t="s">
        <v>834</v>
      </c>
      <c r="R29" s="302" t="s">
        <v>835</v>
      </c>
      <c r="S29" s="302" t="s">
        <v>836</v>
      </c>
      <c r="T29" s="302" t="s">
        <v>837</v>
      </c>
    </row>
    <row r="30" spans="1:20" ht="12.75">
      <c r="A30" s="564" t="s">
        <v>841</v>
      </c>
      <c r="B30" s="563"/>
      <c r="C30" s="564" t="s">
        <v>369</v>
      </c>
      <c r="D30" s="562">
        <v>90</v>
      </c>
      <c r="E30" s="562">
        <v>1</v>
      </c>
      <c r="F30" s="562">
        <v>0</v>
      </c>
      <c r="G30" s="564" t="s">
        <v>598</v>
      </c>
      <c r="H30" s="562">
        <v>10000</v>
      </c>
      <c r="I30" s="568">
        <f>H30*D30</f>
        <v>900000</v>
      </c>
      <c r="J30" s="562"/>
      <c r="K30" s="562" t="s">
        <v>828</v>
      </c>
      <c r="L30" s="564" t="s">
        <v>842</v>
      </c>
      <c r="M30" s="567"/>
      <c r="P30" s="302"/>
      <c r="Q30" s="302"/>
      <c r="R30" s="302"/>
      <c r="S30" s="302"/>
      <c r="T30" s="302"/>
    </row>
    <row r="31" spans="1:20" ht="12.75">
      <c r="A31" s="564" t="s">
        <v>840</v>
      </c>
      <c r="B31" s="563"/>
      <c r="C31" s="564" t="s">
        <v>369</v>
      </c>
      <c r="D31" s="562">
        <v>90</v>
      </c>
      <c r="E31" s="562">
        <v>1</v>
      </c>
      <c r="F31" s="562">
        <v>0</v>
      </c>
      <c r="G31" s="564" t="s">
        <v>598</v>
      </c>
      <c r="H31" s="562">
        <v>6500</v>
      </c>
      <c r="I31" s="568">
        <f>H31*D31</f>
        <v>585000</v>
      </c>
      <c r="J31" s="562"/>
      <c r="K31" s="562" t="s">
        <v>828</v>
      </c>
      <c r="L31" s="564" t="s">
        <v>843</v>
      </c>
      <c r="M31" s="567"/>
      <c r="P31" s="302"/>
      <c r="Q31" s="302"/>
      <c r="R31" s="302"/>
      <c r="S31" s="302"/>
      <c r="T31" s="302"/>
    </row>
    <row r="32" spans="1:21" ht="38.25">
      <c r="A32" s="562" t="s">
        <v>48</v>
      </c>
      <c r="B32" s="563" t="s">
        <v>368</v>
      </c>
      <c r="C32" s="562" t="s">
        <v>369</v>
      </c>
      <c r="D32" s="562">
        <v>90</v>
      </c>
      <c r="E32" s="562">
        <v>1</v>
      </c>
      <c r="F32" s="562">
        <v>0</v>
      </c>
      <c r="G32" s="564" t="s">
        <v>598</v>
      </c>
      <c r="H32" s="562">
        <v>13000</v>
      </c>
      <c r="I32" s="569">
        <f>(D32+F32)*E32*H32+200000</f>
        <v>1370000</v>
      </c>
      <c r="J32" s="562" t="s">
        <v>715</v>
      </c>
      <c r="K32" s="562" t="s">
        <v>828</v>
      </c>
      <c r="L32" s="564" t="s">
        <v>838</v>
      </c>
      <c r="M32" s="302" t="s">
        <v>839</v>
      </c>
      <c r="P32" s="298">
        <f>13000</f>
        <v>13000</v>
      </c>
      <c r="Q32" s="298">
        <v>3</v>
      </c>
      <c r="R32" s="298">
        <v>2</v>
      </c>
      <c r="S32" s="298">
        <f>P32/Q32*R32</f>
        <v>8666.666666666666</v>
      </c>
      <c r="T32" s="298">
        <v>1.5</v>
      </c>
      <c r="U32" s="298">
        <f>T32*S32</f>
        <v>13000</v>
      </c>
    </row>
    <row r="33" spans="1:13" ht="25.5">
      <c r="A33" s="562" t="s">
        <v>47</v>
      </c>
      <c r="B33" s="563" t="s">
        <v>368</v>
      </c>
      <c r="C33" s="562" t="s">
        <v>369</v>
      </c>
      <c r="D33" s="562">
        <v>90</v>
      </c>
      <c r="E33" s="562">
        <v>1</v>
      </c>
      <c r="F33" s="562">
        <v>1</v>
      </c>
      <c r="G33" s="564" t="s">
        <v>598</v>
      </c>
      <c r="H33" s="562">
        <v>17000</v>
      </c>
      <c r="I33" s="568">
        <f>(D33+F33)*E33*H33+225000</f>
        <v>1772000</v>
      </c>
      <c r="J33" s="562" t="s">
        <v>716</v>
      </c>
      <c r="K33" s="562" t="s">
        <v>828</v>
      </c>
      <c r="L33" s="564" t="s">
        <v>847</v>
      </c>
      <c r="M33" s="302" t="s">
        <v>839</v>
      </c>
    </row>
    <row r="34" spans="1:23" ht="12.75">
      <c r="A34" s="564" t="s">
        <v>848</v>
      </c>
      <c r="B34" s="563" t="s">
        <v>369</v>
      </c>
      <c r="C34" s="562" t="s">
        <v>369</v>
      </c>
      <c r="D34" s="562">
        <v>90</v>
      </c>
      <c r="E34" s="562">
        <v>1</v>
      </c>
      <c r="F34" s="562">
        <v>0</v>
      </c>
      <c r="G34" s="564" t="s">
        <v>598</v>
      </c>
      <c r="H34" s="562">
        <v>4600</v>
      </c>
      <c r="I34" s="568">
        <f>D34*H34</f>
        <v>414000</v>
      </c>
      <c r="J34" s="562"/>
      <c r="K34" s="562" t="s">
        <v>828</v>
      </c>
      <c r="L34" s="564" t="s">
        <v>851</v>
      </c>
      <c r="P34" s="298">
        <f>250/100</f>
        <v>2.5</v>
      </c>
      <c r="Q34" s="298">
        <f>125/100</f>
        <v>1.25</v>
      </c>
      <c r="R34" s="298">
        <f>3/100</f>
        <v>0.03</v>
      </c>
      <c r="S34" s="298">
        <v>8</v>
      </c>
      <c r="T34" s="298">
        <f>P34*Q34*R34</f>
        <v>0.09375</v>
      </c>
      <c r="U34" s="298">
        <f>T34*S32</f>
        <v>812.5</v>
      </c>
      <c r="V34" s="298">
        <v>8</v>
      </c>
      <c r="W34" s="298">
        <f>U34*V34</f>
        <v>6500</v>
      </c>
    </row>
    <row r="35" spans="1:12" ht="12.75">
      <c r="A35" s="564" t="s">
        <v>849</v>
      </c>
      <c r="B35" s="563" t="s">
        <v>369</v>
      </c>
      <c r="C35" s="562" t="s">
        <v>369</v>
      </c>
      <c r="D35" s="562">
        <v>90</v>
      </c>
      <c r="E35" s="562">
        <v>1</v>
      </c>
      <c r="F35" s="562">
        <v>0</v>
      </c>
      <c r="G35" s="564" t="s">
        <v>598</v>
      </c>
      <c r="H35" s="562">
        <v>10000</v>
      </c>
      <c r="I35" s="568">
        <f>D35*H35</f>
        <v>900000</v>
      </c>
      <c r="J35" s="562"/>
      <c r="K35" s="562" t="s">
        <v>828</v>
      </c>
      <c r="L35" s="564" t="s">
        <v>850</v>
      </c>
    </row>
    <row r="36" spans="1:23" ht="12.75">
      <c r="A36" s="562" t="s">
        <v>352</v>
      </c>
      <c r="B36" s="563" t="s">
        <v>368</v>
      </c>
      <c r="C36" s="562" t="s">
        <v>369</v>
      </c>
      <c r="D36" s="562">
        <v>90</v>
      </c>
      <c r="E36" s="562">
        <v>1</v>
      </c>
      <c r="F36" s="562">
        <v>0</v>
      </c>
      <c r="G36" s="564" t="s">
        <v>598</v>
      </c>
      <c r="H36" s="562">
        <f>5000/15/4*2*13/56*120</f>
        <v>4642.857142857143</v>
      </c>
      <c r="I36" s="568">
        <f>(D36+F36)*E36*H36</f>
        <v>417857.1428571429</v>
      </c>
      <c r="J36" s="562" t="s">
        <v>96</v>
      </c>
      <c r="K36" s="562" t="s">
        <v>828</v>
      </c>
      <c r="L36" s="564" t="s">
        <v>852</v>
      </c>
      <c r="M36" s="302" t="s">
        <v>441</v>
      </c>
      <c r="P36" s="302">
        <f>310/100</f>
        <v>3.1</v>
      </c>
      <c r="Q36" s="298">
        <f>155/100</f>
        <v>1.55</v>
      </c>
      <c r="R36" s="298">
        <f>3/100</f>
        <v>0.03</v>
      </c>
      <c r="S36" s="298">
        <v>8</v>
      </c>
      <c r="T36" s="298">
        <f>P36*Q36*R36</f>
        <v>0.14415</v>
      </c>
      <c r="U36" s="298">
        <f>T36*S32</f>
        <v>1249.3</v>
      </c>
      <c r="V36" s="298">
        <v>8</v>
      </c>
      <c r="W36" s="298">
        <f>U36*V36</f>
        <v>9994.4</v>
      </c>
    </row>
    <row r="37" spans="1:13" ht="12.75">
      <c r="A37" s="562" t="s">
        <v>54</v>
      </c>
      <c r="B37" s="563" t="s">
        <v>368</v>
      </c>
      <c r="C37" s="562" t="s">
        <v>369</v>
      </c>
      <c r="D37" s="562">
        <v>90</v>
      </c>
      <c r="E37" s="562">
        <v>1</v>
      </c>
      <c r="F37" s="562">
        <v>0</v>
      </c>
      <c r="G37" s="564" t="s">
        <v>598</v>
      </c>
      <c r="H37" s="562">
        <v>1800</v>
      </c>
      <c r="I37" s="568">
        <f>(D37+F37)*E37*H37</f>
        <v>162000</v>
      </c>
      <c r="J37" s="562" t="s">
        <v>96</v>
      </c>
      <c r="K37" s="562" t="s">
        <v>828</v>
      </c>
      <c r="L37" s="562"/>
      <c r="M37" s="302" t="s">
        <v>441</v>
      </c>
    </row>
    <row r="38" spans="1:21" s="302" customFormat="1" ht="51">
      <c r="A38" s="564" t="s">
        <v>227</v>
      </c>
      <c r="B38" s="564" t="s">
        <v>368</v>
      </c>
      <c r="C38" s="564" t="s">
        <v>369</v>
      </c>
      <c r="D38" s="564">
        <v>90</v>
      </c>
      <c r="E38" s="564">
        <v>1</v>
      </c>
      <c r="F38" s="564">
        <v>0</v>
      </c>
      <c r="G38" s="564" t="s">
        <v>159</v>
      </c>
      <c r="H38" s="564"/>
      <c r="I38" s="568">
        <f>750000/10*13/10*D38*0.8</f>
        <v>7020000</v>
      </c>
      <c r="J38" s="564"/>
      <c r="K38" s="562" t="s">
        <v>828</v>
      </c>
      <c r="L38" s="564" t="s">
        <v>853</v>
      </c>
      <c r="M38" s="302" t="s">
        <v>839</v>
      </c>
      <c r="P38" s="302" t="s">
        <v>45</v>
      </c>
      <c r="Q38" s="302" t="s">
        <v>844</v>
      </c>
      <c r="R38" s="302" t="s">
        <v>845</v>
      </c>
      <c r="S38" s="302" t="s">
        <v>846</v>
      </c>
      <c r="T38" s="302" t="s">
        <v>837</v>
      </c>
      <c r="U38" s="298"/>
    </row>
    <row r="39" spans="1:21" ht="25.5">
      <c r="A39" s="562" t="s">
        <v>353</v>
      </c>
      <c r="B39" s="563" t="s">
        <v>368</v>
      </c>
      <c r="C39" s="562" t="s">
        <v>369</v>
      </c>
      <c r="D39" s="562">
        <v>90</v>
      </c>
      <c r="E39" s="562">
        <v>2</v>
      </c>
      <c r="F39" s="562">
        <v>0</v>
      </c>
      <c r="G39" s="562" t="s">
        <v>354</v>
      </c>
      <c r="H39" s="562">
        <f>3000/2</f>
        <v>1500</v>
      </c>
      <c r="I39" s="568">
        <f aca="true" t="shared" si="1" ref="I39:I44">(D39+F39)*E39*H39</f>
        <v>270000</v>
      </c>
      <c r="J39" s="562" t="s">
        <v>96</v>
      </c>
      <c r="K39" s="562" t="s">
        <v>828</v>
      </c>
      <c r="L39" s="564" t="s">
        <v>854</v>
      </c>
      <c r="M39" s="302" t="s">
        <v>839</v>
      </c>
      <c r="P39" s="298">
        <f>13000</f>
        <v>13000</v>
      </c>
      <c r="Q39" s="298">
        <v>5.8</v>
      </c>
      <c r="R39" s="298">
        <v>2</v>
      </c>
      <c r="S39" s="298">
        <f>P39/Q39*R39</f>
        <v>4482.758620689655</v>
      </c>
      <c r="T39" s="298">
        <v>3.8</v>
      </c>
      <c r="U39" s="298">
        <f>T39*S39</f>
        <v>17034.48275862069</v>
      </c>
    </row>
    <row r="40" spans="1:12" ht="12.75">
      <c r="A40" s="562" t="s">
        <v>713</v>
      </c>
      <c r="B40" s="563" t="s">
        <v>368</v>
      </c>
      <c r="C40" s="562" t="s">
        <v>369</v>
      </c>
      <c r="D40" s="562">
        <v>90</v>
      </c>
      <c r="E40" s="562">
        <v>2</v>
      </c>
      <c r="F40" s="562">
        <v>0</v>
      </c>
      <c r="G40" s="562" t="s">
        <v>354</v>
      </c>
      <c r="H40" s="562">
        <f>5000/2</f>
        <v>2500</v>
      </c>
      <c r="I40" s="568">
        <f t="shared" si="1"/>
        <v>450000</v>
      </c>
      <c r="J40" s="562" t="s">
        <v>96</v>
      </c>
      <c r="K40" s="562" t="s">
        <v>828</v>
      </c>
      <c r="L40" s="564" t="s">
        <v>855</v>
      </c>
    </row>
    <row r="41" spans="1:23" ht="12.75">
      <c r="A41" s="562" t="s">
        <v>356</v>
      </c>
      <c r="B41" s="563" t="s">
        <v>368</v>
      </c>
      <c r="C41" s="562" t="s">
        <v>369</v>
      </c>
      <c r="D41" s="562">
        <v>90</v>
      </c>
      <c r="E41" s="562">
        <v>1</v>
      </c>
      <c r="F41" s="562">
        <v>0</v>
      </c>
      <c r="G41" s="562" t="s">
        <v>354</v>
      </c>
      <c r="H41" s="562">
        <f>5000/15*13</f>
        <v>4333.333333333333</v>
      </c>
      <c r="I41" s="568">
        <f t="shared" si="1"/>
        <v>390000</v>
      </c>
      <c r="J41" s="562" t="s">
        <v>96</v>
      </c>
      <c r="K41" s="562" t="s">
        <v>828</v>
      </c>
      <c r="L41" s="564" t="s">
        <v>856</v>
      </c>
      <c r="P41" s="298">
        <f>370/100</f>
        <v>3.7</v>
      </c>
      <c r="Q41" s="298">
        <f>190/100</f>
        <v>1.9</v>
      </c>
      <c r="R41" s="298">
        <f>5.8/100</f>
        <v>0.057999999999999996</v>
      </c>
      <c r="S41" s="298">
        <v>8</v>
      </c>
      <c r="T41" s="298">
        <f>P41*Q41*R41</f>
        <v>0.40774</v>
      </c>
      <c r="U41" s="298">
        <f>T41*S39</f>
        <v>1827.8</v>
      </c>
      <c r="V41" s="298">
        <v>2.5</v>
      </c>
      <c r="W41" s="298">
        <f>U41*V41</f>
        <v>4569.5</v>
      </c>
    </row>
    <row r="42" spans="1:23" ht="12.75">
      <c r="A42" s="562" t="s">
        <v>358</v>
      </c>
      <c r="B42" s="563" t="s">
        <v>368</v>
      </c>
      <c r="C42" s="562" t="s">
        <v>369</v>
      </c>
      <c r="D42" s="562">
        <v>90</v>
      </c>
      <c r="E42" s="562">
        <v>1</v>
      </c>
      <c r="F42" s="562">
        <v>0</v>
      </c>
      <c r="G42" s="562" t="s">
        <v>359</v>
      </c>
      <c r="H42" s="562">
        <v>3000</v>
      </c>
      <c r="I42" s="568">
        <f t="shared" si="1"/>
        <v>270000</v>
      </c>
      <c r="J42" s="562" t="s">
        <v>96</v>
      </c>
      <c r="K42" s="570" t="s">
        <v>712</v>
      </c>
      <c r="L42" s="563" t="s">
        <v>365</v>
      </c>
      <c r="P42" s="302">
        <f>550/100</f>
        <v>5.5</v>
      </c>
      <c r="Q42" s="298">
        <f>280/100</f>
        <v>2.8</v>
      </c>
      <c r="R42" s="298">
        <f>5.8/100</f>
        <v>0.057999999999999996</v>
      </c>
      <c r="S42" s="298">
        <v>8</v>
      </c>
      <c r="T42" s="298">
        <f>P42*Q42*R42</f>
        <v>0.8931999999999999</v>
      </c>
      <c r="U42" s="298">
        <f>T42*S39</f>
        <v>4003.999999999999</v>
      </c>
      <c r="V42" s="298">
        <v>2.5</v>
      </c>
      <c r="W42" s="298">
        <f>U42*V42</f>
        <v>10009.999999999998</v>
      </c>
    </row>
    <row r="43" spans="1:12" ht="12.75">
      <c r="A43" s="564" t="s">
        <v>858</v>
      </c>
      <c r="B43" s="563" t="s">
        <v>368</v>
      </c>
      <c r="C43" s="564" t="s">
        <v>369</v>
      </c>
      <c r="D43" s="562">
        <v>90</v>
      </c>
      <c r="E43" s="562">
        <v>2</v>
      </c>
      <c r="F43" s="562">
        <v>0</v>
      </c>
      <c r="G43" s="564" t="s">
        <v>598</v>
      </c>
      <c r="H43" s="562">
        <f>10000/15/3*13</f>
        <v>2888.8888888888887</v>
      </c>
      <c r="I43" s="568">
        <f>(D43+F43)*E43*H43</f>
        <v>519999.99999999994</v>
      </c>
      <c r="J43" s="562" t="s">
        <v>96</v>
      </c>
      <c r="K43" s="570" t="s">
        <v>828</v>
      </c>
      <c r="L43" s="564" t="s">
        <v>857</v>
      </c>
    </row>
    <row r="44" spans="1:12" ht="12.75">
      <c r="A44" s="563" t="s">
        <v>367</v>
      </c>
      <c r="B44" s="563" t="s">
        <v>368</v>
      </c>
      <c r="C44" s="564" t="s">
        <v>369</v>
      </c>
      <c r="D44" s="563">
        <v>90</v>
      </c>
      <c r="E44" s="562">
        <v>2</v>
      </c>
      <c r="F44" s="562">
        <v>0</v>
      </c>
      <c r="G44" s="564" t="s">
        <v>598</v>
      </c>
      <c r="H44" s="562">
        <v>1500</v>
      </c>
      <c r="I44" s="568">
        <f t="shared" si="1"/>
        <v>270000</v>
      </c>
      <c r="J44" s="562" t="s">
        <v>96</v>
      </c>
      <c r="K44" s="570" t="s">
        <v>828</v>
      </c>
      <c r="L44" s="564" t="s">
        <v>859</v>
      </c>
    </row>
    <row r="45" spans="1:12" ht="38.25">
      <c r="A45" s="564" t="s">
        <v>67</v>
      </c>
      <c r="B45" s="563" t="s">
        <v>368</v>
      </c>
      <c r="C45" s="564" t="s">
        <v>369</v>
      </c>
      <c r="D45" s="562">
        <v>90</v>
      </c>
      <c r="E45" s="562">
        <v>2</v>
      </c>
      <c r="F45" s="562">
        <v>0</v>
      </c>
      <c r="G45" s="564" t="s">
        <v>598</v>
      </c>
      <c r="H45" s="562">
        <v>6000</v>
      </c>
      <c r="I45" s="568">
        <f>H45*2*(F45+D45)*E45+40000</f>
        <v>2200000</v>
      </c>
      <c r="J45" s="562" t="s">
        <v>96</v>
      </c>
      <c r="K45" s="570" t="s">
        <v>828</v>
      </c>
      <c r="L45" s="564" t="s">
        <v>860</v>
      </c>
    </row>
    <row r="46" spans="1:21" ht="12.75">
      <c r="A46" s="562" t="s">
        <v>351</v>
      </c>
      <c r="B46" s="563" t="s">
        <v>368</v>
      </c>
      <c r="C46" s="564" t="s">
        <v>369</v>
      </c>
      <c r="D46" s="564">
        <v>90</v>
      </c>
      <c r="E46" s="562">
        <v>4</v>
      </c>
      <c r="F46" s="562">
        <v>0</v>
      </c>
      <c r="G46" s="562" t="s">
        <v>66</v>
      </c>
      <c r="H46" s="562">
        <f>12000/15*13/4</f>
        <v>2600</v>
      </c>
      <c r="I46" s="568">
        <f>(D46+F46)*E46*H46</f>
        <v>936000</v>
      </c>
      <c r="J46" s="562" t="s">
        <v>96</v>
      </c>
      <c r="K46" s="570" t="s">
        <v>828</v>
      </c>
      <c r="L46" s="564" t="s">
        <v>861</v>
      </c>
      <c r="P46" s="379"/>
      <c r="Q46" s="379"/>
      <c r="R46" s="379"/>
      <c r="S46" s="379"/>
      <c r="T46" s="379"/>
      <c r="U46" s="379"/>
    </row>
    <row r="47" spans="1:21" ht="25.5">
      <c r="A47" s="571" t="s">
        <v>599</v>
      </c>
      <c r="B47" s="571" t="s">
        <v>368</v>
      </c>
      <c r="C47" s="571" t="s">
        <v>369</v>
      </c>
      <c r="D47" s="571">
        <v>90</v>
      </c>
      <c r="E47" s="571">
        <v>1</v>
      </c>
      <c r="F47" s="571">
        <v>0</v>
      </c>
      <c r="G47" s="571" t="s">
        <v>598</v>
      </c>
      <c r="H47" s="571">
        <v>16000</v>
      </c>
      <c r="I47" s="569">
        <f>H47*(D47+F47)*E47+50000</f>
        <v>1490000</v>
      </c>
      <c r="J47" s="571" t="s">
        <v>96</v>
      </c>
      <c r="K47" s="570" t="s">
        <v>828</v>
      </c>
      <c r="L47" s="571" t="s">
        <v>791</v>
      </c>
      <c r="P47" s="379"/>
      <c r="Q47" s="379"/>
      <c r="R47" s="379"/>
      <c r="S47" s="379"/>
      <c r="T47" s="379"/>
      <c r="U47" s="379"/>
    </row>
    <row r="48" spans="1:21" s="379" customFormat="1" ht="25.5">
      <c r="A48" s="571" t="s">
        <v>600</v>
      </c>
      <c r="B48" s="571" t="s">
        <v>368</v>
      </c>
      <c r="C48" s="571" t="s">
        <v>369</v>
      </c>
      <c r="D48" s="571">
        <v>90</v>
      </c>
      <c r="E48" s="571">
        <v>1</v>
      </c>
      <c r="F48" s="571">
        <v>0</v>
      </c>
      <c r="G48" s="571" t="s">
        <v>598</v>
      </c>
      <c r="H48" s="571">
        <f>8000/15*13</f>
        <v>6933.333333333334</v>
      </c>
      <c r="I48" s="569">
        <f>H48*(D48+F48)*E48</f>
        <v>624000</v>
      </c>
      <c r="J48" s="571" t="s">
        <v>96</v>
      </c>
      <c r="K48" s="570" t="s">
        <v>828</v>
      </c>
      <c r="L48" s="571" t="s">
        <v>792</v>
      </c>
      <c r="P48" s="302"/>
      <c r="Q48" s="302"/>
      <c r="R48" s="302"/>
      <c r="S48" s="302"/>
      <c r="T48" s="302"/>
      <c r="U48" s="302"/>
    </row>
    <row r="49" spans="1:12" s="379" customFormat="1" ht="25.5">
      <c r="A49" s="564" t="s">
        <v>657</v>
      </c>
      <c r="B49" s="564" t="s">
        <v>368</v>
      </c>
      <c r="C49" s="564" t="s">
        <v>369</v>
      </c>
      <c r="D49" s="564">
        <v>90</v>
      </c>
      <c r="E49" s="564">
        <v>1</v>
      </c>
      <c r="F49" s="564">
        <v>0</v>
      </c>
      <c r="G49" s="564" t="s">
        <v>598</v>
      </c>
      <c r="H49" s="564">
        <v>2200</v>
      </c>
      <c r="I49" s="568">
        <f>H49*(D49+F49)*E49</f>
        <v>198000</v>
      </c>
      <c r="J49" s="564" t="s">
        <v>96</v>
      </c>
      <c r="K49" s="570" t="s">
        <v>828</v>
      </c>
      <c r="L49" s="564" t="s">
        <v>793</v>
      </c>
    </row>
    <row r="50" spans="1:21" s="302" customFormat="1" ht="12.75">
      <c r="A50" s="571" t="s">
        <v>658</v>
      </c>
      <c r="B50" s="571" t="s">
        <v>368</v>
      </c>
      <c r="C50" s="571" t="s">
        <v>369</v>
      </c>
      <c r="D50" s="571">
        <v>90</v>
      </c>
      <c r="E50" s="571">
        <v>3</v>
      </c>
      <c r="F50" s="571">
        <v>0</v>
      </c>
      <c r="G50" s="571" t="s">
        <v>397</v>
      </c>
      <c r="H50" s="571">
        <v>3500</v>
      </c>
      <c r="I50" s="569">
        <f>H50*(D50+F50)*E50</f>
        <v>945000</v>
      </c>
      <c r="J50" s="571" t="s">
        <v>96</v>
      </c>
      <c r="K50" s="570" t="s">
        <v>828</v>
      </c>
      <c r="L50" s="571" t="s">
        <v>708</v>
      </c>
      <c r="P50" s="379"/>
      <c r="Q50" s="379"/>
      <c r="R50" s="379"/>
      <c r="S50" s="379"/>
      <c r="T50" s="379"/>
      <c r="U50" s="379"/>
    </row>
    <row r="51" spans="1:21" s="379" customFormat="1" ht="12.75">
      <c r="A51" s="571" t="s">
        <v>659</v>
      </c>
      <c r="B51" s="571" t="s">
        <v>368</v>
      </c>
      <c r="C51" s="571" t="s">
        <v>369</v>
      </c>
      <c r="D51" s="571">
        <v>90</v>
      </c>
      <c r="E51" s="571">
        <v>1</v>
      </c>
      <c r="F51" s="571">
        <v>0</v>
      </c>
      <c r="G51" s="571" t="s">
        <v>707</v>
      </c>
      <c r="H51" s="571">
        <f>150*14</f>
        <v>2100</v>
      </c>
      <c r="I51" s="569">
        <f>H51*(D51+F51)*E51</f>
        <v>189000</v>
      </c>
      <c r="J51" s="571" t="s">
        <v>96</v>
      </c>
      <c r="K51" s="570" t="s">
        <v>828</v>
      </c>
      <c r="L51" s="571" t="s">
        <v>365</v>
      </c>
      <c r="P51" s="302"/>
      <c r="Q51" s="302"/>
      <c r="R51" s="302"/>
      <c r="S51" s="302"/>
      <c r="T51" s="302"/>
      <c r="U51" s="302"/>
    </row>
    <row r="52" spans="1:12" ht="12.75">
      <c r="A52" s="564" t="s">
        <v>702</v>
      </c>
      <c r="B52" s="564" t="s">
        <v>369</v>
      </c>
      <c r="C52" s="564" t="s">
        <v>369</v>
      </c>
      <c r="D52" s="562">
        <v>90</v>
      </c>
      <c r="E52" s="562">
        <v>1</v>
      </c>
      <c r="F52" s="562">
        <v>0</v>
      </c>
      <c r="G52" s="564" t="s">
        <v>703</v>
      </c>
      <c r="H52" s="562">
        <f>(2500+7000+2000+5000+1000+3000+2000)*(0.3+0.3*1.2+0.4*1.3)*0.7</f>
        <v>18585</v>
      </c>
      <c r="I52" s="569">
        <f>H52*(F52+D52)</f>
        <v>1672650</v>
      </c>
      <c r="J52" s="562" t="s">
        <v>96</v>
      </c>
      <c r="K52" s="564" t="s">
        <v>862</v>
      </c>
      <c r="L52" s="562" t="s">
        <v>709</v>
      </c>
    </row>
    <row r="53" spans="1:12" ht="12.75">
      <c r="A53" s="304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</row>
    <row r="54" spans="1:12" ht="12.75">
      <c r="A54" s="304"/>
      <c r="B54" s="305"/>
      <c r="C54" s="297"/>
      <c r="D54" s="300"/>
      <c r="E54" s="305"/>
      <c r="F54" s="305"/>
      <c r="G54" s="305"/>
      <c r="H54" s="305"/>
      <c r="I54" s="305"/>
      <c r="J54" s="305"/>
      <c r="K54" s="305"/>
      <c r="L54" s="305"/>
    </row>
    <row r="55" spans="1:12" ht="12.75">
      <c r="A55" s="304"/>
      <c r="B55" s="305"/>
      <c r="C55" s="297"/>
      <c r="D55" s="300"/>
      <c r="E55" s="305"/>
      <c r="F55" s="305"/>
      <c r="G55" s="305"/>
      <c r="H55" s="305"/>
      <c r="I55" s="305">
        <f>SUM(I25:I52)</f>
        <v>26021547.14285714</v>
      </c>
      <c r="J55" s="305">
        <f>I55/1000000</f>
        <v>26.02154714285714</v>
      </c>
      <c r="K55" s="305"/>
      <c r="L55" s="305"/>
    </row>
    <row r="56" spans="1:12" ht="12.75">
      <c r="A56" s="304"/>
      <c r="B56" s="305"/>
      <c r="C56" s="297"/>
      <c r="D56" s="300"/>
      <c r="E56" s="305"/>
      <c r="F56" s="305"/>
      <c r="G56" s="305"/>
      <c r="H56" s="305"/>
      <c r="I56" s="305"/>
      <c r="J56" s="305"/>
      <c r="K56" s="305"/>
      <c r="L56" s="305"/>
    </row>
    <row r="57" spans="1:12" ht="12.75">
      <c r="A57" s="304"/>
      <c r="B57" s="305"/>
      <c r="C57" s="307"/>
      <c r="D57" s="308"/>
      <c r="E57" s="305"/>
      <c r="F57" s="305"/>
      <c r="G57" s="305"/>
      <c r="H57" s="305"/>
      <c r="I57" s="305"/>
      <c r="J57" s="305"/>
      <c r="K57" s="305"/>
      <c r="L57" s="305"/>
    </row>
    <row r="58" spans="1:12" ht="12.75">
      <c r="A58" s="304"/>
      <c r="B58" s="305"/>
      <c r="C58" s="305"/>
      <c r="D58" s="306"/>
      <c r="E58" s="305"/>
      <c r="F58" s="305"/>
      <c r="G58" s="305"/>
      <c r="H58" s="305"/>
      <c r="I58" s="305"/>
      <c r="J58" s="305"/>
      <c r="K58" s="305"/>
      <c r="L58" s="305"/>
    </row>
    <row r="59" spans="1:21" ht="12.75">
      <c r="A59" s="302"/>
      <c r="P59" s="297"/>
      <c r="Q59" s="297"/>
      <c r="R59" s="297"/>
      <c r="S59" s="297"/>
      <c r="T59" s="297"/>
      <c r="U59" s="297"/>
    </row>
    <row r="60" spans="1:21" ht="12.75">
      <c r="A60" s="299" t="s">
        <v>370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P60" s="297"/>
      <c r="Q60" s="297"/>
      <c r="R60" s="297"/>
      <c r="S60" s="297"/>
      <c r="T60" s="297"/>
      <c r="U60" s="297"/>
    </row>
    <row r="61" spans="1:25" ht="76.5">
      <c r="A61" s="297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 t="s">
        <v>387</v>
      </c>
      <c r="Q61" s="297" t="s">
        <v>388</v>
      </c>
      <c r="R61" s="297" t="s">
        <v>382</v>
      </c>
      <c r="S61" s="297" t="s">
        <v>384</v>
      </c>
      <c r="T61" s="297" t="s">
        <v>385</v>
      </c>
      <c r="U61" s="297" t="s">
        <v>389</v>
      </c>
      <c r="V61" s="297"/>
      <c r="W61" s="297"/>
      <c r="X61" s="297"/>
      <c r="Y61" s="297"/>
    </row>
    <row r="62" spans="1:25" ht="25.5">
      <c r="A62" s="297"/>
      <c r="B62" s="299" t="s">
        <v>371</v>
      </c>
      <c r="C62" s="299" t="s">
        <v>372</v>
      </c>
      <c r="D62" s="299" t="s">
        <v>374</v>
      </c>
      <c r="E62" s="299" t="s">
        <v>375</v>
      </c>
      <c r="F62" s="299" t="s">
        <v>376</v>
      </c>
      <c r="G62" s="299" t="s">
        <v>377</v>
      </c>
      <c r="H62" s="299"/>
      <c r="I62" s="299" t="s">
        <v>44</v>
      </c>
      <c r="J62" s="299" t="s">
        <v>381</v>
      </c>
      <c r="K62" s="299" t="s">
        <v>378</v>
      </c>
      <c r="L62" s="299" t="s">
        <v>45</v>
      </c>
      <c r="M62" s="297"/>
      <c r="N62" s="297"/>
      <c r="O62" s="297"/>
      <c r="P62" s="297">
        <f>SUM(M64*N64,M65*N65,M69*N69,M70*N70)</f>
        <v>15.073632</v>
      </c>
      <c r="Q62" s="297">
        <f>SUM(N66*M66,N71*M71)</f>
        <v>8.408600378181818</v>
      </c>
      <c r="R62" s="297">
        <v>1</v>
      </c>
      <c r="S62" s="297">
        <f>P62*R62</f>
        <v>15.073632</v>
      </c>
      <c r="T62" s="297">
        <f>Q62*R62</f>
        <v>8.408600378181818</v>
      </c>
      <c r="U62" s="300">
        <f>9000*1.1*2</f>
        <v>19800</v>
      </c>
      <c r="V62" s="297"/>
      <c r="W62" s="297"/>
      <c r="X62" s="297"/>
      <c r="Y62" s="297"/>
    </row>
    <row r="63" spans="1:25" ht="63.75">
      <c r="A63" s="299" t="s">
        <v>373</v>
      </c>
      <c r="B63" s="297">
        <v>15.1</v>
      </c>
      <c r="C63" s="299">
        <f>(1.736+2.064)/2</f>
        <v>1.9</v>
      </c>
      <c r="D63" s="297">
        <f>(B63+C63)*2</f>
        <v>34</v>
      </c>
      <c r="E63" s="297">
        <f>D63*1000</f>
        <v>34000</v>
      </c>
      <c r="F63" s="297">
        <v>0.05</v>
      </c>
      <c r="G63" s="297">
        <f>(F63*E63)/10^6</f>
        <v>0.0017</v>
      </c>
      <c r="H63" s="297"/>
      <c r="I63" s="297">
        <v>1.4</v>
      </c>
      <c r="J63" s="297">
        <f>I63*G63</f>
        <v>0.0023799999999999997</v>
      </c>
      <c r="K63" s="297">
        <v>1</v>
      </c>
      <c r="L63" s="297">
        <v>1340</v>
      </c>
      <c r="M63" s="297"/>
      <c r="N63" s="297" t="s">
        <v>383</v>
      </c>
      <c r="O63" s="297"/>
      <c r="P63" s="297"/>
      <c r="Q63" s="297"/>
      <c r="R63" s="297"/>
      <c r="S63" s="297"/>
      <c r="T63" s="297"/>
      <c r="U63" s="297"/>
      <c r="V63" s="297" t="s">
        <v>386</v>
      </c>
      <c r="W63" s="299" t="s">
        <v>568</v>
      </c>
      <c r="X63" s="299" t="s">
        <v>569</v>
      </c>
      <c r="Y63" s="297"/>
    </row>
    <row r="64" spans="1:25" ht="12.75">
      <c r="A64" s="299" t="s">
        <v>379</v>
      </c>
      <c r="B64" s="297">
        <f>B63+0.05*2</f>
        <v>15.2</v>
      </c>
      <c r="C64" s="297">
        <f>C63+0.05*2</f>
        <v>2</v>
      </c>
      <c r="D64" s="297">
        <f>(B64+C64)*2</f>
        <v>34.4</v>
      </c>
      <c r="E64" s="297">
        <f>D64*1000</f>
        <v>34400</v>
      </c>
      <c r="F64" s="297">
        <v>0.05</v>
      </c>
      <c r="G64" s="297">
        <f>(F64*E64)/10^6</f>
        <v>0.00172</v>
      </c>
      <c r="H64" s="297"/>
      <c r="I64" s="297">
        <v>1.4</v>
      </c>
      <c r="J64" s="297">
        <f>I64*G64</f>
        <v>0.002408</v>
      </c>
      <c r="K64" s="297">
        <v>1</v>
      </c>
      <c r="L64" s="297">
        <v>1340</v>
      </c>
      <c r="M64" s="297">
        <f>L63*K63*J63*2</f>
        <v>6.378399999999999</v>
      </c>
      <c r="N64" s="297">
        <v>1</v>
      </c>
      <c r="O64" s="297"/>
      <c r="P64" s="297"/>
      <c r="Q64" s="297"/>
      <c r="R64" s="297"/>
      <c r="S64" s="297"/>
      <c r="T64" s="297"/>
      <c r="U64" s="297"/>
      <c r="V64" s="300">
        <f>3224591/106*1.1*2</f>
        <v>66925.47358490566</v>
      </c>
      <c r="W64" s="300">
        <f>U62*S62/100</f>
        <v>2984.579136</v>
      </c>
      <c r="X64" s="300">
        <f>V64*T62/100</f>
        <v>5627.49562496035</v>
      </c>
      <c r="Y64" s="300">
        <f>X64+W64</f>
        <v>8612.07476096035</v>
      </c>
    </row>
    <row r="65" spans="1:25" ht="51">
      <c r="A65" s="299" t="s">
        <v>380</v>
      </c>
      <c r="B65" s="297">
        <f>B64+0.05*2</f>
        <v>15.299999999999999</v>
      </c>
      <c r="C65" s="297">
        <f>C64+0.05*2</f>
        <v>2.1</v>
      </c>
      <c r="D65" s="297">
        <f>(B65+C65)*2</f>
        <v>34.8</v>
      </c>
      <c r="E65" s="297">
        <f>D65*1000/11*9</f>
        <v>28472.727272727272</v>
      </c>
      <c r="F65" s="297">
        <v>0.067</v>
      </c>
      <c r="G65" s="297">
        <f>(F65*E65)/10^6</f>
        <v>0.0019076727272727273</v>
      </c>
      <c r="H65" s="297"/>
      <c r="I65" s="297">
        <v>1.4</v>
      </c>
      <c r="J65" s="297">
        <f>I65*G65</f>
        <v>0.002670741818181818</v>
      </c>
      <c r="K65" s="297">
        <v>1</v>
      </c>
      <c r="L65" s="297">
        <v>1340</v>
      </c>
      <c r="M65" s="297">
        <f>L64*K64*J64*2</f>
        <v>6.45344</v>
      </c>
      <c r="N65" s="297">
        <v>1</v>
      </c>
      <c r="O65" s="297"/>
      <c r="P65" s="297"/>
      <c r="Q65" s="297"/>
      <c r="R65" s="297"/>
      <c r="S65" s="297" t="s">
        <v>570</v>
      </c>
      <c r="T65" s="297" t="s">
        <v>571</v>
      </c>
      <c r="U65" s="297"/>
      <c r="V65" s="297"/>
      <c r="W65" s="297"/>
      <c r="X65" s="297"/>
      <c r="Y65" s="297"/>
    </row>
    <row r="66" spans="1:25" ht="12.75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>
        <f>L65*K65*J65*2</f>
        <v>7.157588072727273</v>
      </c>
      <c r="N66" s="297">
        <v>1</v>
      </c>
      <c r="O66" s="297"/>
      <c r="P66" s="297"/>
      <c r="Q66" s="297"/>
      <c r="R66" s="297"/>
      <c r="S66" s="297">
        <f>S62*4*20</f>
        <v>1205.89056</v>
      </c>
      <c r="T66" s="297">
        <f>T62*4*20</f>
        <v>672.6880302545454</v>
      </c>
      <c r="U66" s="297"/>
      <c r="V66" s="297"/>
      <c r="W66" s="297"/>
      <c r="X66" s="297"/>
      <c r="Y66" s="297"/>
    </row>
    <row r="67" spans="1:25" ht="12.75">
      <c r="A67" s="297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</row>
    <row r="68" spans="1:25" ht="25.5">
      <c r="A68" s="299" t="s">
        <v>373</v>
      </c>
      <c r="B68" s="297">
        <v>15.1</v>
      </c>
      <c r="C68" s="299">
        <f>(1.598+1.362)/2</f>
        <v>1.48</v>
      </c>
      <c r="D68" s="297">
        <f>(B68+C68)*2</f>
        <v>33.16</v>
      </c>
      <c r="E68" s="297">
        <f>D68*1000</f>
        <v>33160</v>
      </c>
      <c r="F68" s="297">
        <v>0.05</v>
      </c>
      <c r="G68" s="297">
        <f>(F68*E68)/10^6</f>
        <v>0.001658</v>
      </c>
      <c r="H68" s="297"/>
      <c r="I68" s="297">
        <v>1.4</v>
      </c>
      <c r="J68" s="297">
        <f>I68*G68</f>
        <v>0.0023212</v>
      </c>
      <c r="K68" s="297">
        <v>24</v>
      </c>
      <c r="L68" s="297">
        <v>10</v>
      </c>
      <c r="M68" s="297"/>
      <c r="N68" s="297"/>
      <c r="O68" s="297"/>
      <c r="P68" s="297"/>
      <c r="Q68" s="297"/>
      <c r="R68" s="297" t="s">
        <v>572</v>
      </c>
      <c r="S68" s="297">
        <v>144</v>
      </c>
      <c r="T68" s="297">
        <v>139</v>
      </c>
      <c r="U68" s="297"/>
      <c r="V68" s="297"/>
      <c r="W68" s="297"/>
      <c r="X68" s="297"/>
      <c r="Y68" s="297"/>
    </row>
    <row r="69" spans="1:25" ht="12.75">
      <c r="A69" s="299" t="s">
        <v>379</v>
      </c>
      <c r="B69" s="297">
        <f>B68+0.05*2</f>
        <v>15.2</v>
      </c>
      <c r="C69" s="297">
        <f>C68+0.05*2</f>
        <v>1.58</v>
      </c>
      <c r="D69" s="297">
        <f>(B69+C69)*2</f>
        <v>33.56</v>
      </c>
      <c r="E69" s="297">
        <f>D69*1000</f>
        <v>33560</v>
      </c>
      <c r="F69" s="297">
        <v>0.05</v>
      </c>
      <c r="G69" s="297">
        <f>(F69*E69)/10^6</f>
        <v>0.001678</v>
      </c>
      <c r="H69" s="297"/>
      <c r="I69" s="297">
        <v>1.4</v>
      </c>
      <c r="J69" s="297">
        <f>I69*G69</f>
        <v>0.0023492</v>
      </c>
      <c r="K69" s="297">
        <v>24</v>
      </c>
      <c r="L69" s="297">
        <v>10</v>
      </c>
      <c r="M69" s="297">
        <f>L68*K68*J68*2</f>
        <v>1.1141759999999998</v>
      </c>
      <c r="N69" s="297">
        <v>1</v>
      </c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</row>
    <row r="70" spans="1:25" ht="12.75">
      <c r="A70" s="299" t="s">
        <v>380</v>
      </c>
      <c r="B70" s="297">
        <f>B69+0.05*2</f>
        <v>15.299999999999999</v>
      </c>
      <c r="C70" s="297">
        <f>C69+0.05*2</f>
        <v>1.6800000000000002</v>
      </c>
      <c r="D70" s="297">
        <f>(B70+C70)*2</f>
        <v>33.96</v>
      </c>
      <c r="E70" s="297">
        <f>D70*1000/11*9</f>
        <v>27785.454545454548</v>
      </c>
      <c r="F70" s="297">
        <v>0.067</v>
      </c>
      <c r="G70" s="297">
        <f>(F70*E70)/10^6</f>
        <v>0.0018616254545454549</v>
      </c>
      <c r="H70" s="297"/>
      <c r="I70" s="297">
        <v>1.4</v>
      </c>
      <c r="J70" s="297">
        <f>I70*G70</f>
        <v>0.0026062756363636366</v>
      </c>
      <c r="K70" s="297">
        <v>24</v>
      </c>
      <c r="L70" s="297">
        <v>10</v>
      </c>
      <c r="M70" s="297">
        <f>L69*K69*J69*2</f>
        <v>1.127616</v>
      </c>
      <c r="N70" s="297">
        <v>1</v>
      </c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</row>
    <row r="71" spans="1:25" ht="12.75">
      <c r="A71" s="297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>
        <f>L70*K70*J70*2</f>
        <v>1.2510123054545457</v>
      </c>
      <c r="N71" s="297">
        <v>1</v>
      </c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</row>
    <row r="72" spans="1:25" ht="12.75">
      <c r="A72" s="297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V72" s="297"/>
      <c r="W72" s="297"/>
      <c r="X72" s="297"/>
      <c r="Y72" s="297"/>
    </row>
    <row r="73" spans="13:25" ht="12.75">
      <c r="M73" s="297">
        <f>SUM(M64:M65,M69:M70)*4</f>
        <v>60.294528</v>
      </c>
      <c r="N73" s="297"/>
      <c r="O73" s="297"/>
      <c r="V73" s="297"/>
      <c r="W73" s="297"/>
      <c r="X73" s="297"/>
      <c r="Y73" s="297"/>
    </row>
    <row r="74" ht="12.75">
      <c r="M74" s="298">
        <f>SUM(M66+M71)*4</f>
        <v>33.63440151272727</v>
      </c>
    </row>
    <row r="75" spans="1:11" ht="12.75">
      <c r="A75" s="297" t="s">
        <v>54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</row>
    <row r="76" spans="1:11" ht="12.75">
      <c r="A76" s="297"/>
      <c r="B76" s="297"/>
      <c r="C76" s="297"/>
      <c r="D76" s="297"/>
      <c r="E76" s="297"/>
      <c r="F76" s="297"/>
      <c r="G76" s="297"/>
      <c r="H76" s="297"/>
      <c r="I76" s="297"/>
      <c r="J76" s="297"/>
      <c r="K76" s="297"/>
    </row>
    <row r="77" spans="1:11" ht="51">
      <c r="A77" s="297" t="s">
        <v>588</v>
      </c>
      <c r="B77" s="297" t="s">
        <v>45</v>
      </c>
      <c r="C77" s="297" t="s">
        <v>589</v>
      </c>
      <c r="D77" s="297" t="s">
        <v>590</v>
      </c>
      <c r="E77" s="297" t="s">
        <v>591</v>
      </c>
      <c r="F77" s="297" t="s">
        <v>592</v>
      </c>
      <c r="G77" s="297" t="s">
        <v>593</v>
      </c>
      <c r="H77" s="299" t="s">
        <v>594</v>
      </c>
      <c r="I77" s="299" t="s">
        <v>595</v>
      </c>
      <c r="J77" s="299" t="s">
        <v>596</v>
      </c>
      <c r="K77" s="299" t="s">
        <v>597</v>
      </c>
    </row>
    <row r="78" spans="1:11" ht="12.75">
      <c r="A78" s="303">
        <v>15</v>
      </c>
      <c r="B78" s="303">
        <v>15</v>
      </c>
      <c r="C78" s="303">
        <f>A78/B78/2</f>
        <v>0.5</v>
      </c>
      <c r="D78" s="303">
        <f>56+15.4*4</f>
        <v>117.6</v>
      </c>
      <c r="E78" s="303">
        <f>135+15.4*4</f>
        <v>196.6</v>
      </c>
      <c r="F78" s="303">
        <f>E78/D78</f>
        <v>1.6717687074829932</v>
      </c>
      <c r="G78" s="303">
        <f>F78*C78</f>
        <v>0.8358843537414966</v>
      </c>
      <c r="H78" s="297">
        <f>G78*10</f>
        <v>8.358843537414966</v>
      </c>
      <c r="I78" s="297">
        <f>H78*20</f>
        <v>167.17687074829934</v>
      </c>
      <c r="J78" s="297">
        <f>1031838/100/106*1.1*2</f>
        <v>214.15505660377357</v>
      </c>
      <c r="K78" s="297">
        <f>J78*I78</f>
        <v>35801.772217943784</v>
      </c>
    </row>
    <row r="79" spans="1:11" ht="12.75">
      <c r="A79" s="297"/>
      <c r="B79" s="297"/>
      <c r="C79" s="297"/>
      <c r="D79" s="297"/>
      <c r="E79" s="297"/>
      <c r="F79" s="297"/>
      <c r="G79" s="297"/>
      <c r="H79" s="297"/>
      <c r="I79" s="297">
        <f>I78/20</f>
        <v>8.358843537414966</v>
      </c>
      <c r="J79" s="297">
        <f>I79*J78</f>
        <v>1790.088610897189</v>
      </c>
      <c r="K79" s="297"/>
    </row>
    <row r="89" spans="1:7" ht="25.5">
      <c r="A89" s="298" t="s">
        <v>599</v>
      </c>
      <c r="B89" s="298" t="s">
        <v>543</v>
      </c>
      <c r="C89" s="298" t="s">
        <v>794</v>
      </c>
      <c r="D89" s="298" t="s">
        <v>795</v>
      </c>
      <c r="E89" s="302" t="s">
        <v>796</v>
      </c>
      <c r="G89" s="302" t="s">
        <v>797</v>
      </c>
    </row>
    <row r="90" spans="1:7" ht="12.75">
      <c r="A90" s="298" t="s">
        <v>798</v>
      </c>
      <c r="B90" s="298">
        <v>170</v>
      </c>
      <c r="C90" s="298">
        <f>B90/8/5/46*110000</f>
        <v>10163.043478260868</v>
      </c>
      <c r="D90" s="378">
        <f>C90</f>
        <v>10163.043478260868</v>
      </c>
      <c r="E90" s="378">
        <f>D90</f>
        <v>10163.043478260868</v>
      </c>
      <c r="G90" s="378">
        <f>SUM(E90:E97)</f>
        <v>15959.710144927536</v>
      </c>
    </row>
    <row r="91" spans="1:5" ht="12.75">
      <c r="A91" s="298" t="s">
        <v>562</v>
      </c>
      <c r="C91" s="298">
        <v>900</v>
      </c>
      <c r="D91" s="298">
        <f>C91/15*10</f>
        <v>600</v>
      </c>
      <c r="E91" s="298">
        <f>D91*2</f>
        <v>1200</v>
      </c>
    </row>
    <row r="92" spans="1:5" ht="12.75">
      <c r="A92" s="298" t="s">
        <v>799</v>
      </c>
      <c r="C92" s="298">
        <v>800</v>
      </c>
      <c r="D92" s="298">
        <f>C92/15*10</f>
        <v>533.3333333333334</v>
      </c>
      <c r="E92" s="298">
        <f>D92*1.3</f>
        <v>693.3333333333334</v>
      </c>
    </row>
    <row r="93" spans="1:5" ht="12.75">
      <c r="A93" s="298" t="s">
        <v>800</v>
      </c>
      <c r="C93" s="298">
        <v>150</v>
      </c>
      <c r="D93" s="298">
        <f>C93/15*10</f>
        <v>100</v>
      </c>
      <c r="E93" s="298">
        <f>D93*1.3</f>
        <v>130</v>
      </c>
    </row>
    <row r="94" spans="1:5" ht="12.75">
      <c r="A94" s="298" t="s">
        <v>801</v>
      </c>
      <c r="C94" s="298">
        <v>20</v>
      </c>
      <c r="D94" s="298">
        <f>C94</f>
        <v>20</v>
      </c>
      <c r="E94" s="298">
        <f>D94*2</f>
        <v>40</v>
      </c>
    </row>
    <row r="95" spans="1:5" ht="12.75">
      <c r="A95" s="298" t="s">
        <v>802</v>
      </c>
      <c r="C95" s="298">
        <v>100</v>
      </c>
      <c r="D95" s="298">
        <f>C95/15*10</f>
        <v>66.66666666666667</v>
      </c>
      <c r="E95" s="298">
        <f>D95*2</f>
        <v>133.33333333333334</v>
      </c>
    </row>
    <row r="96" spans="1:5" ht="12.75">
      <c r="A96" s="298" t="s">
        <v>803</v>
      </c>
      <c r="C96" s="298">
        <v>2200</v>
      </c>
      <c r="D96" s="298">
        <f>C96/15*10</f>
        <v>1466.6666666666665</v>
      </c>
      <c r="E96" s="298">
        <f>D96*1.5</f>
        <v>2200</v>
      </c>
    </row>
    <row r="97" spans="1:5" ht="12.75">
      <c r="A97" s="298" t="s">
        <v>804</v>
      </c>
      <c r="C97" s="298">
        <v>700</v>
      </c>
      <c r="D97" s="298">
        <f>C97</f>
        <v>700</v>
      </c>
      <c r="E97" s="298">
        <f>D97*2</f>
        <v>1400</v>
      </c>
    </row>
    <row r="100" ht="12.75">
      <c r="A100" s="302" t="s">
        <v>805</v>
      </c>
    </row>
    <row r="101" ht="25.5">
      <c r="B101" s="302" t="s">
        <v>806</v>
      </c>
    </row>
    <row r="102" spans="1:2" ht="12.75">
      <c r="A102" s="302" t="s">
        <v>562</v>
      </c>
      <c r="B102" s="298">
        <f>154*7500*1.2/1000</f>
        <v>1386</v>
      </c>
    </row>
    <row r="103" spans="1:2" ht="12.75">
      <c r="A103" s="302" t="s">
        <v>807</v>
      </c>
      <c r="B103" s="298">
        <f>150000/8/3/6*10*4*4/16</f>
        <v>10416.666666666668</v>
      </c>
    </row>
    <row r="104" spans="1:2" ht="12.75">
      <c r="A104" s="302" t="s">
        <v>808</v>
      </c>
      <c r="B104" s="298">
        <v>10000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31">
      <selection activeCell="A25" sqref="A25"/>
    </sheetView>
  </sheetViews>
  <sheetFormatPr defaultColWidth="9.140625" defaultRowHeight="12.75"/>
  <cols>
    <col min="1" max="1" width="34.421875" style="0" bestFit="1" customWidth="1"/>
    <col min="2" max="2" width="16.140625" style="0" bestFit="1" customWidth="1"/>
    <col min="3" max="3" width="15.8515625" style="0" bestFit="1" customWidth="1"/>
    <col min="5" max="5" width="17.421875" style="0" bestFit="1" customWidth="1"/>
    <col min="6" max="6" width="19.28125" style="0" bestFit="1" customWidth="1"/>
    <col min="7" max="7" width="30.00390625" style="0" bestFit="1" customWidth="1"/>
    <col min="8" max="8" width="20.57421875" style="0" bestFit="1" customWidth="1"/>
  </cols>
  <sheetData>
    <row r="1" spans="1:7" ht="12.75">
      <c r="A1" s="31" t="s">
        <v>47</v>
      </c>
      <c r="B1" s="31"/>
      <c r="C1" s="31"/>
      <c r="D1" s="31"/>
      <c r="E1" s="31"/>
      <c r="F1" s="31"/>
      <c r="G1" s="31"/>
    </row>
    <row r="2" spans="1:7" ht="12.75">
      <c r="A2" s="31" t="s">
        <v>38</v>
      </c>
      <c r="B2" s="31" t="s">
        <v>39</v>
      </c>
      <c r="C2" s="31" t="s">
        <v>40</v>
      </c>
      <c r="D2" s="31" t="s">
        <v>41</v>
      </c>
      <c r="E2" s="31" t="s">
        <v>42</v>
      </c>
      <c r="F2" s="31" t="s">
        <v>44</v>
      </c>
      <c r="G2" s="31" t="s">
        <v>43</v>
      </c>
    </row>
    <row r="3" spans="1:7" ht="12.75">
      <c r="A3" s="31">
        <v>270</v>
      </c>
      <c r="B3" s="31">
        <f>(A3)^2*3.14159/2</f>
        <v>114510.9555</v>
      </c>
      <c r="C3" s="31">
        <f>(A3*2+2)*(A3+2)</f>
        <v>147424</v>
      </c>
      <c r="D3" s="31">
        <v>5.8</v>
      </c>
      <c r="E3" s="31">
        <f>C3*D3/1000000</f>
        <v>0.8550591999999999</v>
      </c>
      <c r="F3" s="220">
        <v>7.9</v>
      </c>
      <c r="G3" s="31">
        <f>F3*E3</f>
        <v>6.754967679999999</v>
      </c>
    </row>
    <row r="4" spans="1:7" ht="12.75">
      <c r="A4" s="31"/>
      <c r="B4" s="31"/>
      <c r="C4" s="31"/>
      <c r="D4" s="31"/>
      <c r="E4" s="31"/>
      <c r="F4" s="220"/>
      <c r="G4" s="31"/>
    </row>
    <row r="5" spans="1:7" ht="12.75">
      <c r="A5" s="31" t="s">
        <v>45</v>
      </c>
      <c r="B5" s="31" t="s">
        <v>46</v>
      </c>
      <c r="C5" s="31" t="s">
        <v>574</v>
      </c>
      <c r="D5" s="31"/>
      <c r="E5" s="31"/>
      <c r="F5" s="220"/>
      <c r="G5" s="31"/>
    </row>
    <row r="6" spans="1:7" ht="12.75">
      <c r="A6" s="31">
        <v>10000</v>
      </c>
      <c r="B6" s="31">
        <f>A6/D3*G3*2</f>
        <v>23292.992</v>
      </c>
      <c r="C6" s="31">
        <f>B6*16/1000</f>
        <v>372.68787199999997</v>
      </c>
      <c r="D6" s="31"/>
      <c r="E6" s="31"/>
      <c r="F6" s="220"/>
      <c r="G6" s="31"/>
    </row>
    <row r="7" spans="1:7" ht="12.75">
      <c r="A7" s="31"/>
      <c r="B7" s="31"/>
      <c r="C7" s="31"/>
      <c r="D7" s="31"/>
      <c r="E7" s="31"/>
      <c r="F7" s="220"/>
      <c r="G7" s="31"/>
    </row>
    <row r="8" spans="1:7" ht="12.75">
      <c r="A8" s="31" t="s">
        <v>48</v>
      </c>
      <c r="B8" s="31"/>
      <c r="C8" s="31"/>
      <c r="D8" s="31"/>
      <c r="E8" s="31"/>
      <c r="F8" s="220"/>
      <c r="G8" s="31"/>
    </row>
    <row r="9" spans="1:7" ht="12.75">
      <c r="A9" s="31" t="s">
        <v>38</v>
      </c>
      <c r="B9" s="31" t="s">
        <v>39</v>
      </c>
      <c r="C9" s="31" t="s">
        <v>40</v>
      </c>
      <c r="D9" s="31" t="s">
        <v>41</v>
      </c>
      <c r="E9" s="31" t="s">
        <v>42</v>
      </c>
      <c r="F9" s="220" t="s">
        <v>44</v>
      </c>
      <c r="G9" s="31" t="s">
        <v>43</v>
      </c>
    </row>
    <row r="10" spans="1:7" ht="12.75">
      <c r="A10" s="31">
        <f>(130/2+15.4+15.4+0.5+1+40)</f>
        <v>137.3</v>
      </c>
      <c r="B10" s="31">
        <f>(A10)^2*3.14159/2</f>
        <v>29611.512075550007</v>
      </c>
      <c r="C10" s="31">
        <f>(A10*2+2)*(A10+2)</f>
        <v>38530.380000000005</v>
      </c>
      <c r="D10" s="31">
        <v>3</v>
      </c>
      <c r="E10" s="31">
        <f>C10*D10/(1000000)</f>
        <v>0.11559114000000001</v>
      </c>
      <c r="F10" s="220">
        <v>7.5</v>
      </c>
      <c r="G10" s="220">
        <f>F10*E10</f>
        <v>0.86693355</v>
      </c>
    </row>
    <row r="11" spans="1:7" ht="12.75">
      <c r="A11" s="31"/>
      <c r="B11" s="31"/>
      <c r="C11" s="31"/>
      <c r="D11" s="31"/>
      <c r="E11" s="31"/>
      <c r="F11" s="220"/>
      <c r="G11" s="31"/>
    </row>
    <row r="12" spans="1:7" ht="12.75">
      <c r="A12" s="31" t="s">
        <v>45</v>
      </c>
      <c r="B12" s="31" t="s">
        <v>46</v>
      </c>
      <c r="C12" s="31" t="s">
        <v>574</v>
      </c>
      <c r="D12" s="31"/>
      <c r="E12" s="411" t="s">
        <v>823</v>
      </c>
      <c r="F12" s="411" t="s">
        <v>394</v>
      </c>
      <c r="G12" s="31"/>
    </row>
    <row r="13" spans="1:7" ht="12.75">
      <c r="A13" s="31">
        <v>11500</v>
      </c>
      <c r="B13" s="31">
        <f>A13/D10*G10*2</f>
        <v>6646.49055</v>
      </c>
      <c r="C13" s="31">
        <f>B13*20/1000</f>
        <v>132.92981100000003</v>
      </c>
      <c r="D13" s="31"/>
      <c r="E13" s="31">
        <v>12000</v>
      </c>
      <c r="F13" s="31">
        <f>E13*C13</f>
        <v>1595157.7320000003</v>
      </c>
      <c r="G13" s="31"/>
    </row>
    <row r="17" spans="1:8" ht="12.75">
      <c r="A17" s="29" t="s">
        <v>575</v>
      </c>
      <c r="B17" s="29" t="s">
        <v>576</v>
      </c>
      <c r="C17" s="29" t="s">
        <v>41</v>
      </c>
      <c r="D17" s="29" t="s">
        <v>44</v>
      </c>
      <c r="E17" s="29" t="s">
        <v>577</v>
      </c>
      <c r="F17" s="29" t="s">
        <v>578</v>
      </c>
      <c r="G17" s="29" t="s">
        <v>579</v>
      </c>
      <c r="H17" s="29" t="s">
        <v>580</v>
      </c>
    </row>
    <row r="18" spans="1:8" ht="12.75">
      <c r="A18" s="29">
        <v>20</v>
      </c>
      <c r="B18" s="29">
        <v>10000</v>
      </c>
      <c r="C18" s="29">
        <v>3</v>
      </c>
      <c r="D18" s="29">
        <v>7.5</v>
      </c>
      <c r="E18" s="31">
        <f>A18*B18/C18*2</f>
        <v>133333.33333333334</v>
      </c>
      <c r="F18" s="220">
        <f>G10</f>
        <v>0.86693355</v>
      </c>
      <c r="G18" s="29">
        <f>F18*E18/1000</f>
        <v>115.59114000000001</v>
      </c>
      <c r="H18" s="29">
        <v>134</v>
      </c>
    </row>
    <row r="23" spans="1:8" ht="12.75">
      <c r="A23" s="29" t="s">
        <v>575</v>
      </c>
      <c r="B23" s="29" t="s">
        <v>576</v>
      </c>
      <c r="C23" s="29" t="s">
        <v>41</v>
      </c>
      <c r="D23" s="29" t="s">
        <v>44</v>
      </c>
      <c r="E23" s="29" t="s">
        <v>577</v>
      </c>
      <c r="F23" s="29"/>
      <c r="G23" s="29"/>
      <c r="H23" s="29"/>
    </row>
    <row r="24" spans="1:8" ht="12.75">
      <c r="A24" s="29">
        <v>6</v>
      </c>
      <c r="B24" s="29">
        <v>7000</v>
      </c>
      <c r="C24" s="29">
        <v>5.8</v>
      </c>
      <c r="D24" s="29">
        <v>7.8</v>
      </c>
      <c r="E24" s="31">
        <f>A24*B24/C24*2</f>
        <v>14482.758620689656</v>
      </c>
      <c r="F24" s="29"/>
      <c r="G24" s="29"/>
      <c r="H24" s="29"/>
    </row>
    <row r="26" ht="12.75">
      <c r="A26" t="s">
        <v>581</v>
      </c>
    </row>
    <row r="28" ht="12.75">
      <c r="A28" t="s">
        <v>582</v>
      </c>
    </row>
    <row r="29" ht="12.75">
      <c r="A29">
        <f>E24/15</f>
        <v>965.5172413793103</v>
      </c>
    </row>
    <row r="31" spans="1:8" ht="12.75">
      <c r="A31" t="s">
        <v>583</v>
      </c>
      <c r="C31" t="s">
        <v>584</v>
      </c>
      <c r="E31" t="s">
        <v>585</v>
      </c>
      <c r="G31" s="231" t="s">
        <v>823</v>
      </c>
      <c r="H31" s="231" t="s">
        <v>394</v>
      </c>
    </row>
    <row r="32" spans="1:8" ht="12.75">
      <c r="A32">
        <f>4105*5.8*580/1000000*D24</f>
        <v>107.711916</v>
      </c>
      <c r="C32">
        <f>A32*A29/1000</f>
        <v>103.99771199999999</v>
      </c>
      <c r="E32">
        <v>262</v>
      </c>
      <c r="G32">
        <v>2500</v>
      </c>
      <c r="H32">
        <f>C32*G32</f>
        <v>259994.27999999997</v>
      </c>
    </row>
    <row r="34" spans="1:10" ht="12.75">
      <c r="A34" s="29" t="s">
        <v>575</v>
      </c>
      <c r="B34" s="29" t="s">
        <v>576</v>
      </c>
      <c r="C34" s="29" t="s">
        <v>41</v>
      </c>
      <c r="D34" s="29" t="s">
        <v>44</v>
      </c>
      <c r="E34" s="29" t="s">
        <v>577</v>
      </c>
      <c r="G34">
        <v>445</v>
      </c>
      <c r="H34">
        <v>262</v>
      </c>
      <c r="I34">
        <f>G34-H34</f>
        <v>183</v>
      </c>
      <c r="J34">
        <f>I34*2500</f>
        <v>457500</v>
      </c>
    </row>
    <row r="35" spans="1:10" ht="12.75">
      <c r="A35" s="29">
        <v>16</v>
      </c>
      <c r="B35" s="29">
        <v>8000</v>
      </c>
      <c r="C35" s="29">
        <v>5.8</v>
      </c>
      <c r="D35" s="29">
        <v>7.8</v>
      </c>
      <c r="E35" s="31">
        <f>A35*B35/C35*2</f>
        <v>44137.93103448276</v>
      </c>
      <c r="G35">
        <v>510</v>
      </c>
      <c r="H35">
        <v>262</v>
      </c>
      <c r="I35">
        <f>G35-H35</f>
        <v>248</v>
      </c>
      <c r="J35">
        <f>I35*2500</f>
        <v>620000</v>
      </c>
    </row>
    <row r="36" spans="7:10" ht="12.75">
      <c r="G36">
        <v>570</v>
      </c>
      <c r="H36">
        <v>262</v>
      </c>
      <c r="I36">
        <f>G36-H36</f>
        <v>308</v>
      </c>
      <c r="J36">
        <f>I36*2500</f>
        <v>770000</v>
      </c>
    </row>
    <row r="37" ht="12.75">
      <c r="A37" t="s">
        <v>581</v>
      </c>
    </row>
    <row r="39" ht="12.75">
      <c r="A39" t="s">
        <v>582</v>
      </c>
    </row>
    <row r="40" ht="12.75">
      <c r="A40">
        <f>E35/15</f>
        <v>2942.528735632184</v>
      </c>
    </row>
    <row r="42" spans="1:5" ht="12.75">
      <c r="A42" t="s">
        <v>583</v>
      </c>
      <c r="C42" t="s">
        <v>584</v>
      </c>
      <c r="E42" t="s">
        <v>585</v>
      </c>
    </row>
    <row r="43" spans="1:5" ht="12.75">
      <c r="A43">
        <f>4105*5.8*580/1000000*D35</f>
        <v>107.711916</v>
      </c>
      <c r="C43">
        <f>A43*A40/1000</f>
        <v>316.94540800000004</v>
      </c>
      <c r="E43">
        <v>262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3"/>
  <sheetViews>
    <sheetView zoomScalePageLayoutView="0" workbookViewId="0" topLeftCell="A34">
      <selection activeCell="C55" sqref="C55"/>
    </sheetView>
  </sheetViews>
  <sheetFormatPr defaultColWidth="9.140625" defaultRowHeight="12.75"/>
  <cols>
    <col min="1" max="1" width="22.140625" style="34" bestFit="1" customWidth="1"/>
    <col min="2" max="2" width="30.7109375" style="34" customWidth="1"/>
    <col min="3" max="3" width="41.7109375" style="34" customWidth="1"/>
    <col min="4" max="4" width="30.7109375" style="34" customWidth="1"/>
    <col min="5" max="5" width="55.57421875" style="34" bestFit="1" customWidth="1"/>
    <col min="6" max="6" width="40.00390625" style="34" bestFit="1" customWidth="1"/>
    <col min="7" max="7" width="11.8515625" style="34" bestFit="1" customWidth="1"/>
    <col min="8" max="16384" width="9.140625" style="34" customWidth="1"/>
  </cols>
  <sheetData>
    <row r="2" spans="1:7" ht="15.75">
      <c r="A2" s="553" t="s">
        <v>51</v>
      </c>
      <c r="B2" s="553"/>
      <c r="C2" s="32" t="s">
        <v>92</v>
      </c>
      <c r="D2" s="32" t="s">
        <v>94</v>
      </c>
      <c r="E2" s="33" t="s">
        <v>93</v>
      </c>
      <c r="F2" s="33" t="s">
        <v>95</v>
      </c>
      <c r="G2" s="33" t="s">
        <v>110</v>
      </c>
    </row>
    <row r="3" spans="1:7" ht="12.75">
      <c r="A3" s="47" t="s">
        <v>81</v>
      </c>
      <c r="B3" s="35"/>
      <c r="C3" s="35"/>
      <c r="D3" s="35"/>
      <c r="E3" s="35"/>
      <c r="F3" s="35"/>
      <c r="G3" s="35"/>
    </row>
    <row r="4" spans="1:7" ht="12.75">
      <c r="A4" s="47"/>
      <c r="B4" s="36" t="s">
        <v>104</v>
      </c>
      <c r="C4" s="37" t="s">
        <v>96</v>
      </c>
      <c r="D4" s="38">
        <v>39692</v>
      </c>
      <c r="E4" s="37" t="s">
        <v>108</v>
      </c>
      <c r="F4" s="35"/>
      <c r="G4" s="35"/>
    </row>
    <row r="5" spans="1:7" ht="12.75">
      <c r="A5" s="47"/>
      <c r="B5" s="39" t="s">
        <v>76</v>
      </c>
      <c r="C5" s="37" t="s">
        <v>96</v>
      </c>
      <c r="D5" s="38">
        <v>39692</v>
      </c>
      <c r="E5" s="37" t="s">
        <v>108</v>
      </c>
      <c r="F5" s="35"/>
      <c r="G5" s="35"/>
    </row>
    <row r="6" spans="1:7" ht="12.75">
      <c r="A6" s="47"/>
      <c r="B6" s="39" t="s">
        <v>77</v>
      </c>
      <c r="C6" s="37" t="s">
        <v>96</v>
      </c>
      <c r="D6" s="38">
        <v>39692</v>
      </c>
      <c r="E6" s="37" t="s">
        <v>109</v>
      </c>
      <c r="F6" s="35"/>
      <c r="G6" s="35"/>
    </row>
    <row r="7" spans="1:7" ht="12.75">
      <c r="A7" s="47"/>
      <c r="B7" s="39" t="s">
        <v>78</v>
      </c>
      <c r="C7" s="37" t="s">
        <v>96</v>
      </c>
      <c r="D7" s="38">
        <v>39692</v>
      </c>
      <c r="E7" s="37" t="s">
        <v>140</v>
      </c>
      <c r="F7" s="35"/>
      <c r="G7" s="35"/>
    </row>
    <row r="8" spans="1:7" ht="12.75">
      <c r="A8" s="47"/>
      <c r="B8" s="40" t="s">
        <v>80</v>
      </c>
      <c r="C8" s="37" t="s">
        <v>97</v>
      </c>
      <c r="D8" s="38">
        <v>39692</v>
      </c>
      <c r="E8" s="37" t="s">
        <v>141</v>
      </c>
      <c r="F8" s="35"/>
      <c r="G8" s="35"/>
    </row>
    <row r="9" spans="1:7" ht="25.5">
      <c r="A9" s="47"/>
      <c r="B9" s="41" t="s">
        <v>65</v>
      </c>
      <c r="C9" s="37" t="s">
        <v>98</v>
      </c>
      <c r="D9" s="42">
        <v>39692</v>
      </c>
      <c r="E9" s="37" t="s">
        <v>142</v>
      </c>
      <c r="F9" s="37" t="s">
        <v>143</v>
      </c>
      <c r="G9" s="37" t="s">
        <v>111</v>
      </c>
    </row>
    <row r="10" spans="1:7" ht="12.75">
      <c r="A10" s="47"/>
      <c r="B10" s="43" t="s">
        <v>53</v>
      </c>
      <c r="C10" s="37" t="s">
        <v>96</v>
      </c>
      <c r="D10" s="38">
        <v>39692</v>
      </c>
      <c r="E10" s="37" t="s">
        <v>112</v>
      </c>
      <c r="F10" s="37" t="s">
        <v>113</v>
      </c>
      <c r="G10" s="35"/>
    </row>
    <row r="11" spans="1:7" ht="12.75">
      <c r="A11" s="47"/>
      <c r="B11" s="36" t="s">
        <v>100</v>
      </c>
      <c r="C11" s="37" t="s">
        <v>96</v>
      </c>
      <c r="D11" s="38">
        <v>39692</v>
      </c>
      <c r="E11" s="37" t="s">
        <v>108</v>
      </c>
      <c r="F11" s="35"/>
      <c r="G11" s="35"/>
    </row>
    <row r="12" spans="1:7" ht="12.75">
      <c r="A12" s="47"/>
      <c r="B12" s="36" t="s">
        <v>129</v>
      </c>
      <c r="C12" s="37" t="s">
        <v>96</v>
      </c>
      <c r="D12" s="38"/>
      <c r="E12" s="37"/>
      <c r="F12" s="35"/>
      <c r="G12" s="35"/>
    </row>
    <row r="13" spans="1:7" ht="12.75">
      <c r="A13" s="47" t="s">
        <v>82</v>
      </c>
      <c r="B13" s="35"/>
      <c r="C13" s="35"/>
      <c r="D13" s="35"/>
      <c r="E13" s="35"/>
      <c r="F13" s="35"/>
      <c r="G13" s="35"/>
    </row>
    <row r="14" spans="1:7" ht="12.75">
      <c r="A14" s="47"/>
      <c r="B14" s="40" t="s">
        <v>79</v>
      </c>
      <c r="C14" s="37" t="s">
        <v>97</v>
      </c>
      <c r="D14" s="38">
        <v>39692</v>
      </c>
      <c r="E14" s="37" t="s">
        <v>114</v>
      </c>
      <c r="F14" s="37" t="s">
        <v>115</v>
      </c>
      <c r="G14" s="35"/>
    </row>
    <row r="15" spans="1:7" ht="12.75">
      <c r="A15" s="47"/>
      <c r="B15" s="40" t="s">
        <v>83</v>
      </c>
      <c r="C15" s="37" t="s">
        <v>99</v>
      </c>
      <c r="D15" s="38">
        <v>39753</v>
      </c>
      <c r="E15" s="35"/>
      <c r="F15" s="35"/>
      <c r="G15" s="35"/>
    </row>
    <row r="16" spans="1:7" ht="12.75">
      <c r="A16" s="47"/>
      <c r="B16" s="35"/>
      <c r="C16" s="35"/>
      <c r="D16" s="35"/>
      <c r="E16" s="35"/>
      <c r="F16" s="35"/>
      <c r="G16" s="35"/>
    </row>
    <row r="17" spans="1:7" ht="12.75">
      <c r="A17" s="47" t="s">
        <v>84</v>
      </c>
      <c r="B17" s="35"/>
      <c r="C17" s="35"/>
      <c r="D17" s="35"/>
      <c r="E17" s="35"/>
      <c r="F17" s="35"/>
      <c r="G17" s="35"/>
    </row>
    <row r="18" spans="1:7" ht="12.75">
      <c r="A18" s="47"/>
      <c r="B18" s="40" t="s">
        <v>85</v>
      </c>
      <c r="C18" s="37" t="s">
        <v>96</v>
      </c>
      <c r="D18" s="38">
        <v>39753</v>
      </c>
      <c r="E18" s="37" t="s">
        <v>116</v>
      </c>
      <c r="F18" s="35"/>
      <c r="G18" s="35"/>
    </row>
    <row r="19" spans="1:7" ht="12.75">
      <c r="A19" s="47"/>
      <c r="B19" s="40" t="s">
        <v>86</v>
      </c>
      <c r="C19" s="37" t="s">
        <v>96</v>
      </c>
      <c r="D19" s="38">
        <v>39753</v>
      </c>
      <c r="E19" s="37" t="s">
        <v>108</v>
      </c>
      <c r="F19" s="35"/>
      <c r="G19" s="35"/>
    </row>
    <row r="20" spans="1:7" ht="12.75">
      <c r="A20" s="47"/>
      <c r="B20" s="35"/>
      <c r="C20" s="35"/>
      <c r="D20" s="35"/>
      <c r="E20" s="35"/>
      <c r="F20" s="35"/>
      <c r="G20" s="35"/>
    </row>
    <row r="21" spans="1:7" ht="25.5">
      <c r="A21" s="47" t="s">
        <v>87</v>
      </c>
      <c r="B21" s="41" t="s">
        <v>88</v>
      </c>
      <c r="C21" s="37" t="s">
        <v>101</v>
      </c>
      <c r="D21" s="38">
        <v>39753</v>
      </c>
      <c r="E21" s="37" t="s">
        <v>117</v>
      </c>
      <c r="F21" s="37" t="s">
        <v>118</v>
      </c>
      <c r="G21" s="35"/>
    </row>
    <row r="22" spans="1:7" ht="12.75">
      <c r="A22" s="47"/>
      <c r="B22" s="40" t="s">
        <v>60</v>
      </c>
      <c r="C22" s="37" t="s">
        <v>101</v>
      </c>
      <c r="D22" s="38">
        <v>39753</v>
      </c>
      <c r="E22" s="35"/>
      <c r="F22" s="35"/>
      <c r="G22" s="35"/>
    </row>
    <row r="23" spans="1:7" ht="12.75">
      <c r="A23" s="47"/>
      <c r="B23" s="40" t="s">
        <v>61</v>
      </c>
      <c r="C23" s="37" t="s">
        <v>101</v>
      </c>
      <c r="D23" s="38">
        <v>39753</v>
      </c>
      <c r="E23" s="35"/>
      <c r="F23" s="35"/>
      <c r="G23" s="35"/>
    </row>
    <row r="24" spans="1:7" ht="12.75">
      <c r="A24" s="47"/>
      <c r="B24" s="44" t="s">
        <v>72</v>
      </c>
      <c r="C24" s="37" t="s">
        <v>102</v>
      </c>
      <c r="D24" s="42">
        <v>39753</v>
      </c>
      <c r="E24" s="37" t="s">
        <v>119</v>
      </c>
      <c r="F24" s="35"/>
      <c r="G24" s="35"/>
    </row>
    <row r="25" spans="1:7" ht="12.75">
      <c r="A25" s="47"/>
      <c r="B25" s="35"/>
      <c r="C25" s="35"/>
      <c r="D25" s="35"/>
      <c r="E25" s="35"/>
      <c r="F25" s="35"/>
      <c r="G25" s="35"/>
    </row>
    <row r="26" spans="1:7" ht="25.5">
      <c r="A26" s="47" t="s">
        <v>64</v>
      </c>
      <c r="B26" s="40" t="s">
        <v>74</v>
      </c>
      <c r="C26" s="37" t="s">
        <v>97</v>
      </c>
      <c r="D26" s="38">
        <v>39814</v>
      </c>
      <c r="E26" s="37" t="s">
        <v>120</v>
      </c>
      <c r="F26" s="35"/>
      <c r="G26" s="35"/>
    </row>
    <row r="27" spans="1:7" ht="12.75">
      <c r="A27" s="47"/>
      <c r="B27" s="40" t="s">
        <v>75</v>
      </c>
      <c r="C27" s="37" t="s">
        <v>96</v>
      </c>
      <c r="D27" s="38">
        <v>39814</v>
      </c>
      <c r="E27" s="35"/>
      <c r="F27" s="35"/>
      <c r="G27" s="35"/>
    </row>
    <row r="28" spans="1:7" ht="12.75">
      <c r="A28" s="47"/>
      <c r="B28" s="40" t="s">
        <v>89</v>
      </c>
      <c r="C28" s="37" t="s">
        <v>103</v>
      </c>
      <c r="D28" s="38">
        <v>39814</v>
      </c>
      <c r="E28" s="37" t="s">
        <v>121</v>
      </c>
      <c r="F28" s="37" t="s">
        <v>122</v>
      </c>
      <c r="G28" s="37" t="s">
        <v>123</v>
      </c>
    </row>
    <row r="29" spans="1:7" ht="12.75">
      <c r="A29" s="47"/>
      <c r="B29" s="44" t="s">
        <v>72</v>
      </c>
      <c r="C29" s="37" t="s">
        <v>102</v>
      </c>
      <c r="D29" s="42">
        <v>39814</v>
      </c>
      <c r="E29" s="37" t="s">
        <v>124</v>
      </c>
      <c r="F29" s="35"/>
      <c r="G29" s="35"/>
    </row>
    <row r="30" spans="1:7" ht="12.75">
      <c r="A30" s="47"/>
      <c r="B30" s="35"/>
      <c r="C30" s="35"/>
      <c r="D30" s="35"/>
      <c r="E30" s="35"/>
      <c r="F30" s="35"/>
      <c r="G30" s="35"/>
    </row>
    <row r="31" spans="1:7" ht="12.75">
      <c r="A31" s="47"/>
      <c r="B31" s="35"/>
      <c r="C31" s="35"/>
      <c r="D31" s="35"/>
      <c r="E31" s="35"/>
      <c r="F31" s="35"/>
      <c r="G31" s="35"/>
    </row>
    <row r="32" spans="1:7" ht="12.75">
      <c r="A32" s="47"/>
      <c r="B32" s="35"/>
      <c r="C32" s="35"/>
      <c r="D32" s="35"/>
      <c r="E32" s="35"/>
      <c r="F32" s="35"/>
      <c r="G32" s="35"/>
    </row>
    <row r="33" spans="1:7" ht="12.75">
      <c r="A33" s="47"/>
      <c r="B33" s="35"/>
      <c r="C33" s="45"/>
      <c r="D33" s="35"/>
      <c r="E33" s="35"/>
      <c r="F33" s="35"/>
      <c r="G33" s="35"/>
    </row>
    <row r="34" spans="1:7" s="48" customFormat="1" ht="15.75">
      <c r="A34" s="553" t="s">
        <v>90</v>
      </c>
      <c r="B34" s="553"/>
      <c r="C34" s="32" t="s">
        <v>91</v>
      </c>
      <c r="D34" s="32" t="s">
        <v>94</v>
      </c>
      <c r="E34" s="33" t="s">
        <v>93</v>
      </c>
      <c r="F34" s="33" t="s">
        <v>95</v>
      </c>
      <c r="G34" s="33" t="s">
        <v>110</v>
      </c>
    </row>
    <row r="35" spans="1:7" ht="12.75">
      <c r="A35" s="47" t="s">
        <v>81</v>
      </c>
      <c r="B35" s="35"/>
      <c r="C35" s="45"/>
      <c r="D35" s="35"/>
      <c r="E35" s="35"/>
      <c r="F35" s="35"/>
      <c r="G35" s="35"/>
    </row>
    <row r="36" spans="1:7" ht="12.75">
      <c r="A36" s="47"/>
      <c r="B36" s="35" t="s">
        <v>55</v>
      </c>
      <c r="C36" s="37" t="s">
        <v>96</v>
      </c>
      <c r="D36" s="38">
        <v>40179</v>
      </c>
      <c r="E36" s="37" t="s">
        <v>108</v>
      </c>
      <c r="F36" s="35"/>
      <c r="G36" s="35"/>
    </row>
    <row r="37" spans="1:7" ht="12.75">
      <c r="A37" s="47"/>
      <c r="B37" s="35" t="s">
        <v>76</v>
      </c>
      <c r="C37" s="37" t="s">
        <v>96</v>
      </c>
      <c r="D37" s="38">
        <v>40179</v>
      </c>
      <c r="E37" s="37" t="s">
        <v>108</v>
      </c>
      <c r="F37" s="35"/>
      <c r="G37" s="35"/>
    </row>
    <row r="38" spans="1:7" ht="12.75">
      <c r="A38" s="47"/>
      <c r="B38" s="35" t="s">
        <v>77</v>
      </c>
      <c r="C38" s="37" t="s">
        <v>96</v>
      </c>
      <c r="D38" s="38">
        <v>40179</v>
      </c>
      <c r="E38" s="37" t="s">
        <v>125</v>
      </c>
      <c r="F38" s="35"/>
      <c r="G38" s="35"/>
    </row>
    <row r="39" spans="1:7" ht="12.75">
      <c r="A39" s="47"/>
      <c r="B39" s="35" t="s">
        <v>78</v>
      </c>
      <c r="C39" s="37" t="s">
        <v>96</v>
      </c>
      <c r="D39" s="38">
        <v>40179</v>
      </c>
      <c r="E39" s="37" t="s">
        <v>126</v>
      </c>
      <c r="F39" s="35"/>
      <c r="G39" s="35"/>
    </row>
    <row r="40" spans="1:7" ht="12.75">
      <c r="A40" s="47"/>
      <c r="B40" s="35" t="s">
        <v>80</v>
      </c>
      <c r="C40" s="37" t="s">
        <v>97</v>
      </c>
      <c r="D40" s="37" t="s">
        <v>105</v>
      </c>
      <c r="E40" s="35"/>
      <c r="F40" s="35"/>
      <c r="G40" s="35"/>
    </row>
    <row r="41" spans="1:7" ht="12.75">
      <c r="A41" s="47"/>
      <c r="B41" s="41" t="s">
        <v>65</v>
      </c>
      <c r="C41" s="37" t="s">
        <v>98</v>
      </c>
      <c r="D41" s="37" t="s">
        <v>105</v>
      </c>
      <c r="E41" s="35"/>
      <c r="F41" s="35"/>
      <c r="G41" s="35"/>
    </row>
    <row r="42" spans="1:256" ht="12.75">
      <c r="A42" s="47"/>
      <c r="B42" s="37" t="s">
        <v>53</v>
      </c>
      <c r="C42" s="37" t="s">
        <v>96</v>
      </c>
      <c r="D42" s="38">
        <v>40179</v>
      </c>
      <c r="E42" s="37" t="s">
        <v>127</v>
      </c>
      <c r="F42" s="37"/>
      <c r="G42" s="3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</row>
    <row r="43" spans="1:256" ht="12.75">
      <c r="A43" s="47"/>
      <c r="B43" s="37" t="s">
        <v>100</v>
      </c>
      <c r="C43" s="37" t="s">
        <v>96</v>
      </c>
      <c r="D43" s="38">
        <v>40179</v>
      </c>
      <c r="E43" s="37" t="s">
        <v>108</v>
      </c>
      <c r="F43" s="37"/>
      <c r="G43" s="3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7" ht="12.75">
      <c r="A44" s="47"/>
      <c r="B44" s="37" t="s">
        <v>129</v>
      </c>
      <c r="C44" s="37" t="s">
        <v>96</v>
      </c>
      <c r="D44" s="42">
        <v>40179</v>
      </c>
      <c r="E44" s="37" t="s">
        <v>130</v>
      </c>
      <c r="F44" s="35"/>
      <c r="G44" s="35"/>
    </row>
    <row r="45" spans="1:7" ht="12.75">
      <c r="A45" s="47" t="s">
        <v>82</v>
      </c>
      <c r="B45" s="35"/>
      <c r="C45" s="35"/>
      <c r="D45" s="35"/>
      <c r="E45" s="35"/>
      <c r="F45" s="35"/>
      <c r="G45" s="35"/>
    </row>
    <row r="46" spans="1:7" ht="12.75">
      <c r="A46" s="47"/>
      <c r="B46" s="35" t="s">
        <v>79</v>
      </c>
      <c r="C46" s="37" t="s">
        <v>97</v>
      </c>
      <c r="D46" s="37" t="s">
        <v>105</v>
      </c>
      <c r="E46" s="35"/>
      <c r="F46" s="35"/>
      <c r="G46" s="35"/>
    </row>
    <row r="47" spans="1:7" ht="12.75">
      <c r="A47" s="47"/>
      <c r="B47" s="35" t="s">
        <v>83</v>
      </c>
      <c r="C47" s="37" t="s">
        <v>99</v>
      </c>
      <c r="D47" s="37" t="s">
        <v>105</v>
      </c>
      <c r="E47" s="35"/>
      <c r="F47" s="35"/>
      <c r="G47" s="35"/>
    </row>
    <row r="48" spans="1:7" ht="12.75">
      <c r="A48" s="47"/>
      <c r="B48" s="35"/>
      <c r="C48" s="35"/>
      <c r="D48" s="35"/>
      <c r="E48" s="35"/>
      <c r="F48" s="35"/>
      <c r="G48" s="35"/>
    </row>
    <row r="49" spans="1:7" ht="12.75">
      <c r="A49" s="47" t="s">
        <v>84</v>
      </c>
      <c r="B49" s="35"/>
      <c r="C49" s="35"/>
      <c r="D49" s="35"/>
      <c r="E49" s="35"/>
      <c r="F49" s="35"/>
      <c r="G49" s="35"/>
    </row>
    <row r="50" spans="1:7" ht="12.75">
      <c r="A50" s="47"/>
      <c r="B50" s="35" t="s">
        <v>85</v>
      </c>
      <c r="C50" s="37" t="s">
        <v>96</v>
      </c>
      <c r="D50" s="38">
        <v>40210</v>
      </c>
      <c r="E50" s="35"/>
      <c r="F50" s="35"/>
      <c r="G50" s="35"/>
    </row>
    <row r="51" spans="1:7" ht="12.75">
      <c r="A51" s="47"/>
      <c r="B51" s="35" t="s">
        <v>86</v>
      </c>
      <c r="C51" s="37" t="s">
        <v>96</v>
      </c>
      <c r="D51" s="38">
        <v>40210</v>
      </c>
      <c r="E51" s="35"/>
      <c r="F51" s="35"/>
      <c r="G51" s="35"/>
    </row>
    <row r="52" spans="1:7" ht="12.75">
      <c r="A52" s="47"/>
      <c r="B52" s="35"/>
      <c r="C52" s="35"/>
      <c r="D52" s="35"/>
      <c r="E52" s="35"/>
      <c r="F52" s="35"/>
      <c r="G52" s="35"/>
    </row>
    <row r="53" spans="1:7" ht="12.75">
      <c r="A53" s="47" t="s">
        <v>87</v>
      </c>
      <c r="B53" s="41" t="s">
        <v>88</v>
      </c>
      <c r="C53" s="37" t="s">
        <v>101</v>
      </c>
      <c r="D53" s="37" t="s">
        <v>106</v>
      </c>
      <c r="E53" s="37" t="s">
        <v>124</v>
      </c>
      <c r="F53" s="35"/>
      <c r="G53" s="35"/>
    </row>
    <row r="54" spans="1:7" ht="12.75">
      <c r="A54" s="47"/>
      <c r="B54" s="35" t="s">
        <v>60</v>
      </c>
      <c r="C54" s="37" t="s">
        <v>101</v>
      </c>
      <c r="D54" s="37" t="s">
        <v>106</v>
      </c>
      <c r="E54" s="37" t="s">
        <v>124</v>
      </c>
      <c r="F54" s="35"/>
      <c r="G54" s="35"/>
    </row>
    <row r="55" spans="1:7" ht="12.75">
      <c r="A55" s="47"/>
      <c r="B55" s="35" t="s">
        <v>61</v>
      </c>
      <c r="C55" s="37" t="s">
        <v>101</v>
      </c>
      <c r="D55" s="37" t="s">
        <v>106</v>
      </c>
      <c r="E55" s="37" t="s">
        <v>124</v>
      </c>
      <c r="F55" s="35"/>
      <c r="G55" s="35"/>
    </row>
    <row r="56" spans="1:7" ht="12.75">
      <c r="A56" s="47"/>
      <c r="B56" s="37" t="s">
        <v>72</v>
      </c>
      <c r="C56" s="37" t="s">
        <v>102</v>
      </c>
      <c r="D56" s="38">
        <v>40238</v>
      </c>
      <c r="E56" s="37" t="s">
        <v>124</v>
      </c>
      <c r="F56" s="35"/>
      <c r="G56" s="35"/>
    </row>
    <row r="57" spans="1:7" ht="12.75">
      <c r="A57" s="47"/>
      <c r="B57" s="35"/>
      <c r="C57" s="35"/>
      <c r="D57" s="35"/>
      <c r="E57" s="35"/>
      <c r="F57" s="35"/>
      <c r="G57" s="35"/>
    </row>
    <row r="58" spans="1:7" ht="25.5">
      <c r="A58" s="47" t="s">
        <v>64</v>
      </c>
      <c r="B58" s="35" t="s">
        <v>74</v>
      </c>
      <c r="C58" s="37" t="s">
        <v>97</v>
      </c>
      <c r="D58" s="37" t="s">
        <v>105</v>
      </c>
      <c r="E58" s="37" t="s">
        <v>124</v>
      </c>
      <c r="F58" s="35"/>
      <c r="G58" s="35"/>
    </row>
    <row r="59" spans="1:7" ht="12.75">
      <c r="A59" s="47"/>
      <c r="B59" s="35" t="s">
        <v>75</v>
      </c>
      <c r="C59" s="37" t="s">
        <v>96</v>
      </c>
      <c r="D59" s="38">
        <v>40269</v>
      </c>
      <c r="E59" s="35"/>
      <c r="F59" s="35"/>
      <c r="G59" s="35"/>
    </row>
    <row r="60" spans="1:7" ht="12.75">
      <c r="A60" s="47"/>
      <c r="B60" s="35" t="s">
        <v>89</v>
      </c>
      <c r="C60" s="37" t="s">
        <v>103</v>
      </c>
      <c r="D60" s="37" t="s">
        <v>107</v>
      </c>
      <c r="E60" s="37" t="s">
        <v>121</v>
      </c>
      <c r="F60" s="37" t="s">
        <v>128</v>
      </c>
      <c r="G60" s="35"/>
    </row>
    <row r="61" spans="1:7" ht="12.75">
      <c r="A61" s="47"/>
      <c r="B61" s="37" t="s">
        <v>72</v>
      </c>
      <c r="C61" s="37" t="s">
        <v>102</v>
      </c>
      <c r="D61" s="38">
        <v>40269</v>
      </c>
      <c r="E61" s="37" t="s">
        <v>124</v>
      </c>
      <c r="F61" s="35"/>
      <c r="G61" s="35"/>
    </row>
    <row r="66" spans="1:3" ht="15.75">
      <c r="A66" s="554" t="s">
        <v>131</v>
      </c>
      <c r="B66" s="555"/>
      <c r="C66" s="556"/>
    </row>
    <row r="67" spans="1:3" ht="15.75">
      <c r="A67" s="32" t="s">
        <v>51</v>
      </c>
      <c r="B67" s="32" t="s">
        <v>139</v>
      </c>
      <c r="C67" s="32" t="s">
        <v>132</v>
      </c>
    </row>
    <row r="68" spans="1:3" ht="12.75">
      <c r="A68" s="35"/>
      <c r="B68" s="36" t="s">
        <v>104</v>
      </c>
      <c r="C68" s="44" t="s">
        <v>134</v>
      </c>
    </row>
    <row r="69" spans="1:3" ht="12.75">
      <c r="A69" s="35"/>
      <c r="B69" s="39" t="s">
        <v>76</v>
      </c>
      <c r="C69" s="44" t="s">
        <v>134</v>
      </c>
    </row>
    <row r="70" spans="1:3" ht="12.75">
      <c r="A70" s="35"/>
      <c r="B70" s="39" t="s">
        <v>77</v>
      </c>
      <c r="C70" s="44" t="s">
        <v>133</v>
      </c>
    </row>
    <row r="71" spans="1:3" ht="12.75">
      <c r="A71" s="35"/>
      <c r="B71" s="39" t="s">
        <v>78</v>
      </c>
      <c r="C71" s="44" t="s">
        <v>133</v>
      </c>
    </row>
    <row r="72" spans="1:3" ht="12.75">
      <c r="A72" s="35"/>
      <c r="B72" s="40" t="s">
        <v>80</v>
      </c>
      <c r="C72" s="44" t="s">
        <v>134</v>
      </c>
    </row>
    <row r="73" spans="1:3" ht="12.75">
      <c r="A73" s="35"/>
      <c r="B73" s="41" t="s">
        <v>65</v>
      </c>
      <c r="C73" s="43" t="s">
        <v>135</v>
      </c>
    </row>
    <row r="74" spans="1:3" ht="12.75">
      <c r="A74" s="35"/>
      <c r="B74" s="43" t="s">
        <v>53</v>
      </c>
      <c r="C74" s="44" t="s">
        <v>133</v>
      </c>
    </row>
    <row r="75" spans="1:3" ht="25.5">
      <c r="A75" s="35"/>
      <c r="B75" s="36" t="s">
        <v>100</v>
      </c>
      <c r="C75" s="49" t="s">
        <v>144</v>
      </c>
    </row>
    <row r="76" spans="1:3" ht="12.75">
      <c r="A76" s="35"/>
      <c r="B76" s="36" t="s">
        <v>129</v>
      </c>
      <c r="C76" s="44" t="s">
        <v>133</v>
      </c>
    </row>
    <row r="77" spans="1:3" ht="12.75">
      <c r="A77" s="35"/>
      <c r="B77" s="35"/>
      <c r="C77" s="35"/>
    </row>
    <row r="78" spans="1:3" ht="12.75">
      <c r="A78" s="35"/>
      <c r="B78" s="40" t="s">
        <v>79</v>
      </c>
      <c r="C78" s="44" t="s">
        <v>136</v>
      </c>
    </row>
    <row r="79" spans="1:3" ht="12.75">
      <c r="A79" s="35"/>
      <c r="B79" s="40" t="s">
        <v>83</v>
      </c>
      <c r="C79" s="37" t="s">
        <v>137</v>
      </c>
    </row>
    <row r="80" spans="1:3" ht="12.75">
      <c r="A80" s="35"/>
      <c r="B80" s="35"/>
      <c r="C80" s="35"/>
    </row>
    <row r="81" spans="1:3" ht="12.75">
      <c r="A81" s="35"/>
      <c r="B81" s="35"/>
      <c r="C81" s="35"/>
    </row>
    <row r="82" spans="1:3" ht="12.75">
      <c r="A82" s="35"/>
      <c r="B82" s="40" t="s">
        <v>85</v>
      </c>
      <c r="C82" s="37" t="s">
        <v>137</v>
      </c>
    </row>
    <row r="83" spans="1:3" ht="12.75">
      <c r="A83" s="35"/>
      <c r="B83" s="40" t="s">
        <v>86</v>
      </c>
      <c r="C83" s="37" t="s">
        <v>137</v>
      </c>
    </row>
    <row r="84" spans="1:3" ht="12.75">
      <c r="A84" s="35"/>
      <c r="B84" s="35"/>
      <c r="C84" s="35"/>
    </row>
    <row r="85" spans="1:3" ht="12.75">
      <c r="A85" s="35"/>
      <c r="B85" s="41" t="s">
        <v>88</v>
      </c>
      <c r="C85" s="43" t="s">
        <v>138</v>
      </c>
    </row>
    <row r="86" spans="1:3" ht="12.75">
      <c r="A86" s="35"/>
      <c r="B86" s="40" t="s">
        <v>60</v>
      </c>
      <c r="C86" s="37" t="s">
        <v>137</v>
      </c>
    </row>
    <row r="87" spans="1:3" ht="12.75">
      <c r="A87" s="35"/>
      <c r="B87" s="40" t="s">
        <v>61</v>
      </c>
      <c r="C87" s="37" t="s">
        <v>137</v>
      </c>
    </row>
    <row r="88" spans="1:3" ht="12.75">
      <c r="A88" s="35"/>
      <c r="B88" s="44" t="s">
        <v>72</v>
      </c>
      <c r="C88" s="37" t="s">
        <v>137</v>
      </c>
    </row>
    <row r="89" spans="1:3" ht="12.75">
      <c r="A89" s="35"/>
      <c r="B89" s="35"/>
      <c r="C89" s="35"/>
    </row>
    <row r="90" spans="1:3" ht="12.75">
      <c r="A90" s="35"/>
      <c r="B90" s="40" t="s">
        <v>74</v>
      </c>
      <c r="C90" s="37" t="s">
        <v>137</v>
      </c>
    </row>
    <row r="91" spans="1:3" ht="12.75">
      <c r="A91" s="35"/>
      <c r="B91" s="40" t="s">
        <v>75</v>
      </c>
      <c r="C91" s="37" t="s">
        <v>137</v>
      </c>
    </row>
    <row r="92" spans="1:3" ht="12.75">
      <c r="A92" s="35"/>
      <c r="B92" s="40" t="s">
        <v>89</v>
      </c>
      <c r="C92" s="37" t="s">
        <v>137</v>
      </c>
    </row>
    <row r="93" spans="1:3" ht="12.75">
      <c r="A93" s="35"/>
      <c r="B93" s="44" t="s">
        <v>72</v>
      </c>
      <c r="C93" s="37" t="s">
        <v>137</v>
      </c>
    </row>
  </sheetData>
  <sheetProtection/>
  <mergeCells count="3">
    <mergeCell ref="A2:B2"/>
    <mergeCell ref="A34:B34"/>
    <mergeCell ref="A66:C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355" verticalDpi="355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3"/>
  <sheetViews>
    <sheetView zoomScalePageLayoutView="0" workbookViewId="0" topLeftCell="A101">
      <selection activeCell="A145" sqref="A145"/>
    </sheetView>
  </sheetViews>
  <sheetFormatPr defaultColWidth="9.140625" defaultRowHeight="12.75"/>
  <cols>
    <col min="1" max="1" width="29.7109375" style="0" bestFit="1" customWidth="1"/>
    <col min="2" max="2" width="44.28125" style="0" bestFit="1" customWidth="1"/>
    <col min="3" max="3" width="11.00390625" style="0" bestFit="1" customWidth="1"/>
    <col min="4" max="4" width="7.28125" style="0" customWidth="1"/>
    <col min="5" max="5" width="11.57421875" style="0" bestFit="1" customWidth="1"/>
    <col min="6" max="6" width="4.7109375" style="0" bestFit="1" customWidth="1"/>
    <col min="7" max="7" width="11.57421875" style="0" bestFit="1" customWidth="1"/>
    <col min="8" max="8" width="4.7109375" style="0" bestFit="1" customWidth="1"/>
    <col min="9" max="9" width="11.57421875" style="0" bestFit="1" customWidth="1"/>
    <col min="10" max="10" width="4.7109375" style="0" bestFit="1" customWidth="1"/>
    <col min="11" max="11" width="15.421875" style="0" bestFit="1" customWidth="1"/>
    <col min="12" max="12" width="6.57421875" style="0" bestFit="1" customWidth="1"/>
    <col min="13" max="13" width="11.57421875" style="0" bestFit="1" customWidth="1"/>
    <col min="14" max="14" width="11.00390625" style="0" bestFit="1" customWidth="1"/>
    <col min="15" max="15" width="11.57421875" style="0" bestFit="1" customWidth="1"/>
    <col min="16" max="16" width="4.7109375" style="0" bestFit="1" customWidth="1"/>
    <col min="17" max="17" width="11.57421875" style="0" bestFit="1" customWidth="1"/>
    <col min="18" max="18" width="4.7109375" style="0" bestFit="1" customWidth="1"/>
  </cols>
  <sheetData>
    <row r="1" spans="1:2" ht="12.75">
      <c r="A1" s="29" t="s">
        <v>426</v>
      </c>
      <c r="B1" s="29"/>
    </row>
    <row r="2" spans="1:2" ht="12.75">
      <c r="A2" s="29" t="s">
        <v>427</v>
      </c>
      <c r="B2" s="29"/>
    </row>
    <row r="3" spans="1:2" ht="12.75">
      <c r="A3" s="29"/>
      <c r="B3" s="29" t="s">
        <v>439</v>
      </c>
    </row>
    <row r="4" spans="1:2" ht="12.75">
      <c r="A4" s="29" t="s">
        <v>428</v>
      </c>
      <c r="B4" s="29">
        <v>27.8</v>
      </c>
    </row>
    <row r="5" spans="1:2" ht="12.75">
      <c r="A5" s="29" t="s">
        <v>429</v>
      </c>
      <c r="B5" s="29">
        <v>25.6</v>
      </c>
    </row>
    <row r="6" spans="1:2" ht="12.75">
      <c r="A6" s="29" t="s">
        <v>430</v>
      </c>
      <c r="B6" s="29">
        <v>21.3</v>
      </c>
    </row>
    <row r="7" spans="1:2" ht="12.75">
      <c r="A7" s="29" t="s">
        <v>431</v>
      </c>
      <c r="B7" s="29">
        <v>21.1</v>
      </c>
    </row>
    <row r="8" spans="1:2" ht="12.75">
      <c r="A8" s="29" t="s">
        <v>432</v>
      </c>
      <c r="B8" s="29">
        <v>17.5</v>
      </c>
    </row>
    <row r="9" spans="1:2" ht="12.75">
      <c r="A9" s="29" t="s">
        <v>433</v>
      </c>
      <c r="B9" s="29">
        <v>17.2</v>
      </c>
    </row>
    <row r="10" spans="1:2" ht="12.75">
      <c r="A10" s="29" t="s">
        <v>434</v>
      </c>
      <c r="B10" s="29">
        <v>16.6</v>
      </c>
    </row>
    <row r="11" spans="1:2" ht="12.75">
      <c r="A11" s="29" t="s">
        <v>440</v>
      </c>
      <c r="B11" s="29">
        <v>16</v>
      </c>
    </row>
    <row r="12" spans="1:2" ht="12.75">
      <c r="A12" s="29" t="s">
        <v>435</v>
      </c>
      <c r="B12" s="29">
        <v>15.9</v>
      </c>
    </row>
    <row r="13" spans="1:2" ht="12.75">
      <c r="A13" s="29" t="s">
        <v>436</v>
      </c>
      <c r="B13" s="29">
        <v>13.7</v>
      </c>
    </row>
    <row r="14" spans="1:2" ht="12.75">
      <c r="A14" s="29" t="s">
        <v>437</v>
      </c>
      <c r="B14" s="29">
        <v>11</v>
      </c>
    </row>
    <row r="15" spans="1:2" ht="12.75">
      <c r="A15" s="29" t="s">
        <v>438</v>
      </c>
      <c r="B15" s="29">
        <v>7.7</v>
      </c>
    </row>
    <row r="16" spans="1:2" ht="12.75">
      <c r="A16" s="29"/>
      <c r="B16" s="29"/>
    </row>
    <row r="17" spans="1:2" ht="12.75">
      <c r="A17" s="29" t="s">
        <v>441</v>
      </c>
      <c r="B17" s="221">
        <f>AVERAGE(B4:B15)</f>
        <v>17.616666666666664</v>
      </c>
    </row>
    <row r="21" ht="12.75">
      <c r="A21" t="s">
        <v>442</v>
      </c>
    </row>
    <row r="22" spans="1:18" s="153" customFormat="1" ht="15" customHeight="1">
      <c r="A22" s="149"/>
      <c r="B22" s="150"/>
      <c r="C22" s="151" t="s">
        <v>444</v>
      </c>
      <c r="D22" s="152"/>
      <c r="E22" s="152"/>
      <c r="F22" s="152"/>
      <c r="G22" s="152"/>
      <c r="H22" s="152"/>
      <c r="I22" s="152"/>
      <c r="J22" s="152"/>
      <c r="K22" s="148" t="s">
        <v>443</v>
      </c>
      <c r="L22" s="149"/>
      <c r="M22" s="150"/>
      <c r="N22" s="151" t="s">
        <v>444</v>
      </c>
      <c r="O22" s="152"/>
      <c r="P22" s="152"/>
      <c r="Q22" s="152"/>
      <c r="R22" s="152"/>
    </row>
    <row r="23" spans="1:18" s="153" customFormat="1" ht="15" customHeight="1">
      <c r="A23" s="155"/>
      <c r="B23" s="156"/>
      <c r="C23" s="157" t="s">
        <v>446</v>
      </c>
      <c r="D23" s="157" t="s">
        <v>447</v>
      </c>
      <c r="E23" s="157" t="s">
        <v>448</v>
      </c>
      <c r="F23" s="157" t="s">
        <v>449</v>
      </c>
      <c r="G23" s="157" t="s">
        <v>450</v>
      </c>
      <c r="H23" s="157" t="s">
        <v>451</v>
      </c>
      <c r="I23" s="157" t="s">
        <v>452</v>
      </c>
      <c r="J23" s="158" t="s">
        <v>453</v>
      </c>
      <c r="K23" s="154" t="s">
        <v>445</v>
      </c>
      <c r="L23" s="155"/>
      <c r="M23" s="156"/>
      <c r="N23" s="157" t="s">
        <v>454</v>
      </c>
      <c r="O23" s="157" t="s">
        <v>455</v>
      </c>
      <c r="P23" s="157" t="s">
        <v>456</v>
      </c>
      <c r="Q23" s="157" t="s">
        <v>457</v>
      </c>
      <c r="R23" s="157" t="s">
        <v>458</v>
      </c>
    </row>
    <row r="24" spans="1:18" s="153" customFormat="1" ht="25.5">
      <c r="A24" s="160" t="s">
        <v>460</v>
      </c>
      <c r="B24" s="160" t="s">
        <v>461</v>
      </c>
      <c r="C24" s="161">
        <v>101.8053</v>
      </c>
      <c r="D24" s="161">
        <v>102.7006</v>
      </c>
      <c r="E24" s="161">
        <v>103.9285</v>
      </c>
      <c r="F24" s="161">
        <v>104.1747</v>
      </c>
      <c r="G24" s="161">
        <v>104.9857</v>
      </c>
      <c r="H24" s="161">
        <v>105.2257</v>
      </c>
      <c r="I24" s="161">
        <v>106.5794</v>
      </c>
      <c r="J24" s="161">
        <v>109.452</v>
      </c>
      <c r="K24" s="159" t="s">
        <v>459</v>
      </c>
      <c r="L24" s="160" t="s">
        <v>460</v>
      </c>
      <c r="M24" s="160" t="s">
        <v>461</v>
      </c>
      <c r="N24" s="161">
        <v>111.4116</v>
      </c>
      <c r="O24" s="161">
        <v>112.7834</v>
      </c>
      <c r="P24" s="161">
        <v>113.5423</v>
      </c>
      <c r="Q24" s="161">
        <v>115.0296</v>
      </c>
      <c r="R24" s="161">
        <v>116.3394</v>
      </c>
    </row>
    <row r="25" spans="1:18" s="153" customFormat="1" ht="63.75">
      <c r="A25" s="163" t="s">
        <v>462</v>
      </c>
      <c r="B25" s="163" t="s">
        <v>463</v>
      </c>
      <c r="C25" s="164">
        <v>101.3415</v>
      </c>
      <c r="D25" s="164">
        <v>101.7845</v>
      </c>
      <c r="E25" s="164">
        <v>102.2939</v>
      </c>
      <c r="F25" s="164">
        <v>103.7462</v>
      </c>
      <c r="G25" s="164">
        <v>103.8206</v>
      </c>
      <c r="H25" s="164">
        <v>104.484</v>
      </c>
      <c r="I25" s="164">
        <v>106.2597</v>
      </c>
      <c r="J25" s="164">
        <v>108.3594</v>
      </c>
      <c r="K25" s="162"/>
      <c r="L25" s="163" t="s">
        <v>462</v>
      </c>
      <c r="M25" s="163" t="s">
        <v>463</v>
      </c>
      <c r="N25" s="164">
        <v>110.2088</v>
      </c>
      <c r="O25" s="164">
        <v>111.6744</v>
      </c>
      <c r="P25" s="164">
        <v>112.489</v>
      </c>
      <c r="Q25" s="164">
        <v>114.0178</v>
      </c>
      <c r="R25" s="164">
        <v>115.1959</v>
      </c>
    </row>
    <row r="26" spans="1:18" s="153" customFormat="1" ht="38.25">
      <c r="A26" s="163" t="s">
        <v>464</v>
      </c>
      <c r="B26" s="163" t="s">
        <v>465</v>
      </c>
      <c r="C26" s="164">
        <v>101.8397</v>
      </c>
      <c r="D26" s="164">
        <v>103.2138</v>
      </c>
      <c r="E26" s="164">
        <v>105.3331</v>
      </c>
      <c r="F26" s="164">
        <v>104.9989</v>
      </c>
      <c r="G26" s="164">
        <v>105.1946</v>
      </c>
      <c r="H26" s="164">
        <v>104.2602</v>
      </c>
      <c r="I26" s="164">
        <v>105.2686</v>
      </c>
      <c r="J26" s="164">
        <v>106.39</v>
      </c>
      <c r="K26" s="162"/>
      <c r="L26" s="163" t="s">
        <v>464</v>
      </c>
      <c r="M26" s="163" t="s">
        <v>465</v>
      </c>
      <c r="N26" s="164">
        <v>108.3394</v>
      </c>
      <c r="O26" s="164">
        <v>109.409</v>
      </c>
      <c r="P26" s="164">
        <v>110.5007</v>
      </c>
      <c r="Q26" s="164">
        <v>112.3592</v>
      </c>
      <c r="R26" s="164">
        <v>114.7696</v>
      </c>
    </row>
    <row r="27" spans="1:18" s="153" customFormat="1" ht="63.75">
      <c r="A27" s="163">
        <v>20</v>
      </c>
      <c r="B27" s="163" t="s">
        <v>466</v>
      </c>
      <c r="C27" s="164">
        <v>101.0167</v>
      </c>
      <c r="D27" s="164">
        <v>102.7959</v>
      </c>
      <c r="E27" s="164">
        <v>104.6849</v>
      </c>
      <c r="F27" s="164">
        <v>104.7396</v>
      </c>
      <c r="G27" s="164">
        <v>105.2971</v>
      </c>
      <c r="H27" s="164">
        <v>105.3814</v>
      </c>
      <c r="I27" s="164">
        <v>106.9441</v>
      </c>
      <c r="J27" s="164">
        <v>108.8181</v>
      </c>
      <c r="K27" s="162"/>
      <c r="L27" s="163">
        <v>20</v>
      </c>
      <c r="M27" s="163" t="s">
        <v>466</v>
      </c>
      <c r="N27" s="164">
        <v>110.1753</v>
      </c>
      <c r="O27" s="164">
        <v>110.7634</v>
      </c>
      <c r="P27" s="164">
        <v>111.5619</v>
      </c>
      <c r="Q27" s="164">
        <v>113.3857</v>
      </c>
      <c r="R27" s="164">
        <v>114.3044</v>
      </c>
    </row>
    <row r="28" spans="1:18" s="153" customFormat="1" ht="51">
      <c r="A28" s="163" t="s">
        <v>467</v>
      </c>
      <c r="B28" s="163" t="s">
        <v>468</v>
      </c>
      <c r="C28" s="164">
        <v>101.3042</v>
      </c>
      <c r="D28" s="164">
        <v>101.9616</v>
      </c>
      <c r="E28" s="164">
        <v>103.2676</v>
      </c>
      <c r="F28" s="164">
        <v>103.1443</v>
      </c>
      <c r="G28" s="164">
        <v>103.2617</v>
      </c>
      <c r="H28" s="164">
        <v>103.6892</v>
      </c>
      <c r="I28" s="164">
        <v>104.6462</v>
      </c>
      <c r="J28" s="164">
        <v>107.278</v>
      </c>
      <c r="K28" s="162"/>
      <c r="L28" s="163" t="s">
        <v>467</v>
      </c>
      <c r="M28" s="163" t="s">
        <v>468</v>
      </c>
      <c r="N28" s="164">
        <v>108.3544</v>
      </c>
      <c r="O28" s="164">
        <v>109.2734</v>
      </c>
      <c r="P28" s="164">
        <v>109.7015</v>
      </c>
      <c r="Q28" s="164">
        <v>110.4949</v>
      </c>
      <c r="R28" s="164">
        <v>110.8013</v>
      </c>
    </row>
    <row r="29" spans="1:18" s="153" customFormat="1" ht="102">
      <c r="A29" s="163" t="s">
        <v>469</v>
      </c>
      <c r="B29" s="163" t="s">
        <v>470</v>
      </c>
      <c r="C29" s="164">
        <v>103.7656</v>
      </c>
      <c r="D29" s="164">
        <v>104.6019</v>
      </c>
      <c r="E29" s="164">
        <v>106.6065</v>
      </c>
      <c r="F29" s="164">
        <v>106.3189</v>
      </c>
      <c r="G29" s="164">
        <v>108.786</v>
      </c>
      <c r="H29" s="164">
        <v>108.4068</v>
      </c>
      <c r="I29" s="164">
        <v>109.9002</v>
      </c>
      <c r="J29" s="164">
        <v>113.2003</v>
      </c>
      <c r="K29" s="162"/>
      <c r="L29" s="163" t="s">
        <v>469</v>
      </c>
      <c r="M29" s="163" t="s">
        <v>470</v>
      </c>
      <c r="N29" s="164">
        <v>116.1571</v>
      </c>
      <c r="O29" s="164">
        <v>118.0996</v>
      </c>
      <c r="P29" s="164">
        <v>119.5184</v>
      </c>
      <c r="Q29" s="164">
        <v>123.1885</v>
      </c>
      <c r="R29" s="164">
        <v>125.2733</v>
      </c>
    </row>
    <row r="30" spans="1:18" s="153" customFormat="1" ht="51">
      <c r="A30" s="163">
        <v>26</v>
      </c>
      <c r="B30" s="163" t="s">
        <v>471</v>
      </c>
      <c r="C30" s="164">
        <v>100.2886</v>
      </c>
      <c r="D30" s="164">
        <v>103.9022</v>
      </c>
      <c r="E30" s="164">
        <v>104.3736</v>
      </c>
      <c r="F30" s="164">
        <v>105.1758</v>
      </c>
      <c r="G30" s="164">
        <v>104.0327</v>
      </c>
      <c r="H30" s="164">
        <v>105.0921</v>
      </c>
      <c r="I30" s="164">
        <v>107.2809</v>
      </c>
      <c r="J30" s="164">
        <v>109.4279</v>
      </c>
      <c r="K30" s="162"/>
      <c r="L30" s="163">
        <v>26</v>
      </c>
      <c r="M30" s="163" t="s">
        <v>471</v>
      </c>
      <c r="N30" s="164">
        <v>111.7326</v>
      </c>
      <c r="O30" s="164">
        <v>112.5614</v>
      </c>
      <c r="P30" s="164">
        <v>112.5893</v>
      </c>
      <c r="Q30" s="164">
        <v>113.3034</v>
      </c>
      <c r="R30" s="164">
        <v>114.818</v>
      </c>
    </row>
    <row r="31" spans="1:18" s="153" customFormat="1" ht="38.25">
      <c r="A31" s="206" t="s">
        <v>472</v>
      </c>
      <c r="B31" s="206" t="s">
        <v>473</v>
      </c>
      <c r="C31" s="207">
        <v>101.0839</v>
      </c>
      <c r="D31" s="207">
        <v>102.2998</v>
      </c>
      <c r="E31" s="207">
        <v>104.0183</v>
      </c>
      <c r="F31" s="207">
        <v>104.4417</v>
      </c>
      <c r="G31" s="207">
        <v>103.9048</v>
      </c>
      <c r="H31" s="207">
        <v>104.4748</v>
      </c>
      <c r="I31" s="207">
        <v>106.23</v>
      </c>
      <c r="J31" s="207">
        <v>109.1574</v>
      </c>
      <c r="K31" s="208"/>
      <c r="L31" s="206" t="s">
        <v>472</v>
      </c>
      <c r="M31" s="206" t="s">
        <v>473</v>
      </c>
      <c r="N31" s="207">
        <v>111.0596</v>
      </c>
      <c r="O31" s="207">
        <v>112.2912</v>
      </c>
      <c r="P31" s="207">
        <v>113.1986</v>
      </c>
      <c r="Q31" s="207">
        <v>113.7547</v>
      </c>
      <c r="R31" s="207">
        <v>115.2111</v>
      </c>
    </row>
    <row r="32" spans="1:18" s="153" customFormat="1" ht="63.75">
      <c r="A32" s="163" t="s">
        <v>474</v>
      </c>
      <c r="B32" s="163" t="s">
        <v>475</v>
      </c>
      <c r="C32" s="164">
        <v>101.456</v>
      </c>
      <c r="D32" s="164">
        <v>102.5474</v>
      </c>
      <c r="E32" s="164">
        <v>102.4947</v>
      </c>
      <c r="F32" s="164">
        <v>103.0595</v>
      </c>
      <c r="G32" s="164">
        <v>103.8799</v>
      </c>
      <c r="H32" s="164">
        <v>104.064</v>
      </c>
      <c r="I32" s="164">
        <v>104.6471</v>
      </c>
      <c r="J32" s="164">
        <v>107.477</v>
      </c>
      <c r="K32" s="162"/>
      <c r="L32" s="163" t="s">
        <v>474</v>
      </c>
      <c r="M32" s="163" t="s">
        <v>475</v>
      </c>
      <c r="N32" s="164">
        <v>109.8878</v>
      </c>
      <c r="O32" s="164">
        <v>111.4593</v>
      </c>
      <c r="P32" s="164">
        <v>112.042</v>
      </c>
      <c r="Q32" s="164">
        <v>112.4675</v>
      </c>
      <c r="R32" s="164">
        <v>113.7709</v>
      </c>
    </row>
    <row r="33" spans="1:18" s="153" customFormat="1" ht="76.5">
      <c r="A33" s="206" t="s">
        <v>476</v>
      </c>
      <c r="B33" s="206" t="s">
        <v>477</v>
      </c>
      <c r="C33" s="207">
        <v>102.2002</v>
      </c>
      <c r="D33" s="207">
        <v>102.0949</v>
      </c>
      <c r="E33" s="207">
        <v>103.722</v>
      </c>
      <c r="F33" s="207">
        <v>103.6625</v>
      </c>
      <c r="G33" s="207">
        <v>105.2985</v>
      </c>
      <c r="H33" s="207">
        <v>105.5627</v>
      </c>
      <c r="I33" s="207">
        <v>107.2503</v>
      </c>
      <c r="J33" s="207">
        <v>111.0734</v>
      </c>
      <c r="K33" s="208"/>
      <c r="L33" s="206" t="s">
        <v>476</v>
      </c>
      <c r="M33" s="206" t="s">
        <v>477</v>
      </c>
      <c r="N33" s="207">
        <v>112.4738</v>
      </c>
      <c r="O33" s="207">
        <v>113.9412</v>
      </c>
      <c r="P33" s="207">
        <v>114.4904</v>
      </c>
      <c r="Q33" s="207">
        <v>116.2997</v>
      </c>
      <c r="R33" s="207">
        <v>117.3509</v>
      </c>
    </row>
    <row r="34" spans="1:18" s="153" customFormat="1" ht="51">
      <c r="A34" s="163" t="s">
        <v>478</v>
      </c>
      <c r="B34" s="163" t="s">
        <v>479</v>
      </c>
      <c r="C34" s="164">
        <v>101.1009</v>
      </c>
      <c r="D34" s="164">
        <v>102.6627</v>
      </c>
      <c r="E34" s="164">
        <v>104.7908</v>
      </c>
      <c r="F34" s="164">
        <v>104.957</v>
      </c>
      <c r="G34" s="164">
        <v>105.3276</v>
      </c>
      <c r="H34" s="164">
        <v>106.2056</v>
      </c>
      <c r="I34" s="164">
        <v>107.5754</v>
      </c>
      <c r="J34" s="164">
        <v>109.5363</v>
      </c>
      <c r="K34" s="162"/>
      <c r="L34" s="163" t="s">
        <v>478</v>
      </c>
      <c r="M34" s="163" t="s">
        <v>479</v>
      </c>
      <c r="N34" s="164">
        <v>111.061</v>
      </c>
      <c r="O34" s="164">
        <v>111.8099</v>
      </c>
      <c r="P34" s="164">
        <v>112.6259</v>
      </c>
      <c r="Q34" s="164">
        <v>113.5182</v>
      </c>
      <c r="R34" s="164">
        <v>115.2575</v>
      </c>
    </row>
    <row r="35" spans="1:18" s="153" customFormat="1" ht="12.75">
      <c r="A35" s="163">
        <v>45</v>
      </c>
      <c r="B35" s="163" t="s">
        <v>481</v>
      </c>
      <c r="C35" s="164">
        <v>101.425</v>
      </c>
      <c r="D35" s="164">
        <v>103.209</v>
      </c>
      <c r="E35" s="164">
        <v>104.4866</v>
      </c>
      <c r="F35" s="164">
        <v>104.6917</v>
      </c>
      <c r="G35" s="164">
        <v>105.0792</v>
      </c>
      <c r="H35" s="164">
        <v>104.5546</v>
      </c>
      <c r="I35" s="164">
        <v>106.4994</v>
      </c>
      <c r="J35" s="164">
        <v>109.4586</v>
      </c>
      <c r="K35" s="162" t="s">
        <v>480</v>
      </c>
      <c r="L35" s="163">
        <v>45</v>
      </c>
      <c r="M35" s="163" t="s">
        <v>481</v>
      </c>
      <c r="N35" s="164">
        <v>111.2035</v>
      </c>
      <c r="O35" s="164">
        <v>112.3026</v>
      </c>
      <c r="P35" s="164">
        <v>112.7493</v>
      </c>
      <c r="Q35" s="164">
        <v>113.9803</v>
      </c>
      <c r="R35" s="164">
        <v>115.2148</v>
      </c>
    </row>
    <row r="39" ht="12.75">
      <c r="A39" t="s">
        <v>432</v>
      </c>
    </row>
    <row r="41" spans="1:10" ht="18">
      <c r="A41" s="165"/>
      <c r="B41" s="165"/>
      <c r="C41" s="165"/>
      <c r="D41" s="165"/>
      <c r="E41" s="165"/>
      <c r="F41" s="165"/>
      <c r="G41" s="165"/>
      <c r="H41" s="165"/>
      <c r="I41" s="165"/>
      <c r="J41" s="165"/>
    </row>
    <row r="42" spans="1:10" ht="18">
      <c r="A42" s="166"/>
      <c r="B42" s="166"/>
      <c r="C42" s="166"/>
      <c r="D42" s="166"/>
      <c r="E42" s="166"/>
      <c r="F42" s="166"/>
      <c r="G42" s="166"/>
      <c r="H42" s="166"/>
      <c r="I42" s="166"/>
      <c r="J42" s="166"/>
    </row>
    <row r="43" spans="1:10" ht="18">
      <c r="A43" s="166"/>
      <c r="B43" s="166"/>
      <c r="C43" s="166"/>
      <c r="D43" s="166"/>
      <c r="E43" s="166"/>
      <c r="F43" s="166"/>
      <c r="G43" s="166"/>
      <c r="H43" s="166"/>
      <c r="I43" s="166"/>
      <c r="J43" s="166"/>
    </row>
    <row r="44" ht="13.5" thickBot="1"/>
    <row r="45" spans="1:10" ht="13.5" thickTop="1">
      <c r="A45" s="167" t="s">
        <v>532</v>
      </c>
      <c r="B45" s="168"/>
      <c r="C45" s="169" t="s">
        <v>482</v>
      </c>
      <c r="D45" s="170" t="s">
        <v>483</v>
      </c>
      <c r="E45" s="171" t="s">
        <v>484</v>
      </c>
      <c r="F45" s="170" t="s">
        <v>485</v>
      </c>
      <c r="G45" s="172" t="s">
        <v>482</v>
      </c>
      <c r="H45" s="173" t="s">
        <v>486</v>
      </c>
      <c r="I45" s="174"/>
      <c r="J45" s="173"/>
    </row>
    <row r="46" spans="1:10" ht="13.5" thickBot="1">
      <c r="A46" s="175"/>
      <c r="B46" s="176"/>
      <c r="C46" s="177">
        <v>2004</v>
      </c>
      <c r="D46" s="178">
        <v>2004</v>
      </c>
      <c r="E46" s="177">
        <v>2004</v>
      </c>
      <c r="F46" s="178">
        <v>2005</v>
      </c>
      <c r="G46" s="179">
        <v>2005</v>
      </c>
      <c r="H46" s="180" t="s">
        <v>487</v>
      </c>
      <c r="I46" s="181" t="s">
        <v>488</v>
      </c>
      <c r="J46" s="180" t="s">
        <v>489</v>
      </c>
    </row>
    <row r="47" spans="1:10" ht="13.5" thickBot="1">
      <c r="A47" s="182" t="s">
        <v>490</v>
      </c>
      <c r="B47" s="183" t="s">
        <v>491</v>
      </c>
      <c r="C47" s="184">
        <v>114</v>
      </c>
      <c r="D47" s="185">
        <v>115.2</v>
      </c>
      <c r="E47" s="186">
        <v>115.6</v>
      </c>
      <c r="F47" s="185">
        <v>116.6</v>
      </c>
      <c r="G47" s="187">
        <v>117.3</v>
      </c>
      <c r="H47" s="188">
        <v>0.6</v>
      </c>
      <c r="I47" s="189">
        <v>1.4</v>
      </c>
      <c r="J47" s="188">
        <v>2.9</v>
      </c>
    </row>
    <row r="48" spans="1:10" ht="12.75">
      <c r="A48" s="190"/>
      <c r="B48" s="191" t="s">
        <v>492</v>
      </c>
      <c r="C48" s="192"/>
      <c r="D48" s="193"/>
      <c r="E48" s="192"/>
      <c r="F48" s="193"/>
      <c r="G48" s="194"/>
      <c r="H48" s="195"/>
      <c r="I48" s="196"/>
      <c r="J48" s="195"/>
    </row>
    <row r="49" spans="1:10" ht="12.75">
      <c r="A49" s="197" t="s">
        <v>493</v>
      </c>
      <c r="B49" s="198" t="s">
        <v>494</v>
      </c>
      <c r="C49" s="192">
        <v>112.6</v>
      </c>
      <c r="D49" s="199">
        <v>113.6</v>
      </c>
      <c r="E49" s="192">
        <v>113.9</v>
      </c>
      <c r="F49" s="192">
        <v>114.7</v>
      </c>
      <c r="G49" s="194">
        <v>115.6</v>
      </c>
      <c r="H49" s="199">
        <v>0.7</v>
      </c>
      <c r="I49" s="199">
        <v>1.4</v>
      </c>
      <c r="J49" s="199">
        <v>2.6</v>
      </c>
    </row>
    <row r="50" spans="1:10" ht="12.75">
      <c r="A50" s="200" t="s">
        <v>495</v>
      </c>
      <c r="B50" s="201" t="s">
        <v>496</v>
      </c>
      <c r="C50" s="202">
        <v>112.6</v>
      </c>
      <c r="D50" s="202">
        <v>113.9</v>
      </c>
      <c r="E50" s="202">
        <v>114.1</v>
      </c>
      <c r="F50" s="202">
        <v>115</v>
      </c>
      <c r="G50" s="203">
        <v>115.5</v>
      </c>
      <c r="H50" s="202">
        <v>0.4</v>
      </c>
      <c r="I50" s="202">
        <v>1.2</v>
      </c>
      <c r="J50" s="202">
        <v>2.6</v>
      </c>
    </row>
    <row r="51" spans="1:10" ht="12.75">
      <c r="A51" s="200" t="s">
        <v>497</v>
      </c>
      <c r="B51" s="201" t="s">
        <v>498</v>
      </c>
      <c r="C51" s="202">
        <v>112.5</v>
      </c>
      <c r="D51" s="202">
        <v>114.3</v>
      </c>
      <c r="E51" s="202">
        <v>114.6</v>
      </c>
      <c r="F51" s="202">
        <v>115.3</v>
      </c>
      <c r="G51" s="203">
        <v>115.6</v>
      </c>
      <c r="H51" s="202">
        <v>0.2</v>
      </c>
      <c r="I51" s="202">
        <v>0.9</v>
      </c>
      <c r="J51" s="202">
        <v>2.7</v>
      </c>
    </row>
    <row r="52" spans="1:10" ht="12.75">
      <c r="A52" s="200" t="s">
        <v>499</v>
      </c>
      <c r="B52" s="201" t="s">
        <v>500</v>
      </c>
      <c r="C52" s="202">
        <v>110.3</v>
      </c>
      <c r="D52" s="202">
        <v>111.3</v>
      </c>
      <c r="E52" s="202">
        <v>111.4</v>
      </c>
      <c r="F52" s="202">
        <v>112.2</v>
      </c>
      <c r="G52" s="203">
        <v>112.8</v>
      </c>
      <c r="H52" s="202">
        <v>0.5</v>
      </c>
      <c r="I52" s="202">
        <v>1.2</v>
      </c>
      <c r="J52" s="202">
        <v>2.3</v>
      </c>
    </row>
    <row r="53" spans="1:10" ht="12.75">
      <c r="A53" s="200" t="s">
        <v>501</v>
      </c>
      <c r="B53" s="201" t="s">
        <v>502</v>
      </c>
      <c r="C53" s="202">
        <v>113.2</v>
      </c>
      <c r="D53" s="202">
        <v>113.8</v>
      </c>
      <c r="E53" s="202">
        <v>114</v>
      </c>
      <c r="F53" s="202">
        <v>115.5</v>
      </c>
      <c r="G53" s="203">
        <v>116</v>
      </c>
      <c r="H53" s="202">
        <v>0.4</v>
      </c>
      <c r="I53" s="202">
        <v>1.8</v>
      </c>
      <c r="J53" s="202">
        <v>2.5</v>
      </c>
    </row>
    <row r="54" spans="1:10" ht="12.75">
      <c r="A54" s="200" t="s">
        <v>503</v>
      </c>
      <c r="B54" s="201" t="s">
        <v>504</v>
      </c>
      <c r="C54" s="192">
        <v>113.9</v>
      </c>
      <c r="D54" s="192">
        <v>115.3</v>
      </c>
      <c r="E54" s="192">
        <v>115.7</v>
      </c>
      <c r="F54" s="192">
        <v>116.5</v>
      </c>
      <c r="G54" s="194">
        <v>117</v>
      </c>
      <c r="H54" s="192">
        <v>0.5</v>
      </c>
      <c r="I54" s="192">
        <v>1.1</v>
      </c>
      <c r="J54" s="192">
        <v>2.7</v>
      </c>
    </row>
    <row r="55" spans="1:10" ht="12.75">
      <c r="A55" s="197" t="s">
        <v>505</v>
      </c>
      <c r="B55" s="198" t="s">
        <v>506</v>
      </c>
      <c r="C55" s="192">
        <v>116.8</v>
      </c>
      <c r="D55" s="192">
        <v>117.4</v>
      </c>
      <c r="E55" s="192">
        <v>117.8</v>
      </c>
      <c r="F55" s="192">
        <v>119.7</v>
      </c>
      <c r="G55" s="194">
        <v>120.5</v>
      </c>
      <c r="H55" s="192">
        <v>0.6</v>
      </c>
      <c r="I55" s="192">
        <v>2.3</v>
      </c>
      <c r="J55" s="192">
        <v>3.2</v>
      </c>
    </row>
    <row r="56" spans="1:10" ht="12.75">
      <c r="A56" s="200" t="s">
        <v>507</v>
      </c>
      <c r="B56" s="201" t="s">
        <v>508</v>
      </c>
      <c r="C56" s="202">
        <v>114.3</v>
      </c>
      <c r="D56" s="202">
        <v>115.2</v>
      </c>
      <c r="E56" s="202">
        <v>115.5</v>
      </c>
      <c r="F56" s="202">
        <v>116.7</v>
      </c>
      <c r="G56" s="203">
        <v>117.4</v>
      </c>
      <c r="H56" s="202">
        <v>0.6</v>
      </c>
      <c r="I56" s="202">
        <v>1.6</v>
      </c>
      <c r="J56" s="202">
        <v>2.7</v>
      </c>
    </row>
    <row r="57" spans="1:10" ht="12.75">
      <c r="A57" s="200" t="s">
        <v>509</v>
      </c>
      <c r="B57" s="201" t="s">
        <v>510</v>
      </c>
      <c r="C57" s="202">
        <v>116.2</v>
      </c>
      <c r="D57" s="202">
        <v>116.7</v>
      </c>
      <c r="E57" s="202">
        <v>117.3</v>
      </c>
      <c r="F57" s="202">
        <v>118</v>
      </c>
      <c r="G57" s="203">
        <v>119</v>
      </c>
      <c r="H57" s="202">
        <v>0.8</v>
      </c>
      <c r="I57" s="202">
        <v>1.5</v>
      </c>
      <c r="J57" s="202">
        <v>2.4</v>
      </c>
    </row>
    <row r="58" spans="1:10" ht="12.75">
      <c r="A58" s="200" t="s">
        <v>511</v>
      </c>
      <c r="B58" s="209" t="s">
        <v>512</v>
      </c>
      <c r="C58" s="210">
        <v>114.2</v>
      </c>
      <c r="D58" s="210">
        <v>115.3</v>
      </c>
      <c r="E58" s="210">
        <v>115.6</v>
      </c>
      <c r="F58" s="210">
        <v>116.8</v>
      </c>
      <c r="G58" s="211">
        <v>117.5</v>
      </c>
      <c r="H58" s="210">
        <v>0.6</v>
      </c>
      <c r="I58" s="210">
        <v>1.7</v>
      </c>
      <c r="J58" s="210">
        <v>2.9</v>
      </c>
    </row>
    <row r="59" spans="1:10" ht="12.75">
      <c r="A59" s="204" t="s">
        <v>513</v>
      </c>
      <c r="B59" s="205" t="s">
        <v>514</v>
      </c>
      <c r="C59" s="192">
        <v>113.4</v>
      </c>
      <c r="D59" s="192">
        <v>114.2</v>
      </c>
      <c r="E59" s="192">
        <v>114.5</v>
      </c>
      <c r="F59" s="192">
        <v>115.6</v>
      </c>
      <c r="G59" s="194">
        <v>116.3</v>
      </c>
      <c r="H59" s="192">
        <v>0.6</v>
      </c>
      <c r="I59" s="192">
        <v>1.6</v>
      </c>
      <c r="J59" s="192">
        <v>2.5</v>
      </c>
    </row>
    <row r="60" spans="1:10" ht="12.75">
      <c r="A60" s="200" t="s">
        <v>515</v>
      </c>
      <c r="B60" s="201" t="s">
        <v>516</v>
      </c>
      <c r="C60" s="202">
        <v>113.4</v>
      </c>
      <c r="D60" s="202">
        <v>114.5</v>
      </c>
      <c r="E60" s="202">
        <v>114.9</v>
      </c>
      <c r="F60" s="202">
        <v>115.9</v>
      </c>
      <c r="G60" s="203">
        <v>116.7</v>
      </c>
      <c r="H60" s="202">
        <v>0.7</v>
      </c>
      <c r="I60" s="202">
        <v>1.6</v>
      </c>
      <c r="J60" s="202">
        <v>2.9</v>
      </c>
    </row>
    <row r="61" spans="1:10" ht="12.75">
      <c r="A61" s="200" t="s">
        <v>517</v>
      </c>
      <c r="B61" s="201" t="s">
        <v>518</v>
      </c>
      <c r="C61" s="202">
        <v>112.3</v>
      </c>
      <c r="D61" s="202">
        <v>113.3</v>
      </c>
      <c r="E61" s="202">
        <v>113.5</v>
      </c>
      <c r="F61" s="202">
        <v>114.7</v>
      </c>
      <c r="G61" s="203">
        <v>115.5</v>
      </c>
      <c r="H61" s="202">
        <v>0.6</v>
      </c>
      <c r="I61" s="202">
        <v>1.7</v>
      </c>
      <c r="J61" s="202">
        <v>2.8</v>
      </c>
    </row>
    <row r="62" spans="1:10" ht="12.75">
      <c r="A62" s="200" t="s">
        <v>519</v>
      </c>
      <c r="B62" s="201" t="s">
        <v>520</v>
      </c>
      <c r="C62" s="202">
        <v>111.9</v>
      </c>
      <c r="D62" s="202">
        <v>113.8</v>
      </c>
      <c r="E62" s="202">
        <v>114.2</v>
      </c>
      <c r="F62" s="202">
        <v>114.9</v>
      </c>
      <c r="G62" s="203">
        <v>115.8</v>
      </c>
      <c r="H62" s="202">
        <v>0.7</v>
      </c>
      <c r="I62" s="202">
        <v>1.4</v>
      </c>
      <c r="J62" s="202">
        <v>3.5</v>
      </c>
    </row>
    <row r="63" spans="1:10" ht="12.75">
      <c r="A63" s="200" t="s">
        <v>521</v>
      </c>
      <c r="B63" s="201" t="s">
        <v>522</v>
      </c>
      <c r="C63" s="202">
        <v>114</v>
      </c>
      <c r="D63" s="202">
        <v>115.3</v>
      </c>
      <c r="E63" s="202">
        <v>115.6</v>
      </c>
      <c r="F63" s="202">
        <v>116.4</v>
      </c>
      <c r="G63" s="203">
        <v>117.1</v>
      </c>
      <c r="H63" s="202">
        <v>0.6</v>
      </c>
      <c r="I63" s="202">
        <v>1.3</v>
      </c>
      <c r="J63" s="202">
        <v>2.7</v>
      </c>
    </row>
    <row r="64" spans="1:10" ht="12.75">
      <c r="A64" s="200" t="s">
        <v>523</v>
      </c>
      <c r="B64" s="201" t="s">
        <v>524</v>
      </c>
      <c r="C64" s="202">
        <v>112.9</v>
      </c>
      <c r="D64" s="202">
        <v>114</v>
      </c>
      <c r="E64" s="202">
        <v>114.3</v>
      </c>
      <c r="F64" s="202">
        <v>115.3</v>
      </c>
      <c r="G64" s="203">
        <v>116.1</v>
      </c>
      <c r="H64" s="202">
        <v>0.8</v>
      </c>
      <c r="I64" s="202">
        <v>1.6</v>
      </c>
      <c r="J64" s="202">
        <v>2.9</v>
      </c>
    </row>
    <row r="65" spans="1:10" ht="12.75">
      <c r="A65" s="200" t="s">
        <v>525</v>
      </c>
      <c r="B65" s="209" t="s">
        <v>526</v>
      </c>
      <c r="C65" s="210">
        <v>114</v>
      </c>
      <c r="D65" s="210">
        <v>115</v>
      </c>
      <c r="E65" s="210">
        <v>115.5</v>
      </c>
      <c r="F65" s="210">
        <v>116.7</v>
      </c>
      <c r="G65" s="211">
        <v>117.4</v>
      </c>
      <c r="H65" s="210">
        <v>0.7</v>
      </c>
      <c r="I65" s="210">
        <v>1.6</v>
      </c>
      <c r="J65" s="210">
        <v>3</v>
      </c>
    </row>
    <row r="66" spans="1:10" ht="12.75">
      <c r="A66" s="204" t="s">
        <v>527</v>
      </c>
      <c r="B66" s="205" t="s">
        <v>528</v>
      </c>
      <c r="C66" s="192">
        <v>113.8</v>
      </c>
      <c r="D66" s="192">
        <v>114.8</v>
      </c>
      <c r="E66" s="192">
        <v>115</v>
      </c>
      <c r="F66" s="192">
        <v>115.9</v>
      </c>
      <c r="G66" s="194">
        <v>116.9</v>
      </c>
      <c r="H66" s="192">
        <v>0.9</v>
      </c>
      <c r="I66" s="192">
        <v>1.7</v>
      </c>
      <c r="J66" s="192">
        <v>2.7</v>
      </c>
    </row>
    <row r="71" ht="12.75">
      <c r="A71" s="29" t="s">
        <v>529</v>
      </c>
    </row>
    <row r="72" ht="12.75">
      <c r="A72" s="29" t="s">
        <v>530</v>
      </c>
    </row>
    <row r="73" ht="12.75">
      <c r="A73" s="29" t="s">
        <v>531</v>
      </c>
    </row>
    <row r="76" spans="1:18" ht="12.75">
      <c r="A76" s="29" t="s">
        <v>586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35" t="s">
        <v>537</v>
      </c>
      <c r="B77" s="222" t="s">
        <v>538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25.5">
      <c r="A78" s="35"/>
      <c r="B78" s="35" t="s">
        <v>539</v>
      </c>
      <c r="C78" s="222" t="s">
        <v>540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25.5">
      <c r="A79" s="35"/>
      <c r="B79" s="35" t="s">
        <v>541</v>
      </c>
      <c r="C79" s="222" t="s">
        <v>542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25.5">
      <c r="A80" s="35"/>
      <c r="B80" s="35" t="s">
        <v>345</v>
      </c>
      <c r="C80" s="222" t="s">
        <v>554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75" customHeight="1">
      <c r="A82" s="35"/>
      <c r="B82" s="35" t="s">
        <v>543</v>
      </c>
      <c r="C82" s="557" t="s">
        <v>544</v>
      </c>
      <c r="D82" s="557"/>
      <c r="E82" s="557" t="s">
        <v>545</v>
      </c>
      <c r="F82" s="557"/>
      <c r="G82" s="557" t="s">
        <v>546</v>
      </c>
      <c r="H82" s="557"/>
      <c r="I82" s="557" t="s">
        <v>547</v>
      </c>
      <c r="J82" s="557"/>
      <c r="K82" s="557" t="s">
        <v>548</v>
      </c>
      <c r="L82" s="557"/>
      <c r="M82" s="557" t="s">
        <v>549</v>
      </c>
      <c r="N82" s="557"/>
      <c r="O82" s="557" t="s">
        <v>550</v>
      </c>
      <c r="P82" s="557"/>
      <c r="Q82" s="557" t="s">
        <v>551</v>
      </c>
      <c r="R82" s="557"/>
    </row>
    <row r="83" spans="1:18" ht="12.75">
      <c r="A83" s="35" t="s">
        <v>552</v>
      </c>
      <c r="B83" s="35"/>
      <c r="C83" s="557"/>
      <c r="D83" s="557"/>
      <c r="E83" s="557"/>
      <c r="F83" s="557"/>
      <c r="G83" s="557"/>
      <c r="H83" s="557"/>
      <c r="I83" s="557"/>
      <c r="J83" s="557"/>
      <c r="K83" s="557"/>
      <c r="L83" s="557"/>
      <c r="M83" s="557"/>
      <c r="N83" s="557"/>
      <c r="O83" s="557"/>
      <c r="P83" s="557"/>
      <c r="Q83" s="557"/>
      <c r="R83" s="557"/>
    </row>
    <row r="84" spans="1:18" ht="25.5">
      <c r="A84" s="222" t="s">
        <v>553</v>
      </c>
      <c r="B84" s="35"/>
      <c r="C84" s="223">
        <f>96.1/96.1</f>
        <v>1</v>
      </c>
      <c r="D84" s="223"/>
      <c r="E84" s="223">
        <f>100/96.1*100</f>
        <v>104.0582726326743</v>
      </c>
      <c r="F84" s="223"/>
      <c r="G84" s="223">
        <f>104.6/96.1*100</f>
        <v>108.84495317377731</v>
      </c>
      <c r="H84" s="223"/>
      <c r="I84" s="223">
        <f>108.7/96.1*100</f>
        <v>113.11134235171698</v>
      </c>
      <c r="J84" s="223"/>
      <c r="K84" s="223">
        <f>112.5/96.1*100</f>
        <v>117.0655567117586</v>
      </c>
      <c r="L84" s="223"/>
      <c r="M84" s="223">
        <f>116.4/96.1*100</f>
        <v>121.12382934443289</v>
      </c>
      <c r="N84" s="223"/>
      <c r="O84" s="223">
        <f>119.6/96.1*100</f>
        <v>124.45369406867846</v>
      </c>
      <c r="P84" s="223"/>
      <c r="Q84" s="223">
        <f>123.9/96.1*100</f>
        <v>128.92819979188346</v>
      </c>
      <c r="R84" s="223"/>
    </row>
    <row r="88" spans="1:5" ht="12.75">
      <c r="A88" s="224" t="s">
        <v>533</v>
      </c>
      <c r="B88" s="224" t="s">
        <v>534</v>
      </c>
      <c r="C88" s="224" t="s">
        <v>535</v>
      </c>
      <c r="D88" s="224" t="s">
        <v>536</v>
      </c>
      <c r="E88" s="224" t="s">
        <v>555</v>
      </c>
    </row>
    <row r="89" spans="1:5" ht="12.75">
      <c r="A89" s="224">
        <v>1998</v>
      </c>
      <c r="B89" s="224">
        <v>100</v>
      </c>
      <c r="C89" s="224">
        <f>AVERAGE(103.9,105.3)/104.6</f>
        <v>1</v>
      </c>
      <c r="D89" s="224">
        <v>100</v>
      </c>
      <c r="E89" s="224"/>
    </row>
    <row r="90" spans="1:12" ht="13.5">
      <c r="A90" s="224">
        <v>1999</v>
      </c>
      <c r="B90" s="224"/>
      <c r="C90" s="224">
        <f>AVERAGE(104.5,105.6)/104.6*100</f>
        <v>100.4302103250478</v>
      </c>
      <c r="D90" s="224"/>
      <c r="E90" s="225">
        <v>100</v>
      </c>
      <c r="H90" s="207"/>
      <c r="I90" s="207"/>
      <c r="J90" s="207"/>
      <c r="K90" s="207"/>
      <c r="L90" s="207"/>
    </row>
    <row r="91" spans="1:12" ht="13.5">
      <c r="A91" s="224">
        <v>2000</v>
      </c>
      <c r="B91" s="224"/>
      <c r="C91" s="224">
        <f>AVERAGE(106.2,107.3)/104.6*100</f>
        <v>102.05544933078394</v>
      </c>
      <c r="D91" s="224"/>
      <c r="E91" s="225">
        <f>100/96.1*100</f>
        <v>104.0582726326743</v>
      </c>
      <c r="H91" s="164"/>
      <c r="I91" s="164"/>
      <c r="J91" s="164"/>
      <c r="K91" s="164"/>
      <c r="L91" s="164"/>
    </row>
    <row r="92" spans="1:12" ht="13.5">
      <c r="A92" s="224">
        <v>2001</v>
      </c>
      <c r="B92" s="224"/>
      <c r="C92" s="224">
        <f>AVERAGE(109.2,111.1)/104.6*100</f>
        <v>105.30592734225624</v>
      </c>
      <c r="D92" s="224"/>
      <c r="E92" s="225">
        <f>104.6/96.1*100</f>
        <v>108.84495317377731</v>
      </c>
      <c r="H92" s="207"/>
      <c r="I92" s="207"/>
      <c r="J92" s="207"/>
      <c r="K92" s="207"/>
      <c r="L92" s="207"/>
    </row>
    <row r="93" spans="1:5" ht="12.75">
      <c r="A93" s="224">
        <v>2002</v>
      </c>
      <c r="B93" s="224"/>
      <c r="C93" s="224">
        <f>AVERAGE(111.1,112.5)/104.6*100</f>
        <v>106.88336520076483</v>
      </c>
      <c r="D93" s="224"/>
      <c r="E93" s="225">
        <f>108.7/96.1*100</f>
        <v>113.11134235171698</v>
      </c>
    </row>
    <row r="94" spans="1:5" ht="12.75">
      <c r="A94" s="224">
        <v>2003</v>
      </c>
      <c r="B94" s="224"/>
      <c r="C94" s="224">
        <f>AVERAGE(112.3,113.9)/104.6*100</f>
        <v>108.12619502868068</v>
      </c>
      <c r="D94" s="224"/>
      <c r="E94" s="225">
        <f>112.5/96.1*100</f>
        <v>117.0655567117586</v>
      </c>
    </row>
    <row r="95" spans="1:5" ht="12.75">
      <c r="A95" s="224">
        <v>2004</v>
      </c>
      <c r="B95" s="224">
        <v>115.6</v>
      </c>
      <c r="C95" s="224">
        <f>AVERAGE(113.2,114.5)/104.6*100</f>
        <v>108.8432122370937</v>
      </c>
      <c r="D95" s="224"/>
      <c r="E95" s="225">
        <f>116.4/96.1*100</f>
        <v>121.12382934443289</v>
      </c>
    </row>
    <row r="96" spans="1:5" ht="12.75">
      <c r="A96" s="224">
        <v>2005</v>
      </c>
      <c r="B96" s="226">
        <v>118.5</v>
      </c>
      <c r="C96" s="224">
        <f>AVERAGE(113.8,116.33)/104.6*100</f>
        <v>110.00478011472276</v>
      </c>
      <c r="D96" s="224">
        <v>118</v>
      </c>
      <c r="E96" s="225">
        <f>119.6/96.1*100</f>
        <v>124.45369406867846</v>
      </c>
    </row>
    <row r="97" spans="1:5" ht="12.75">
      <c r="A97" s="224">
        <v>2006</v>
      </c>
      <c r="B97" s="224"/>
      <c r="C97" s="224">
        <f>AVERAGE(115.29,117.43)/104.6*100</f>
        <v>111.24282982791588</v>
      </c>
      <c r="D97" s="224"/>
      <c r="E97" s="225">
        <f>123.9/96.1*100</f>
        <v>128.92819979188346</v>
      </c>
    </row>
    <row r="98" spans="1:5" ht="12.75">
      <c r="A98" s="224">
        <v>2007</v>
      </c>
      <c r="B98" s="224"/>
      <c r="C98" s="224">
        <v>112.5</v>
      </c>
      <c r="D98" s="224"/>
      <c r="E98" s="225"/>
    </row>
    <row r="99" spans="1:5" ht="12.75">
      <c r="A99" s="224">
        <v>2008</v>
      </c>
      <c r="B99" s="224"/>
      <c r="C99" s="224">
        <v>114</v>
      </c>
      <c r="D99" s="224"/>
      <c r="E99" s="224"/>
    </row>
    <row r="104" ht="12.75">
      <c r="E104" s="34" t="s">
        <v>544</v>
      </c>
    </row>
    <row r="105" spans="1:5" ht="12.75">
      <c r="A105" s="34"/>
      <c r="B105" s="212"/>
      <c r="E105" s="34"/>
    </row>
    <row r="106" spans="1:5" ht="12.75">
      <c r="A106" s="34"/>
      <c r="B106" s="34"/>
      <c r="C106" s="212"/>
      <c r="E106" s="213"/>
    </row>
    <row r="107" spans="1:5" ht="12.75">
      <c r="A107" s="34"/>
      <c r="B107" s="34"/>
      <c r="C107" s="212"/>
      <c r="E107" s="213"/>
    </row>
    <row r="108" spans="1:5" ht="12.75">
      <c r="A108" s="34"/>
      <c r="B108" s="34"/>
      <c r="C108" s="212"/>
      <c r="E108" s="213"/>
    </row>
    <row r="109" ht="12.75">
      <c r="E109" s="213"/>
    </row>
    <row r="110" spans="1:20" ht="12.75" customHeight="1">
      <c r="A110" s="227" t="s">
        <v>562</v>
      </c>
      <c r="B110" s="227" t="s">
        <v>563</v>
      </c>
      <c r="C110" s="558"/>
      <c r="D110" s="558"/>
      <c r="E110" s="213"/>
      <c r="F110" s="34"/>
      <c r="G110" s="558"/>
      <c r="H110" s="558"/>
      <c r="I110" s="558"/>
      <c r="J110" s="558"/>
      <c r="K110" s="558"/>
      <c r="L110" s="558"/>
      <c r="M110" s="558"/>
      <c r="N110" s="558"/>
      <c r="O110" s="558"/>
      <c r="P110" s="558"/>
      <c r="Q110" s="558"/>
      <c r="R110" s="558"/>
      <c r="S110" s="558"/>
      <c r="T110" s="558"/>
    </row>
    <row r="111" spans="1:20" ht="12.75">
      <c r="A111" s="227"/>
      <c r="B111" s="227"/>
      <c r="C111" s="558"/>
      <c r="D111" s="558"/>
      <c r="F111" s="34"/>
      <c r="G111" s="558"/>
      <c r="H111" s="558"/>
      <c r="I111" s="558"/>
      <c r="J111" s="558"/>
      <c r="K111" s="558"/>
      <c r="L111" s="558"/>
      <c r="M111" s="558"/>
      <c r="N111" s="558"/>
      <c r="O111" s="558"/>
      <c r="P111" s="558"/>
      <c r="Q111" s="558"/>
      <c r="R111" s="558"/>
      <c r="S111" s="558"/>
      <c r="T111" s="558"/>
    </row>
    <row r="112" spans="1:20" ht="12.75">
      <c r="A112" s="228">
        <v>35431</v>
      </c>
      <c r="B112" s="227">
        <v>0.7</v>
      </c>
      <c r="C112" s="213"/>
      <c r="D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</row>
    <row r="113" spans="1:20" ht="12.75">
      <c r="A113" s="228">
        <v>37622</v>
      </c>
      <c r="B113" s="227">
        <v>0.8</v>
      </c>
      <c r="C113" s="213"/>
      <c r="D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</row>
    <row r="114" spans="1:20" ht="12.75">
      <c r="A114" s="228">
        <v>37987</v>
      </c>
      <c r="B114" s="227">
        <v>1</v>
      </c>
      <c r="C114" s="213"/>
      <c r="D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</row>
    <row r="115" spans="1:20" ht="12.75">
      <c r="A115" s="228">
        <v>38353</v>
      </c>
      <c r="B115" s="227">
        <v>1.4</v>
      </c>
      <c r="C115" s="213"/>
      <c r="D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</row>
    <row r="116" spans="1:20" ht="12.75">
      <c r="A116" s="228">
        <v>38718</v>
      </c>
      <c r="B116" s="227">
        <v>2</v>
      </c>
      <c r="C116" s="213"/>
      <c r="D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</row>
    <row r="117" spans="1:2" ht="12.75">
      <c r="A117" s="228">
        <v>39083</v>
      </c>
      <c r="B117" s="227">
        <v>3</v>
      </c>
    </row>
    <row r="118" spans="1:2" ht="12.75">
      <c r="A118" s="228">
        <v>39448</v>
      </c>
      <c r="B118" s="227">
        <v>3.2</v>
      </c>
    </row>
    <row r="119" spans="1:2" ht="12.75">
      <c r="A119" s="229"/>
      <c r="B119" s="229"/>
    </row>
    <row r="120" spans="1:2" ht="12.75">
      <c r="A120" s="229"/>
      <c r="B120" s="229"/>
    </row>
    <row r="121" spans="1:2" ht="12.75">
      <c r="A121" s="229" t="s">
        <v>564</v>
      </c>
      <c r="B121" s="229"/>
    </row>
    <row r="122" spans="1:2" ht="12.75">
      <c r="A122" s="228">
        <v>36526</v>
      </c>
      <c r="B122" s="229">
        <v>100</v>
      </c>
    </row>
    <row r="123" spans="1:2" ht="12.75">
      <c r="A123" s="228">
        <v>39083</v>
      </c>
      <c r="B123" s="229">
        <v>190</v>
      </c>
    </row>
    <row r="126" spans="1:2" ht="12.75">
      <c r="A126" t="s">
        <v>662</v>
      </c>
      <c r="B126" t="s">
        <v>663</v>
      </c>
    </row>
    <row r="127" spans="1:2" ht="12.75">
      <c r="A127" s="228">
        <v>36892</v>
      </c>
      <c r="B127" s="227">
        <v>4.3</v>
      </c>
    </row>
    <row r="128" spans="1:2" ht="12.75">
      <c r="A128" s="228">
        <v>37257</v>
      </c>
      <c r="B128" s="227">
        <v>4.2</v>
      </c>
    </row>
    <row r="129" spans="1:2" ht="12.75">
      <c r="A129" s="228">
        <v>37622</v>
      </c>
      <c r="B129" s="227">
        <v>3.75</v>
      </c>
    </row>
    <row r="130" spans="1:2" ht="12.75">
      <c r="A130" s="228">
        <v>37987</v>
      </c>
      <c r="B130" s="227">
        <v>3.6</v>
      </c>
    </row>
    <row r="131" spans="1:2" ht="12.75">
      <c r="A131" s="228">
        <v>38353</v>
      </c>
      <c r="B131" s="227">
        <v>4</v>
      </c>
    </row>
    <row r="132" spans="1:2" ht="12.75">
      <c r="A132" s="228">
        <v>38718</v>
      </c>
      <c r="B132" s="227">
        <v>4.5</v>
      </c>
    </row>
    <row r="133" spans="1:2" ht="12.75">
      <c r="A133" s="228">
        <v>39083</v>
      </c>
      <c r="B133" s="227">
        <v>5.5</v>
      </c>
    </row>
  </sheetData>
  <sheetProtection/>
  <mergeCells count="32">
    <mergeCell ref="M110:N110"/>
    <mergeCell ref="O110:P110"/>
    <mergeCell ref="Q110:R110"/>
    <mergeCell ref="C110:D110"/>
    <mergeCell ref="G110:H110"/>
    <mergeCell ref="I110:J110"/>
    <mergeCell ref="S110:T110"/>
    <mergeCell ref="C111:D111"/>
    <mergeCell ref="G111:H111"/>
    <mergeCell ref="I111:J111"/>
    <mergeCell ref="K111:L111"/>
    <mergeCell ref="M111:N111"/>
    <mergeCell ref="O111:P111"/>
    <mergeCell ref="Q111:R111"/>
    <mergeCell ref="S111:T111"/>
    <mergeCell ref="K110:L110"/>
    <mergeCell ref="K82:L82"/>
    <mergeCell ref="M82:N82"/>
    <mergeCell ref="O82:P82"/>
    <mergeCell ref="C82:D82"/>
    <mergeCell ref="E82:F82"/>
    <mergeCell ref="G82:H82"/>
    <mergeCell ref="Q82:R82"/>
    <mergeCell ref="C83:D83"/>
    <mergeCell ref="E83:F83"/>
    <mergeCell ref="G83:H83"/>
    <mergeCell ref="I83:J83"/>
    <mergeCell ref="K83:L83"/>
    <mergeCell ref="M83:N83"/>
    <mergeCell ref="O83:P83"/>
    <mergeCell ref="Q83:R83"/>
    <mergeCell ref="I82:J8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7">
      <selection activeCell="F20" sqref="F20"/>
    </sheetView>
  </sheetViews>
  <sheetFormatPr defaultColWidth="9.140625" defaultRowHeight="12.75"/>
  <cols>
    <col min="1" max="1" width="29.7109375" style="141" bestFit="1" customWidth="1"/>
    <col min="2" max="2" width="11.7109375" style="141" bestFit="1" customWidth="1"/>
    <col min="3" max="3" width="17.57421875" style="141" bestFit="1" customWidth="1"/>
    <col min="4" max="4" width="18.7109375" style="141" bestFit="1" customWidth="1"/>
    <col min="5" max="5" width="7.57421875" style="141" bestFit="1" customWidth="1"/>
    <col min="6" max="6" width="53.7109375" style="141" bestFit="1" customWidth="1"/>
    <col min="7" max="7" width="11.421875" style="141" bestFit="1" customWidth="1"/>
    <col min="8" max="9" width="9.140625" style="141" customWidth="1"/>
    <col min="10" max="10" width="19.7109375" style="141" bestFit="1" customWidth="1"/>
    <col min="11" max="11" width="11.57421875" style="141" bestFit="1" customWidth="1"/>
    <col min="12" max="12" width="5.57421875" style="141" bestFit="1" customWidth="1"/>
    <col min="13" max="16384" width="9.140625" style="141" customWidth="1"/>
  </cols>
  <sheetData>
    <row r="1" ht="12.75">
      <c r="A1" s="141" t="s">
        <v>557</v>
      </c>
    </row>
    <row r="2" spans="1:3" ht="12.75">
      <c r="A2" s="141" t="s">
        <v>558</v>
      </c>
      <c r="B2" s="141" t="s">
        <v>559</v>
      </c>
      <c r="C2" s="214">
        <v>0.25</v>
      </c>
    </row>
    <row r="3" spans="1:3" ht="12.75">
      <c r="A3" s="141" t="s">
        <v>558</v>
      </c>
      <c r="B3" s="141" t="s">
        <v>560</v>
      </c>
      <c r="C3" s="214">
        <v>0.27</v>
      </c>
    </row>
    <row r="4" spans="1:5" ht="15">
      <c r="A4" s="559" t="s">
        <v>556</v>
      </c>
      <c r="B4" s="559"/>
      <c r="C4" s="559"/>
      <c r="D4" s="559"/>
      <c r="E4" s="559"/>
    </row>
    <row r="5" spans="1:6" s="147" customFormat="1" ht="15">
      <c r="A5" s="146" t="s">
        <v>396</v>
      </c>
      <c r="B5" s="146" t="s">
        <v>397</v>
      </c>
      <c r="C5" s="146" t="s">
        <v>398</v>
      </c>
      <c r="D5" s="146" t="s">
        <v>399</v>
      </c>
      <c r="E5" s="146" t="s">
        <v>415</v>
      </c>
      <c r="F5" s="146" t="s">
        <v>425</v>
      </c>
    </row>
    <row r="6" spans="1:6" ht="12.75">
      <c r="A6" s="141" t="s">
        <v>406</v>
      </c>
      <c r="B6" s="144">
        <v>7000</v>
      </c>
      <c r="C6" s="141">
        <v>0.51</v>
      </c>
      <c r="D6" s="144" t="s">
        <v>96</v>
      </c>
      <c r="E6" s="144">
        <v>1999</v>
      </c>
      <c r="F6" s="141">
        <f>C6*(0.2+0.8*1.25)</f>
        <v>0.612</v>
      </c>
    </row>
    <row r="7" spans="1:6" ht="12.75">
      <c r="A7" s="215" t="s">
        <v>402</v>
      </c>
      <c r="B7" s="216">
        <v>35000</v>
      </c>
      <c r="C7" s="215">
        <v>1.24</v>
      </c>
      <c r="D7" s="216" t="s">
        <v>96</v>
      </c>
      <c r="E7" s="216">
        <v>1999</v>
      </c>
      <c r="F7" s="215">
        <f aca="true" t="shared" si="0" ref="F7:F15">C7*(0.2+0.8*1.25)</f>
        <v>1.488</v>
      </c>
    </row>
    <row r="8" spans="1:6" ht="12.75">
      <c r="A8" s="141" t="s">
        <v>405</v>
      </c>
      <c r="B8" s="144">
        <v>35000</v>
      </c>
      <c r="C8" s="141">
        <v>5.64</v>
      </c>
      <c r="D8" s="144">
        <v>544143</v>
      </c>
      <c r="E8" s="144">
        <v>1999</v>
      </c>
      <c r="F8" s="141">
        <f t="shared" si="0"/>
        <v>6.768</v>
      </c>
    </row>
    <row r="9" spans="1:6" ht="12.75">
      <c r="A9" s="141" t="s">
        <v>401</v>
      </c>
      <c r="B9" s="144">
        <v>70000</v>
      </c>
      <c r="C9" s="141">
        <v>0.21</v>
      </c>
      <c r="D9" s="144" t="s">
        <v>96</v>
      </c>
      <c r="E9" s="144">
        <v>1999</v>
      </c>
      <c r="F9" s="141">
        <f t="shared" si="0"/>
        <v>0.252</v>
      </c>
    </row>
    <row r="10" spans="1:6" ht="12.75">
      <c r="A10" s="141" t="s">
        <v>400</v>
      </c>
      <c r="B10" s="144">
        <v>324000</v>
      </c>
      <c r="C10" s="141">
        <v>1.14</v>
      </c>
      <c r="D10" s="144" t="s">
        <v>96</v>
      </c>
      <c r="E10" s="144">
        <v>1999</v>
      </c>
      <c r="F10" s="141">
        <f t="shared" si="0"/>
        <v>1.3679999999999999</v>
      </c>
    </row>
    <row r="11" spans="1:6" ht="12.75">
      <c r="A11" s="215" t="s">
        <v>403</v>
      </c>
      <c r="B11" s="216">
        <v>324000</v>
      </c>
      <c r="C11" s="215">
        <f>(2.69*B11-D11)/B11</f>
        <v>2.254074074074074</v>
      </c>
      <c r="D11" s="216">
        <v>141240</v>
      </c>
      <c r="E11" s="216">
        <v>1999</v>
      </c>
      <c r="F11" s="215">
        <f t="shared" si="0"/>
        <v>2.7048888888888887</v>
      </c>
    </row>
    <row r="12" spans="1:6" ht="12.75">
      <c r="A12" s="141" t="s">
        <v>405</v>
      </c>
      <c r="B12" s="144">
        <v>324000</v>
      </c>
      <c r="C12" s="141">
        <f>(5.4*B12-D12)/B12</f>
        <v>3.7205462962962965</v>
      </c>
      <c r="D12" s="144">
        <v>544143</v>
      </c>
      <c r="E12" s="144">
        <v>1999</v>
      </c>
      <c r="F12" s="141">
        <f t="shared" si="0"/>
        <v>4.464655555555556</v>
      </c>
    </row>
    <row r="13" spans="1:6" ht="12.75">
      <c r="A13" s="141" t="s">
        <v>406</v>
      </c>
      <c r="B13" s="144">
        <v>624000</v>
      </c>
      <c r="C13" s="141">
        <v>0.51</v>
      </c>
      <c r="D13" s="144" t="s">
        <v>96</v>
      </c>
      <c r="E13" s="144">
        <v>1999</v>
      </c>
      <c r="F13" s="141">
        <f t="shared" si="0"/>
        <v>0.612</v>
      </c>
    </row>
    <row r="14" spans="1:6" ht="12.75">
      <c r="A14" s="141" t="s">
        <v>401</v>
      </c>
      <c r="B14" s="144">
        <v>642000</v>
      </c>
      <c r="C14" s="141">
        <v>0.19</v>
      </c>
      <c r="D14" s="144" t="s">
        <v>96</v>
      </c>
      <c r="E14" s="144">
        <v>1999</v>
      </c>
      <c r="F14" s="141">
        <f t="shared" si="0"/>
        <v>0.22799999999999998</v>
      </c>
    </row>
    <row r="15" spans="1:6" ht="12.75">
      <c r="A15" s="141" t="s">
        <v>404</v>
      </c>
      <c r="B15" s="144">
        <v>642000</v>
      </c>
      <c r="C15" s="141">
        <v>0.24</v>
      </c>
      <c r="D15" s="144" t="s">
        <v>96</v>
      </c>
      <c r="E15" s="144">
        <v>1999</v>
      </c>
      <c r="F15" s="141">
        <f t="shared" si="0"/>
        <v>0.288</v>
      </c>
    </row>
    <row r="18" spans="1:6" ht="15">
      <c r="A18" s="559" t="s">
        <v>409</v>
      </c>
      <c r="B18" s="561"/>
      <c r="C18" s="561"/>
      <c r="D18" s="561"/>
      <c r="E18" s="561"/>
      <c r="F18" s="141">
        <f>5*4*10000/3</f>
        <v>66666.66666666667</v>
      </c>
    </row>
    <row r="19" spans="1:7" ht="15.75">
      <c r="A19" s="143" t="s">
        <v>396</v>
      </c>
      <c r="B19" s="143" t="s">
        <v>397</v>
      </c>
      <c r="C19" s="143" t="s">
        <v>398</v>
      </c>
      <c r="D19" s="143" t="s">
        <v>399</v>
      </c>
      <c r="E19" s="143" t="s">
        <v>415</v>
      </c>
      <c r="F19" s="143" t="s">
        <v>425</v>
      </c>
      <c r="G19" s="141" t="s">
        <v>417</v>
      </c>
    </row>
    <row r="20" spans="1:7" ht="12.75">
      <c r="A20" s="141" t="s">
        <v>407</v>
      </c>
      <c r="B20" s="144">
        <v>2940000</v>
      </c>
      <c r="C20" s="141">
        <f>(2.11*B20-D20)/B20</f>
        <v>1.8867397959183674</v>
      </c>
      <c r="D20" s="144">
        <v>656385</v>
      </c>
      <c r="E20" s="144">
        <v>1999</v>
      </c>
      <c r="F20" s="141">
        <f>C20*(0.2+0.8*1.25)</f>
        <v>2.264087755102041</v>
      </c>
      <c r="G20" s="141" t="s">
        <v>418</v>
      </c>
    </row>
    <row r="21" spans="1:7" ht="12.75">
      <c r="A21" s="141" t="s">
        <v>408</v>
      </c>
      <c r="B21" s="144">
        <v>2940000</v>
      </c>
      <c r="C21" s="141">
        <f>(2.06*B21-D21)/B21</f>
        <v>1.995374149659864</v>
      </c>
      <c r="D21" s="144">
        <v>190000</v>
      </c>
      <c r="E21" s="144">
        <v>1999</v>
      </c>
      <c r="F21" s="141">
        <f>C21*(0.2+0.8*1.25)</f>
        <v>2.3944489795918367</v>
      </c>
      <c r="G21" s="141" t="s">
        <v>418</v>
      </c>
    </row>
    <row r="22" spans="1:7" ht="12.75">
      <c r="A22" s="142" t="s">
        <v>410</v>
      </c>
      <c r="B22" s="144">
        <v>2940000</v>
      </c>
      <c r="C22" s="141">
        <f>(1.95*B22-D22)/B22</f>
        <v>1.5955248299319729</v>
      </c>
      <c r="D22" s="144">
        <v>1042157</v>
      </c>
      <c r="E22" s="144">
        <v>1999</v>
      </c>
      <c r="F22" s="141">
        <f>C22*(0.2+0.8*1.25)</f>
        <v>1.9146297959183673</v>
      </c>
      <c r="G22" s="141" t="s">
        <v>418</v>
      </c>
    </row>
    <row r="23" spans="1:7" ht="12.75">
      <c r="A23" s="215" t="s">
        <v>412</v>
      </c>
      <c r="B23" s="216">
        <v>2940000</v>
      </c>
      <c r="C23" s="215">
        <v>1.1</v>
      </c>
      <c r="D23" s="216">
        <v>125000</v>
      </c>
      <c r="E23" s="216">
        <v>1999</v>
      </c>
      <c r="F23" s="215">
        <f>C23*(0.2+0.8*1.25)</f>
        <v>1.32</v>
      </c>
      <c r="G23" s="141" t="s">
        <v>418</v>
      </c>
    </row>
    <row r="24" spans="1:6" ht="12.75">
      <c r="A24" s="141" t="s">
        <v>400</v>
      </c>
      <c r="B24" s="144">
        <v>2205000</v>
      </c>
      <c r="C24" s="142">
        <f>(0.7*B24-D24)/B24</f>
        <v>0.6496598639455783</v>
      </c>
      <c r="D24" s="144">
        <v>111000</v>
      </c>
      <c r="E24" s="144">
        <v>1999</v>
      </c>
      <c r="F24" s="141">
        <f>C24*(0.2+0.8*1.25)</f>
        <v>0.7795918367346939</v>
      </c>
    </row>
    <row r="25" spans="1:6" ht="12.75">
      <c r="A25" s="141" t="s">
        <v>407</v>
      </c>
      <c r="B25" s="144">
        <v>88000</v>
      </c>
      <c r="C25" s="142">
        <v>2</v>
      </c>
      <c r="D25" s="144"/>
      <c r="E25" s="144">
        <v>2000</v>
      </c>
      <c r="F25" s="141">
        <f>C25*(0.2+0.8*1.22)</f>
        <v>2.352</v>
      </c>
    </row>
    <row r="26" spans="1:6" ht="12.75">
      <c r="A26" s="215" t="s">
        <v>407</v>
      </c>
      <c r="B26" s="216">
        <v>4500</v>
      </c>
      <c r="C26" s="215">
        <v>4.68</v>
      </c>
      <c r="D26" s="216">
        <v>170000</v>
      </c>
      <c r="E26" s="216">
        <v>2000</v>
      </c>
      <c r="F26" s="215">
        <f>C26*(0.2+0.8*1.22)</f>
        <v>5.503679999999999</v>
      </c>
    </row>
    <row r="27" spans="1:5" ht="12.75">
      <c r="A27" s="141" t="s">
        <v>407</v>
      </c>
      <c r="B27" s="144"/>
      <c r="E27" s="144"/>
    </row>
    <row r="29" spans="1:6" ht="15">
      <c r="A29" s="559" t="s">
        <v>411</v>
      </c>
      <c r="B29" s="561"/>
      <c r="C29" s="561"/>
      <c r="D29" s="561"/>
      <c r="E29" s="561"/>
      <c r="F29" s="141">
        <f>5*4*10000/5.8</f>
        <v>34482.75862068966</v>
      </c>
    </row>
    <row r="30" spans="1:6" ht="15.75">
      <c r="A30" s="143" t="s">
        <v>396</v>
      </c>
      <c r="B30" s="143" t="s">
        <v>397</v>
      </c>
      <c r="C30" s="143" t="s">
        <v>398</v>
      </c>
      <c r="D30" s="143" t="s">
        <v>399</v>
      </c>
      <c r="E30" s="143" t="s">
        <v>415</v>
      </c>
      <c r="F30" s="143" t="s">
        <v>425</v>
      </c>
    </row>
    <row r="31" spans="1:6" ht="12.75">
      <c r="A31" s="142" t="s">
        <v>412</v>
      </c>
      <c r="B31" s="144">
        <v>2900000</v>
      </c>
      <c r="C31" s="141">
        <f>(2.6*B31-D31)/B31</f>
        <v>2.5586206896551724</v>
      </c>
      <c r="D31" s="144">
        <v>120000</v>
      </c>
      <c r="E31" s="144">
        <v>1999</v>
      </c>
      <c r="F31" s="141">
        <f>C31*(0.2+0.8*1.25)</f>
        <v>3.0703448275862066</v>
      </c>
    </row>
    <row r="32" spans="1:6" ht="12.75">
      <c r="A32" s="142" t="s">
        <v>407</v>
      </c>
      <c r="B32" s="144">
        <v>2900000</v>
      </c>
      <c r="C32" s="141">
        <f>(2.21*B32-D32)/B32</f>
        <v>2.016896551724138</v>
      </c>
      <c r="D32" s="144">
        <v>560000</v>
      </c>
      <c r="E32" s="144">
        <v>1999</v>
      </c>
      <c r="F32" s="141">
        <f>C32*(0.2+0.8*1.25)</f>
        <v>2.4202758620689653</v>
      </c>
    </row>
    <row r="33" spans="1:6" ht="12.75">
      <c r="A33" s="141" t="s">
        <v>403</v>
      </c>
      <c r="B33" s="144">
        <v>2900000</v>
      </c>
      <c r="C33" s="141">
        <f>(2.17*B33-D33)/B33</f>
        <v>2.1248275862068966</v>
      </c>
      <c r="D33" s="216">
        <v>131000</v>
      </c>
      <c r="E33" s="144">
        <v>1999</v>
      </c>
      <c r="F33" s="141">
        <f>C33*(0.2+0.8*1.25)</f>
        <v>2.549793103448276</v>
      </c>
    </row>
    <row r="34" spans="1:6" ht="12.75">
      <c r="A34" s="141" t="s">
        <v>413</v>
      </c>
      <c r="B34" s="144">
        <v>2900000</v>
      </c>
      <c r="C34" s="141">
        <f>(3.23*B34-D34)/B34</f>
        <v>3.012758620689655</v>
      </c>
      <c r="D34" s="144">
        <v>630000</v>
      </c>
      <c r="E34" s="144">
        <v>1999</v>
      </c>
      <c r="F34" s="141">
        <f>C34*(0.2+0.8*1.25)</f>
        <v>3.615310344827586</v>
      </c>
    </row>
    <row r="35" spans="1:6" ht="12.75">
      <c r="A35" s="141" t="s">
        <v>400</v>
      </c>
      <c r="B35" s="144">
        <v>2900000</v>
      </c>
      <c r="C35" s="141">
        <f>(1.2*B35-D35)/B35</f>
        <v>1.1551724137931034</v>
      </c>
      <c r="D35" s="144">
        <v>130000</v>
      </c>
      <c r="E35" s="144">
        <v>1999</v>
      </c>
      <c r="F35" s="141">
        <f>C35*(0.2+0.8*1.25)</f>
        <v>1.386206896551724</v>
      </c>
    </row>
    <row r="36" spans="1:6" ht="12.75">
      <c r="A36" s="215" t="s">
        <v>412</v>
      </c>
      <c r="B36" s="216">
        <v>15000</v>
      </c>
      <c r="C36" s="215">
        <v>3.7</v>
      </c>
      <c r="D36" s="216"/>
      <c r="E36" s="216">
        <v>1998</v>
      </c>
      <c r="F36" s="215">
        <f>C36*(0.2+0.8*1.27)</f>
        <v>4.4992</v>
      </c>
    </row>
    <row r="37" spans="1:6" ht="12.75">
      <c r="A37" s="215" t="s">
        <v>412</v>
      </c>
      <c r="B37" s="216">
        <v>21000</v>
      </c>
      <c r="C37" s="215">
        <v>3</v>
      </c>
      <c r="D37" s="216"/>
      <c r="E37" s="216">
        <v>1998</v>
      </c>
      <c r="F37" s="215">
        <f>C37*(0.2+0.8*1.27)</f>
        <v>3.6479999999999997</v>
      </c>
    </row>
    <row r="38" spans="2:5" ht="12.75">
      <c r="B38" s="144"/>
      <c r="D38" s="144"/>
      <c r="E38" s="144"/>
    </row>
    <row r="39" spans="1:5" ht="15">
      <c r="A39" s="559" t="s">
        <v>52</v>
      </c>
      <c r="B39" s="560"/>
      <c r="C39" s="560"/>
      <c r="D39" s="560"/>
      <c r="E39" s="560"/>
    </row>
    <row r="40" spans="1:6" ht="15.75">
      <c r="A40" s="143" t="s">
        <v>396</v>
      </c>
      <c r="B40" s="143" t="s">
        <v>397</v>
      </c>
      <c r="C40" s="143" t="s">
        <v>398</v>
      </c>
      <c r="D40" s="143" t="s">
        <v>399</v>
      </c>
      <c r="E40" s="143" t="s">
        <v>415</v>
      </c>
      <c r="F40" s="143" t="s">
        <v>561</v>
      </c>
    </row>
    <row r="41" spans="1:6" ht="12.75">
      <c r="A41" s="142" t="s">
        <v>419</v>
      </c>
      <c r="B41" s="144">
        <v>41500</v>
      </c>
      <c r="C41" s="141">
        <f>(15.9*B41-D41)/B41</f>
        <v>15.70722891566265</v>
      </c>
      <c r="D41" s="144">
        <v>8000</v>
      </c>
      <c r="E41" s="144">
        <v>1999</v>
      </c>
      <c r="F41" s="142">
        <f>C41*(0.2+0.5*1.25+0.3*3.2/0.7)</f>
        <v>34.49980636833046</v>
      </c>
    </row>
    <row r="42" ht="12.75">
      <c r="A42" s="142"/>
    </row>
    <row r="43" ht="12.75">
      <c r="A43" s="142"/>
    </row>
    <row r="45" spans="1:5" ht="15">
      <c r="A45" s="559" t="s">
        <v>414</v>
      </c>
      <c r="B45" s="559"/>
      <c r="C45" s="559"/>
      <c r="D45" s="559"/>
      <c r="E45" s="559"/>
    </row>
    <row r="46" spans="1:6" ht="15.75">
      <c r="A46" s="143" t="s">
        <v>396</v>
      </c>
      <c r="B46" s="143" t="s">
        <v>397</v>
      </c>
      <c r="C46" s="143" t="s">
        <v>398</v>
      </c>
      <c r="D46" s="143" t="s">
        <v>399</v>
      </c>
      <c r="E46" s="143" t="s">
        <v>415</v>
      </c>
      <c r="F46" s="143" t="s">
        <v>565</v>
      </c>
    </row>
    <row r="47" spans="1:6" ht="12.75">
      <c r="A47" s="141" t="s">
        <v>416</v>
      </c>
      <c r="B47" s="144">
        <v>2</v>
      </c>
      <c r="C47" s="141">
        <v>29500</v>
      </c>
      <c r="D47" s="144">
        <v>59000</v>
      </c>
      <c r="E47" s="144">
        <v>1996</v>
      </c>
      <c r="F47" s="141">
        <f>C47*(0.2+0.3*1.45+0.5*1.9)</f>
        <v>46757.5</v>
      </c>
    </row>
    <row r="48" spans="2:5" ht="12.75">
      <c r="B48" s="144"/>
      <c r="E48" s="144"/>
    </row>
    <row r="49" spans="1:5" ht="12.75">
      <c r="A49" s="142" t="s">
        <v>658</v>
      </c>
      <c r="B49" s="144"/>
      <c r="E49" s="144"/>
    </row>
    <row r="50" spans="1:5" ht="15">
      <c r="A50" s="559" t="s">
        <v>67</v>
      </c>
      <c r="B50" s="560"/>
      <c r="C50" s="560"/>
      <c r="D50" s="560"/>
      <c r="E50" s="145"/>
    </row>
    <row r="51" spans="1:6" ht="15.75">
      <c r="A51" s="143" t="s">
        <v>396</v>
      </c>
      <c r="B51" s="143" t="s">
        <v>397</v>
      </c>
      <c r="C51" s="143" t="s">
        <v>398</v>
      </c>
      <c r="D51" s="143" t="s">
        <v>399</v>
      </c>
      <c r="E51" s="143" t="s">
        <v>415</v>
      </c>
      <c r="F51" s="143" t="s">
        <v>565</v>
      </c>
    </row>
    <row r="52" spans="1:6" ht="12.75">
      <c r="A52" s="141" t="s">
        <v>424</v>
      </c>
      <c r="B52" s="144">
        <v>1241</v>
      </c>
      <c r="C52" s="141">
        <v>5150</v>
      </c>
      <c r="D52" s="144">
        <v>33700</v>
      </c>
      <c r="E52" s="144"/>
      <c r="F52" s="141">
        <f>C52*(0.2+0.3*1.25+0.5*1.9)</f>
        <v>7853.749999999999</v>
      </c>
    </row>
    <row r="53" spans="1:6" ht="12.75">
      <c r="A53" s="141" t="s">
        <v>420</v>
      </c>
      <c r="B53" s="144">
        <v>1241</v>
      </c>
      <c r="C53" s="141">
        <v>5316</v>
      </c>
      <c r="E53" s="144"/>
      <c r="F53" s="141">
        <f>C53*(0.2+0.3*1.25+0.5*1.9)</f>
        <v>8106.9</v>
      </c>
    </row>
    <row r="54" spans="1:6" ht="12.75">
      <c r="A54" s="141" t="s">
        <v>421</v>
      </c>
      <c r="B54" s="144">
        <v>1241</v>
      </c>
      <c r="C54" s="141">
        <v>5395</v>
      </c>
      <c r="E54" s="144"/>
      <c r="F54" s="141">
        <f>C54*(0.2+0.3*1.25+0.5*1.9)</f>
        <v>8227.375</v>
      </c>
    </row>
    <row r="55" spans="1:6" ht="12.75">
      <c r="A55" s="141" t="s">
        <v>422</v>
      </c>
      <c r="B55" s="144">
        <v>1241</v>
      </c>
      <c r="C55" s="141">
        <v>5525</v>
      </c>
      <c r="E55" s="144"/>
      <c r="F55" s="141">
        <f>C55*(0.2+0.3*1.25+0.5*1.9)</f>
        <v>8425.625</v>
      </c>
    </row>
    <row r="56" spans="1:6" ht="12.75">
      <c r="A56" s="141" t="s">
        <v>423</v>
      </c>
      <c r="B56" s="144">
        <v>1241</v>
      </c>
      <c r="C56" s="141">
        <v>5682</v>
      </c>
      <c r="E56" s="144"/>
      <c r="F56" s="141">
        <f>C56*(0.2+0.3*1.25+0.5*1.9)</f>
        <v>8665.05</v>
      </c>
    </row>
    <row r="57" spans="2:5" ht="12.75">
      <c r="B57" s="144"/>
      <c r="E57" s="144"/>
    </row>
    <row r="58" spans="2:5" ht="12.75">
      <c r="B58" s="144"/>
      <c r="E58" s="144"/>
    </row>
    <row r="59" ht="12.75">
      <c r="E59" s="144"/>
    </row>
    <row r="60" ht="12.75">
      <c r="E60" s="144"/>
    </row>
    <row r="61" ht="12.75">
      <c r="E61" s="144"/>
    </row>
  </sheetData>
  <sheetProtection/>
  <mergeCells count="6">
    <mergeCell ref="A45:E45"/>
    <mergeCell ref="A50:D50"/>
    <mergeCell ref="A4:E4"/>
    <mergeCell ref="A29:E29"/>
    <mergeCell ref="A18:E18"/>
    <mergeCell ref="A39:E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ostojic</dc:creator>
  <cp:keywords/>
  <dc:description/>
  <cp:lastModifiedBy>pfessia</cp:lastModifiedBy>
  <cp:lastPrinted>2008-01-31T11:37:06Z</cp:lastPrinted>
  <dcterms:created xsi:type="dcterms:W3CDTF">2007-12-14T07:24:37Z</dcterms:created>
  <dcterms:modified xsi:type="dcterms:W3CDTF">2008-10-17T11:32:08Z</dcterms:modified>
  <cp:category/>
  <cp:version/>
  <cp:contentType/>
  <cp:contentStatus/>
</cp:coreProperties>
</file>