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5790" windowHeight="1845" tabRatio="1000" firstSheet="3" activeTab="7"/>
  </bookViews>
  <sheets>
    <sheet name="Sommaire" sheetId="1" r:id="rId1"/>
    <sheet name="HCMQAP011_001_pos1_1" sheetId="2" r:id="rId2"/>
    <sheet name="HCMQAP011_001_pos2_1" sheetId="3" r:id="rId3"/>
    <sheet name="HCMQAP011_001_pos3_1" sheetId="4" r:id="rId4"/>
    <sheet name="HCMQAP011_001_pos4_1" sheetId="5" r:id="rId5"/>
    <sheet name="HCMQAP011_001_pos5_1" sheetId="6" r:id="rId6"/>
    <sheet name="Lmag_hcmqap" sheetId="7" r:id="rId7"/>
    <sheet name="Result_HCMQAP" sheetId="8" r:id="rId8"/>
  </sheets>
  <definedNames>
    <definedName name="_xlnm.Print_Area" localSheetId="1">'HCMQAP011_001_pos1_1'!$A$1:$N$28</definedName>
    <definedName name="_xlnm.Print_Area" localSheetId="2">'HCMQAP011_001_pos2_1'!$A$1:$N$28</definedName>
    <definedName name="_xlnm.Print_Area" localSheetId="3">'HCMQAP011_001_pos3_1'!$A$1:$N$28</definedName>
    <definedName name="_xlnm.Print_Area" localSheetId="4">'HCMQAP011_001_pos4_1'!$A$1:$N$28</definedName>
    <definedName name="_xlnm.Print_Area" localSheetId="5">'HCMQAP011_001_pos5_1'!$A$1:$N$28</definedName>
    <definedName name="_xlnm.Print_Area" localSheetId="6">'Lmag_hcmqap'!$A$1:$G$54</definedName>
    <definedName name="_xlnm.Print_Area" localSheetId="0">'Sommaire'!$A$1:$N$14</definedName>
  </definedNames>
  <calcPr fullCalcOnLoad="1"/>
</workbook>
</file>

<file path=xl/sharedStrings.xml><?xml version="1.0" encoding="utf-8"?>
<sst xmlns="http://schemas.openxmlformats.org/spreadsheetml/2006/main" count="510" uniqueCount="189">
  <si>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</si>
  <si>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</si>
  <si>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</si>
  <si>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</si>
  <si>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</si>
  <si>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</si>
  <si>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</si>
  <si>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</si>
  <si>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</si>
  <si>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</si>
  <si>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</si>
  <si>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</si>
  <si>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</si>
  <si>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</si>
  <si>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</si>
  <si>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hcmqap011_001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</si>
  <si>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</si>
  <si>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</si>
  <si>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</si>
  <si>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</si>
  <si>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</si>
  <si>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</si>
  <si>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</si>
  <si>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</si>
  <si>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</si>
  <si>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</si>
  <si>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</si>
  <si>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</si>
  <si>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taupe_quadrupole#5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</si>
  <si>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</si>
  <si>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</si>
  <si>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</si>
  <si>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</si>
  <si>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</si>
  <si>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</si>
  <si>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</si>
  <si>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</si>
  <si>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</si>
  <si>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</si>
  <si>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</si>
  <si>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</si>
  <si>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</si>
  <si>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</si>
  <si>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</si>
  <si>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</si>
  <si>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</si>
  <si>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</si>
  <si>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</si>
  <si>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</si>
  <si>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</si>
  <si>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t>Sens du courant</t>
  </si>
  <si>
    <t>+I / -I</t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</si>
  <si>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</si>
  <si>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</si>
  <si>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</si>
  <si>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</si>
  <si>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</si>
  <si>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</si>
  <si>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</si>
  <si>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-2.247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</si>
  <si>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</si>
  <si>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</si>
  <si>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</si>
  <si>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</si>
  <si>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</si>
  <si>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</si>
  <si>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</si>
  <si>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</si>
  <si>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t>HCMQAP011_001_pos1_1</t>
  </si>
  <si>
    <t>13/11/20</t>
  </si>
  <si>
    <t>±12.5</t>
  </si>
  <si>
    <t>THCMQAP011_001_pos1_11141018aper2.xls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</si>
  <si>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-3.761 mT)</t>
    </r>
  </si>
  <si>
    <t>HCMQAP011_001_pos2_1</t>
  </si>
  <si>
    <t>THCMQAP011_001_pos2_11141024aper2.xls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</si>
  <si>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-3.759 mT)</t>
    </r>
  </si>
  <si>
    <t>HCMQAP011_001_pos3_1</t>
  </si>
  <si>
    <t>THCMQAP011_001_pos3_11141031aper2.xls</t>
  </si>
  <si>
    <t>HCMQAP011_001_pos4_1</t>
  </si>
  <si>
    <t>THCMQAP011_001_pos4_11141037aper2.xls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</si>
  <si>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-2.104 mT)</t>
    </r>
  </si>
  <si>
    <t>HCMQAP011_001_pos5_1</t>
  </si>
  <si>
    <t>THCMQAP011_001_pos5_11141043aper2.xls</t>
  </si>
  <si>
    <t>Sommaire : Valeurs intégrales calculées avec les fichiers: HCMQAP011_001_pos1_1+HCMQAP011_001_pos2_1+HCMQAP011_001_pos3_1+HCMQAP011_001_pos4_1+HCMQAP011_001_pos5_1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</si>
  <si>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</si>
  <si>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</si>
  <si>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</si>
  <si>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</si>
  <si>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</si>
  <si>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</si>
  <si>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</si>
  <si>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</si>
  <si>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</si>
  <si>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</si>
  <si>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</si>
  <si>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</si>
  <si>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</si>
  <si>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</si>
  <si>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</si>
  <si>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</si>
  <si>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</si>
  <si>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</si>
  <si>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</si>
  <si>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</si>
  <si>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</si>
  <si>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</si>
  <si>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</si>
  <si>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</si>
  <si>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</si>
  <si>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</si>
  <si>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</si>
  <si>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</si>
  <si>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</si>
  <si>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</si>
  <si>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</si>
  <si>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</si>
  <si>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</si>
  <si>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</si>
  <si>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</si>
  <si>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</si>
  <si>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</si>
  <si>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</si>
  <si>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</si>
  <si>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</si>
  <si>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</si>
  <si>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</si>
  <si>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</si>
  <si>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=-3.76</t>
    </r>
  </si>
  <si>
    <t>Gradient (T/m)</t>
  </si>
  <si>
    <t>HCMQAP011_001_pos1_2</t>
  </si>
  <si>
    <t xml:space="preserve"> Wed 13/11/2002       10:49:02</t>
  </si>
  <si>
    <t>LE NOA</t>
  </si>
  <si>
    <t>HCMQAP011</t>
  </si>
  <si>
    <t>Aperture2</t>
  </si>
  <si>
    <t>Position</t>
  </si>
  <si>
    <t>Integrales</t>
  </si>
  <si>
    <t>Cn (mT)</t>
  </si>
  <si>
    <t>Angle(Horiz,Cn)</t>
  </si>
  <si>
    <t>b1</t>
  </si>
  <si>
    <t>b2</t>
  </si>
  <si>
    <t>a1</t>
  </si>
  <si>
    <t>a2</t>
  </si>
  <si>
    <t>Temp taupe(deg)</t>
  </si>
  <si>
    <t>Niv init(mrad)</t>
  </si>
  <si>
    <t>Dx moy (mm)</t>
  </si>
  <si>
    <t>Dy moy (mm)</t>
  </si>
  <si>
    <t>C2 centre (mT)</t>
  </si>
  <si>
    <t>Long. Mag. (m)</t>
  </si>
  <si>
    <t>Conclusion : NOT-ACCEPTED</t>
  </si>
  <si>
    <t>Dx corrected</t>
  </si>
  <si>
    <t>Dy corrected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</si>
  <si>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</si>
  <si>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</si>
  <si>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</si>
  <si>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</si>
  <si>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</si>
  <si>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</si>
  <si>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</si>
  <si>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</si>
  <si>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</si>
  <si>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</si>
  <si>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</si>
  <si>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</si>
  <si>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</si>
  <si>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</si>
  <si>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</si>
  <si>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</si>
  <si>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</si>
  <si>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</si>
  <si>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</si>
  <si>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</si>
  <si>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</si>
  <si>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</si>
  <si>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</si>
  <si>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</si>
  <si>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</si>
  <si>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</si>
  <si>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</si>
  <si>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</si>
  <si>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</si>
  <si>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</si>
  <si>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</si>
  <si>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</si>
  <si>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</si>
  <si>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</si>
  <si>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</si>
  <si>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</si>
  <si>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</si>
  <si>
    <t>Integrals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</si>
</sst>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dd/mm/yy\ h:mm:ss"/>
    <numFmt numFmtId="181" formatCode="0.0##"/>
    <numFmt numFmtId="182" formatCode="0.00E+0"/>
    <numFmt numFmtId="183" formatCode="0.0###"/>
    <numFmt numFmtId="184" formatCode="dd/mm/yy\ h:mm"/>
    <numFmt numFmtId="185" formatCode="0.0#"/>
    <numFmt numFmtId="186" formatCode="0.#"/>
    <numFmt numFmtId="187" formatCode="0.000"/>
    <numFmt numFmtId="188" formatCode="dd/mm/yy"/>
  </numFmts>
  <fonts count="14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0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81" fontId="3" fillId="0" borderId="0" xfId="0" applyNumberFormat="1" applyFont="1" applyFill="1" applyBorder="1" applyAlignment="1">
      <alignment horizontal="left"/>
    </xf>
    <xf numFmtId="181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81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81" fontId="3" fillId="0" borderId="2" xfId="0" applyNumberFormat="1" applyFont="1" applyFill="1" applyBorder="1" applyAlignment="1">
      <alignment horizontal="left" vertical="top" wrapText="1"/>
    </xf>
    <xf numFmtId="181" fontId="3" fillId="0" borderId="3" xfId="0" applyNumberFormat="1" applyFont="1" applyFill="1" applyBorder="1" applyAlignment="1">
      <alignment horizontal="left"/>
    </xf>
    <xf numFmtId="181" fontId="3" fillId="0" borderId="3" xfId="0" applyNumberFormat="1" applyFont="1" applyFill="1" applyBorder="1" applyAlignment="1">
      <alignment horizontal="center"/>
    </xf>
    <xf numFmtId="181" fontId="3" fillId="0" borderId="3" xfId="0" applyNumberFormat="1" applyFont="1" applyFill="1" applyBorder="1" applyAlignment="1">
      <alignment horizontal="right"/>
    </xf>
    <xf numFmtId="181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81" fontId="3" fillId="0" borderId="2" xfId="0" applyNumberFormat="1" applyFont="1" applyFill="1" applyBorder="1" applyAlignment="1">
      <alignment horizontal="right" vertical="top" wrapText="1"/>
    </xf>
    <xf numFmtId="181" fontId="2" fillId="0" borderId="3" xfId="0" applyNumberFormat="1" applyFont="1" applyFill="1" applyBorder="1" applyAlignment="1">
      <alignment horizontal="right" vertical="center"/>
    </xf>
    <xf numFmtId="186" fontId="3" fillId="0" borderId="2" xfId="0" applyNumberFormat="1" applyFont="1" applyFill="1" applyBorder="1" applyAlignment="1">
      <alignment horizontal="center" vertical="top" wrapText="1"/>
    </xf>
    <xf numFmtId="186" fontId="3" fillId="0" borderId="3" xfId="0" applyNumberFormat="1" applyFont="1" applyFill="1" applyBorder="1" applyAlignment="1">
      <alignment horizontal="center"/>
    </xf>
    <xf numFmtId="186" fontId="2" fillId="0" borderId="3" xfId="0" applyNumberFormat="1" applyFont="1" applyFill="1" applyBorder="1" applyAlignment="1">
      <alignment horizontal="center" vertical="center"/>
    </xf>
    <xf numFmtId="181" fontId="3" fillId="0" borderId="2" xfId="0" applyNumberFormat="1" applyFont="1" applyFill="1" applyBorder="1" applyAlignment="1">
      <alignment horizontal="center" vertical="top" wrapText="1"/>
    </xf>
    <xf numFmtId="181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86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81" fontId="3" fillId="2" borderId="3" xfId="0" applyNumberFormat="1" applyFont="1" applyFill="1" applyBorder="1" applyAlignment="1">
      <alignment horizontal="center"/>
    </xf>
    <xf numFmtId="181" fontId="3" fillId="2" borderId="3" xfId="0" applyNumberFormat="1" applyFont="1" applyFill="1" applyBorder="1" applyAlignment="1">
      <alignment horizontal="left"/>
    </xf>
    <xf numFmtId="181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81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81" fontId="2" fillId="2" borderId="3" xfId="0" applyNumberFormat="1" applyFont="1" applyFill="1" applyBorder="1" applyAlignment="1">
      <alignment horizontal="center"/>
    </xf>
    <xf numFmtId="181" fontId="2" fillId="2" borderId="3" xfId="0" applyNumberFormat="1" applyFont="1" applyFill="1" applyBorder="1" applyAlignment="1">
      <alignment horizontal="left"/>
    </xf>
    <xf numFmtId="181" fontId="2" fillId="2" borderId="3" xfId="0" applyNumberFormat="1" applyFont="1" applyFill="1" applyBorder="1" applyAlignment="1">
      <alignment horizontal="right"/>
    </xf>
    <xf numFmtId="181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8" fontId="3" fillId="0" borderId="2" xfId="0" applyNumberFormat="1" applyFont="1" applyFill="1" applyBorder="1" applyAlignment="1">
      <alignment horizontal="left" vertical="top"/>
    </xf>
    <xf numFmtId="188" fontId="3" fillId="2" borderId="3" xfId="0" applyNumberFormat="1" applyFont="1" applyFill="1" applyBorder="1" applyAlignment="1">
      <alignment horizontal="left"/>
    </xf>
    <xf numFmtId="188" fontId="4" fillId="2" borderId="3" xfId="0" applyNumberFormat="1" applyFont="1" applyFill="1" applyBorder="1" applyAlignment="1">
      <alignment horizontal="left"/>
    </xf>
    <xf numFmtId="188" fontId="2" fillId="0" borderId="3" xfId="0" applyNumberFormat="1" applyFont="1" applyFill="1" applyBorder="1" applyAlignment="1">
      <alignment horizontal="left" vertical="center"/>
    </xf>
    <xf numFmtId="188" fontId="3" fillId="0" borderId="3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81" fontId="3" fillId="0" borderId="7" xfId="0" applyNumberFormat="1" applyFont="1" applyFill="1" applyBorder="1" applyAlignment="1">
      <alignment horizontal="left"/>
    </xf>
    <xf numFmtId="181" fontId="3" fillId="0" borderId="8" xfId="0" applyNumberFormat="1" applyFont="1" applyFill="1" applyBorder="1" applyAlignment="1">
      <alignment horizontal="center"/>
    </xf>
    <xf numFmtId="181" fontId="3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181" fontId="3" fillId="0" borderId="12" xfId="0" applyNumberFormat="1" applyFont="1" applyFill="1" applyBorder="1" applyAlignment="1">
      <alignment horizontal="left"/>
    </xf>
    <xf numFmtId="181" fontId="3" fillId="0" borderId="13" xfId="0" applyNumberFormat="1" applyFont="1" applyFill="1" applyBorder="1" applyAlignment="1">
      <alignment horizontal="center"/>
    </xf>
    <xf numFmtId="181" fontId="3" fillId="0" borderId="14" xfId="0" applyNumberFormat="1" applyFont="1" applyFill="1" applyBorder="1" applyAlignment="1">
      <alignment horizontal="center"/>
    </xf>
    <xf numFmtId="182" fontId="3" fillId="0" borderId="15" xfId="0" applyNumberFormat="1" applyFont="1" applyFill="1" applyBorder="1" applyAlignment="1">
      <alignment horizontal="center"/>
    </xf>
    <xf numFmtId="182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84" fontId="3" fillId="0" borderId="11" xfId="0" applyNumberFormat="1" applyFont="1" applyFill="1" applyBorder="1" applyAlignment="1">
      <alignment horizontal="left"/>
    </xf>
    <xf numFmtId="181" fontId="3" fillId="0" borderId="16" xfId="0" applyNumberFormat="1" applyFont="1" applyFill="1" applyBorder="1" applyAlignment="1">
      <alignment horizontal="left"/>
    </xf>
    <xf numFmtId="181" fontId="3" fillId="0" borderId="17" xfId="0" applyNumberFormat="1" applyFont="1" applyFill="1" applyBorder="1" applyAlignment="1">
      <alignment horizontal="left"/>
    </xf>
    <xf numFmtId="181" fontId="3" fillId="0" borderId="17" xfId="0" applyNumberFormat="1" applyFont="1" applyFill="1" applyBorder="1" applyAlignment="1">
      <alignment horizontal="center"/>
    </xf>
    <xf numFmtId="181" fontId="3" fillId="0" borderId="18" xfId="0" applyNumberFormat="1" applyFont="1" applyFill="1" applyBorder="1" applyAlignment="1">
      <alignment horizontal="center"/>
    </xf>
    <xf numFmtId="181" fontId="3" fillId="0" borderId="12" xfId="0" applyNumberFormat="1" applyFont="1" applyFill="1" applyBorder="1" applyAlignment="1">
      <alignment horizontal="center"/>
    </xf>
    <xf numFmtId="181" fontId="5" fillId="0" borderId="13" xfId="0" applyNumberFormat="1" applyFont="1" applyFill="1" applyBorder="1" applyAlignment="1">
      <alignment horizontal="left"/>
    </xf>
    <xf numFmtId="181" fontId="5" fillId="0" borderId="13" xfId="0" applyNumberFormat="1" applyFont="1" applyFill="1" applyBorder="1" applyAlignment="1">
      <alignment horizontal="center"/>
    </xf>
    <xf numFmtId="181" fontId="5" fillId="0" borderId="14" xfId="0" applyNumberFormat="1" applyFont="1" applyFill="1" applyBorder="1" applyAlignment="1">
      <alignment horizontal="center"/>
    </xf>
    <xf numFmtId="181" fontId="5" fillId="0" borderId="19" xfId="0" applyNumberFormat="1" applyFont="1" applyFill="1" applyBorder="1" applyAlignment="1">
      <alignment horizontal="center"/>
    </xf>
    <xf numFmtId="181" fontId="5" fillId="0" borderId="20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 horizontal="left"/>
    </xf>
    <xf numFmtId="181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81" fontId="3" fillId="0" borderId="22" xfId="0" applyNumberFormat="1" applyFont="1" applyFill="1" applyBorder="1" applyAlignment="1">
      <alignment horizontal="center"/>
    </xf>
    <xf numFmtId="181" fontId="4" fillId="0" borderId="23" xfId="0" applyNumberFormat="1" applyFont="1" applyFill="1" applyBorder="1" applyAlignment="1">
      <alignment horizontal="center"/>
    </xf>
    <xf numFmtId="181" fontId="3" fillId="0" borderId="23" xfId="0" applyNumberFormat="1" applyFont="1" applyFill="1" applyBorder="1" applyAlignment="1">
      <alignment horizontal="center"/>
    </xf>
    <xf numFmtId="181" fontId="3" fillId="0" borderId="24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181" fontId="5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81" fontId="3" fillId="0" borderId="15" xfId="0" applyNumberFormat="1" applyFont="1" applyFill="1" applyBorder="1" applyAlignment="1">
      <alignment horizontal="center"/>
    </xf>
    <xf numFmtId="181" fontId="3" fillId="0" borderId="11" xfId="0" applyNumberFormat="1" applyFont="1" applyFill="1" applyBorder="1" applyAlignment="1">
      <alignment horizontal="center"/>
    </xf>
    <xf numFmtId="181" fontId="3" fillId="0" borderId="11" xfId="0" applyNumberFormat="1" applyFont="1" applyFill="1" applyBorder="1" applyAlignment="1">
      <alignment horizontal="left"/>
    </xf>
    <xf numFmtId="181" fontId="3" fillId="0" borderId="10" xfId="0" applyNumberFormat="1" applyFont="1" applyFill="1" applyBorder="1" applyAlignment="1">
      <alignment horizontal="center"/>
    </xf>
    <xf numFmtId="183" fontId="3" fillId="0" borderId="11" xfId="0" applyNumberFormat="1" applyFont="1" applyFill="1" applyBorder="1" applyAlignment="1">
      <alignment horizontal="left"/>
    </xf>
    <xf numFmtId="181" fontId="5" fillId="0" borderId="11" xfId="0" applyNumberFormat="1" applyFont="1" applyFill="1" applyBorder="1" applyAlignment="1">
      <alignment horizontal="left"/>
    </xf>
    <xf numFmtId="181" fontId="3" fillId="3" borderId="10" xfId="0" applyNumberFormat="1" applyFont="1" applyFill="1" applyBorder="1" applyAlignment="1">
      <alignment horizontal="center"/>
    </xf>
    <xf numFmtId="185" fontId="3" fillId="0" borderId="11" xfId="0" applyNumberFormat="1" applyFont="1" applyFill="1" applyBorder="1" applyAlignment="1">
      <alignment horizontal="left"/>
    </xf>
    <xf numFmtId="181" fontId="3" fillId="0" borderId="25" xfId="0" applyNumberFormat="1" applyFont="1" applyFill="1" applyBorder="1" applyAlignment="1">
      <alignment horizontal="center"/>
    </xf>
    <xf numFmtId="181" fontId="3" fillId="0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81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left"/>
    </xf>
    <xf numFmtId="181" fontId="2" fillId="0" borderId="28" xfId="0" applyNumberFormat="1" applyFont="1" applyFill="1" applyBorder="1" applyAlignment="1">
      <alignment horizontal="left"/>
    </xf>
    <xf numFmtId="181" fontId="2" fillId="0" borderId="29" xfId="0" applyNumberFormat="1" applyFont="1" applyFill="1" applyBorder="1" applyAlignment="1">
      <alignment horizontal="left"/>
    </xf>
    <xf numFmtId="181" fontId="7" fillId="0" borderId="29" xfId="0" applyNumberFormat="1" applyFont="1" applyFill="1" applyBorder="1" applyAlignment="1">
      <alignment horizontal="left"/>
    </xf>
    <xf numFmtId="181" fontId="2" fillId="0" borderId="30" xfId="0" applyNumberFormat="1" applyFont="1" applyFill="1" applyBorder="1" applyAlignment="1">
      <alignment horizontal="left"/>
    </xf>
    <xf numFmtId="181" fontId="2" fillId="0" borderId="31" xfId="0" applyNumberFormat="1" applyFont="1" applyFill="1" applyBorder="1" applyAlignment="1">
      <alignment horizontal="left"/>
    </xf>
    <xf numFmtId="181" fontId="2" fillId="0" borderId="32" xfId="0" applyNumberFormat="1" applyFont="1" applyFill="1" applyBorder="1" applyAlignment="1">
      <alignment horizontal="left"/>
    </xf>
    <xf numFmtId="181" fontId="2" fillId="0" borderId="32" xfId="0" applyNumberFormat="1" applyFont="1" applyFill="1" applyBorder="1" applyAlignment="1">
      <alignment horizontal="center"/>
    </xf>
    <xf numFmtId="181" fontId="2" fillId="0" borderId="33" xfId="0" applyNumberFormat="1" applyFont="1" applyFill="1" applyBorder="1" applyAlignment="1">
      <alignment horizontal="left"/>
    </xf>
    <xf numFmtId="181" fontId="2" fillId="0" borderId="34" xfId="0" applyNumberFormat="1" applyFont="1" applyFill="1" applyBorder="1" applyAlignment="1">
      <alignment horizontal="left"/>
    </xf>
    <xf numFmtId="181" fontId="2" fillId="0" borderId="35" xfId="0" applyNumberFormat="1" applyFont="1" applyFill="1" applyBorder="1" applyAlignment="1">
      <alignment horizontal="left"/>
    </xf>
    <xf numFmtId="181" fontId="2" fillId="0" borderId="36" xfId="0" applyNumberFormat="1" applyFont="1" applyFill="1" applyBorder="1" applyAlignment="1">
      <alignment horizontal="left"/>
    </xf>
    <xf numFmtId="181" fontId="2" fillId="0" borderId="36" xfId="0" applyNumberFormat="1" applyFont="1" applyFill="1" applyBorder="1" applyAlignment="1">
      <alignment horizontal="center"/>
    </xf>
    <xf numFmtId="181" fontId="2" fillId="0" borderId="37" xfId="0" applyNumberFormat="1" applyFont="1" applyFill="1" applyBorder="1" applyAlignment="1">
      <alignment horizontal="left"/>
    </xf>
    <xf numFmtId="181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81" fontId="2" fillId="0" borderId="40" xfId="0" applyNumberFormat="1" applyFont="1" applyFill="1" applyBorder="1" applyAlignment="1">
      <alignment horizontal="left" vertical="center"/>
    </xf>
    <xf numFmtId="181" fontId="2" fillId="0" borderId="41" xfId="0" applyNumberFormat="1" applyFont="1" applyFill="1" applyBorder="1" applyAlignment="1">
      <alignment horizontal="left" vertical="center"/>
    </xf>
    <xf numFmtId="181" fontId="5" fillId="3" borderId="15" xfId="0" applyNumberFormat="1" applyFont="1" applyFill="1" applyBorder="1" applyAlignment="1">
      <alignment horizontal="center"/>
    </xf>
    <xf numFmtId="181" fontId="3" fillId="3" borderId="15" xfId="0" applyNumberFormat="1" applyFont="1" applyFill="1" applyBorder="1" applyAlignment="1">
      <alignment horizontal="center"/>
    </xf>
    <xf numFmtId="181" fontId="5" fillId="3" borderId="10" xfId="0" applyNumberFormat="1" applyFont="1" applyFill="1" applyBorder="1" applyAlignment="1">
      <alignment horizontal="center"/>
    </xf>
    <xf numFmtId="187" fontId="5" fillId="0" borderId="15" xfId="0" applyNumberFormat="1" applyFont="1" applyFill="1" applyBorder="1" applyAlignment="1">
      <alignment horizontal="center"/>
    </xf>
    <xf numFmtId="187" fontId="3" fillId="0" borderId="15" xfId="0" applyNumberFormat="1" applyFont="1" applyFill="1" applyBorder="1" applyAlignment="1">
      <alignment horizontal="center"/>
    </xf>
    <xf numFmtId="187" fontId="3" fillId="3" borderId="15" xfId="0" applyNumberFormat="1" applyFont="1" applyFill="1" applyBorder="1" applyAlignment="1">
      <alignment horizontal="center"/>
    </xf>
    <xf numFmtId="187" fontId="3" fillId="0" borderId="42" xfId="0" applyNumberFormat="1" applyFont="1" applyFill="1" applyBorder="1" applyAlignment="1">
      <alignment horizontal="center"/>
    </xf>
    <xf numFmtId="187" fontId="0" fillId="0" borderId="43" xfId="0" applyNumberFormat="1" applyBorder="1" applyAlignment="1">
      <alignment horizontal="left"/>
    </xf>
    <xf numFmtId="187" fontId="0" fillId="0" borderId="44" xfId="0" applyNumberFormat="1" applyBorder="1" applyAlignment="1">
      <alignment horizontal="center"/>
    </xf>
    <xf numFmtId="187" fontId="0" fillId="0" borderId="15" xfId="0" applyNumberFormat="1" applyBorder="1" applyAlignment="1">
      <alignment horizontal="center"/>
    </xf>
    <xf numFmtId="187" fontId="0" fillId="0" borderId="45" xfId="0" applyNumberFormat="1" applyBorder="1" applyAlignment="1">
      <alignment horizontal="center"/>
    </xf>
    <xf numFmtId="187" fontId="0" fillId="0" borderId="46" xfId="0" applyNumberFormat="1" applyBorder="1" applyAlignment="1">
      <alignment horizontal="center"/>
    </xf>
    <xf numFmtId="187" fontId="0" fillId="0" borderId="43" xfId="0" applyNumberFormat="1" applyBorder="1" applyAlignment="1">
      <alignment horizontal="center"/>
    </xf>
    <xf numFmtId="187" fontId="0" fillId="0" borderId="42" xfId="0" applyNumberFormat="1" applyBorder="1" applyAlignment="1">
      <alignment horizontal="center"/>
    </xf>
    <xf numFmtId="187" fontId="0" fillId="0" borderId="47" xfId="0" applyNumberFormat="1" applyBorder="1" applyAlignment="1">
      <alignment horizontal="left"/>
    </xf>
    <xf numFmtId="187" fontId="0" fillId="0" borderId="20" xfId="0" applyNumberFormat="1" applyBorder="1" applyAlignment="1">
      <alignment horizontal="center"/>
    </xf>
    <xf numFmtId="187" fontId="0" fillId="0" borderId="48" xfId="0" applyNumberFormat="1" applyBorder="1" applyAlignment="1">
      <alignment horizontal="center"/>
    </xf>
    <xf numFmtId="187" fontId="0" fillId="0" borderId="49" xfId="0" applyNumberFormat="1" applyBorder="1" applyAlignment="1">
      <alignment horizontal="left"/>
    </xf>
    <xf numFmtId="187" fontId="0" fillId="0" borderId="14" xfId="0" applyNumberFormat="1" applyBorder="1" applyAlignment="1">
      <alignment horizontal="center"/>
    </xf>
    <xf numFmtId="187" fontId="5" fillId="0" borderId="14" xfId="0" applyNumberFormat="1" applyFont="1" applyFill="1" applyBorder="1" applyAlignment="1">
      <alignment horizontal="center"/>
    </xf>
    <xf numFmtId="187" fontId="3" fillId="0" borderId="14" xfId="0" applyNumberFormat="1" applyFont="1" applyFill="1" applyBorder="1" applyAlignment="1">
      <alignment horizontal="center"/>
    </xf>
    <xf numFmtId="187" fontId="3" fillId="3" borderId="14" xfId="0" applyNumberFormat="1" applyFont="1" applyFill="1" applyBorder="1" applyAlignment="1">
      <alignment horizontal="center"/>
    </xf>
    <xf numFmtId="187" fontId="3" fillId="0" borderId="50" xfId="0" applyNumberFormat="1" applyFont="1" applyFill="1" applyBorder="1" applyAlignment="1">
      <alignment horizontal="center"/>
    </xf>
    <xf numFmtId="187" fontId="0" fillId="0" borderId="49" xfId="0" applyNumberFormat="1" applyBorder="1" applyAlignment="1">
      <alignment horizontal="center"/>
    </xf>
    <xf numFmtId="187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87" fontId="5" fillId="0" borderId="55" xfId="0" applyNumberFormat="1" applyFont="1" applyFill="1" applyBorder="1" applyAlignment="1">
      <alignment horizontal="center"/>
    </xf>
    <xf numFmtId="187" fontId="5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87" fontId="0" fillId="0" borderId="58" xfId="0" applyNumberFormat="1" applyBorder="1" applyAlignment="1">
      <alignment horizontal="center"/>
    </xf>
    <xf numFmtId="187" fontId="0" fillId="0" borderId="23" xfId="0" applyNumberFormat="1" applyBorder="1" applyAlignment="1">
      <alignment horizontal="center"/>
    </xf>
    <xf numFmtId="187" fontId="0" fillId="0" borderId="59" xfId="0" applyNumberFormat="1" applyBorder="1" applyAlignment="1">
      <alignment horizontal="center"/>
    </xf>
    <xf numFmtId="187" fontId="5" fillId="0" borderId="60" xfId="0" applyNumberFormat="1" applyFont="1" applyFill="1" applyBorder="1" applyAlignment="1">
      <alignment horizontal="center"/>
    </xf>
    <xf numFmtId="187" fontId="3" fillId="3" borderId="20" xfId="0" applyNumberFormat="1" applyFont="1" applyFill="1" applyBorder="1" applyAlignment="1">
      <alignment horizontal="center"/>
    </xf>
    <xf numFmtId="187" fontId="3" fillId="0" borderId="20" xfId="0" applyNumberFormat="1" applyFont="1" applyFill="1" applyBorder="1" applyAlignment="1">
      <alignment horizontal="center"/>
    </xf>
    <xf numFmtId="187" fontId="5" fillId="3" borderId="20" xfId="0" applyNumberFormat="1" applyFont="1" applyFill="1" applyBorder="1" applyAlignment="1">
      <alignment horizontal="center"/>
    </xf>
    <xf numFmtId="187" fontId="5" fillId="0" borderId="20" xfId="0" applyNumberFormat="1" applyFont="1" applyFill="1" applyBorder="1" applyAlignment="1">
      <alignment horizontal="center"/>
    </xf>
    <xf numFmtId="187" fontId="3" fillId="0" borderId="61" xfId="0" applyNumberFormat="1" applyFont="1" applyFill="1" applyBorder="1" applyAlignment="1">
      <alignment horizontal="center"/>
    </xf>
    <xf numFmtId="187" fontId="0" fillId="0" borderId="62" xfId="0" applyNumberFormat="1" applyBorder="1" applyAlignment="1">
      <alignment horizontal="center"/>
    </xf>
    <xf numFmtId="187" fontId="0" fillId="0" borderId="63" xfId="0" applyNumberFormat="1" applyBorder="1" applyAlignment="1">
      <alignment horizontal="center"/>
    </xf>
    <xf numFmtId="187" fontId="0" fillId="0" borderId="64" xfId="0" applyNumberFormat="1" applyBorder="1" applyAlignment="1">
      <alignment horizontal="center"/>
    </xf>
    <xf numFmtId="187" fontId="10" fillId="0" borderId="64" xfId="0" applyNumberFormat="1" applyFont="1" applyBorder="1" applyAlignment="1">
      <alignment horizontal="center"/>
    </xf>
    <xf numFmtId="187" fontId="0" fillId="0" borderId="65" xfId="0" applyNumberFormat="1" applyBorder="1" applyAlignment="1">
      <alignment horizontal="center"/>
    </xf>
    <xf numFmtId="187" fontId="11" fillId="0" borderId="66" xfId="0" applyNumberFormat="1" applyFont="1" applyBorder="1" applyAlignment="1">
      <alignment horizontal="center"/>
    </xf>
    <xf numFmtId="187" fontId="11" fillId="0" borderId="67" xfId="0" applyNumberFormat="1" applyFont="1" applyBorder="1" applyAlignment="1">
      <alignment horizontal="center"/>
    </xf>
    <xf numFmtId="2" fontId="11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81" fontId="3" fillId="0" borderId="59" xfId="0" applyNumberFormat="1" applyFont="1" applyFill="1" applyBorder="1" applyAlignment="1">
      <alignment horizontal="center"/>
    </xf>
    <xf numFmtId="181" fontId="3" fillId="0" borderId="58" xfId="0" applyNumberFormat="1" applyFont="1" applyFill="1" applyBorder="1" applyAlignment="1">
      <alignment horizontal="center"/>
    </xf>
    <xf numFmtId="181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011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Lmag_hcmqap!$B$4:$F$4</c:f>
              <c:numCache>
                <c:ptCount val="5"/>
                <c:pt idx="0">
                  <c:v>-0.25716418</c:v>
                </c:pt>
                <c:pt idx="1">
                  <c:v>-1.1854071999999998</c:v>
                </c:pt>
                <c:pt idx="2">
                  <c:v>-1.4853811000000001</c:v>
                </c:pt>
                <c:pt idx="3">
                  <c:v>-1.4438771000000001</c:v>
                </c:pt>
                <c:pt idx="4">
                  <c:v>-4.1072395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Lmag_hcmqap!$B$17:$F$17</c:f>
              <c:numCache>
                <c:ptCount val="5"/>
                <c:pt idx="0">
                  <c:v>-1.01960023</c:v>
                </c:pt>
                <c:pt idx="1">
                  <c:v>-0.11126322</c:v>
                </c:pt>
                <c:pt idx="2">
                  <c:v>-0.52696891</c:v>
                </c:pt>
                <c:pt idx="3">
                  <c:v>-0.13370860499999998</c:v>
                </c:pt>
                <c:pt idx="4">
                  <c:v>6.0878125999999995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Lmag_hcmqap!$B$7:$F$7</c:f>
              <c:numCache>
                <c:ptCount val="5"/>
                <c:pt idx="0">
                  <c:v>4.7825079</c:v>
                </c:pt>
                <c:pt idx="1">
                  <c:v>5.1070037</c:v>
                </c:pt>
                <c:pt idx="2">
                  <c:v>5.0792871</c:v>
                </c:pt>
                <c:pt idx="3">
                  <c:v>4.8771578999999985</c:v>
                </c:pt>
                <c:pt idx="4">
                  <c:v>15.188581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00FF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Lmag_hcmqap!$B$20:$F$20</c:f>
              <c:numCache>
                <c:ptCount val="5"/>
                <c:pt idx="0">
                  <c:v>1.2801323</c:v>
                </c:pt>
                <c:pt idx="1">
                  <c:v>0.30349120999999996</c:v>
                </c:pt>
                <c:pt idx="2">
                  <c:v>0.32226236</c:v>
                </c:pt>
                <c:pt idx="3">
                  <c:v>0.49994213</c:v>
                </c:pt>
                <c:pt idx="4">
                  <c:v>2.0054931000000003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Lmag_hcmqap!$B$11:$F$11</c:f>
              <c:numCache>
                <c:ptCount val="5"/>
                <c:pt idx="0">
                  <c:v>-0.32872594000000005</c:v>
                </c:pt>
                <c:pt idx="1">
                  <c:v>-0.066708849</c:v>
                </c:pt>
                <c:pt idx="2">
                  <c:v>-0.062352556</c:v>
                </c:pt>
                <c:pt idx="3">
                  <c:v>-0.07318692600000001</c:v>
                </c:pt>
                <c:pt idx="4">
                  <c:v>-0.34796359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Lmag_hcmqap!$B$24:$F$24</c:f>
              <c:numCache>
                <c:ptCount val="5"/>
                <c:pt idx="0">
                  <c:v>0.16361547</c:v>
                </c:pt>
                <c:pt idx="1">
                  <c:v>0.103411946</c:v>
                </c:pt>
                <c:pt idx="2">
                  <c:v>0.047490242</c:v>
                </c:pt>
                <c:pt idx="3">
                  <c:v>0.027367703799999997</c:v>
                </c:pt>
                <c:pt idx="4">
                  <c:v>0.16482577000000004</c:v>
                </c:pt>
              </c:numCache>
            </c:numRef>
          </c:val>
          <c:smooth val="0"/>
        </c:ser>
        <c:marker val="1"/>
        <c:axId val="28964064"/>
        <c:axId val="59349985"/>
      </c:lineChart>
      <c:catAx>
        <c:axId val="289640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9349985"/>
        <c:crosses val="autoZero"/>
        <c:auto val="1"/>
        <c:lblOffset val="100"/>
        <c:noMultiLvlLbl val="0"/>
      </c:catAx>
      <c:valAx>
        <c:axId val="59349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2896406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35</xdr:row>
      <xdr:rowOff>123825</xdr:rowOff>
    </xdr:from>
    <xdr:to>
      <xdr:col>7</xdr:col>
      <xdr:colOff>19050</xdr:colOff>
      <xdr:row>55</xdr:row>
      <xdr:rowOff>9525</xdr:rowOff>
    </xdr:to>
    <xdr:graphicFrame>
      <xdr:nvGraphicFramePr>
        <xdr:cNvPr id="1" name="Chart 1"/>
        <xdr:cNvGraphicFramePr/>
      </xdr:nvGraphicFramePr>
      <xdr:xfrm>
        <a:off x="171450" y="5943600"/>
        <a:ext cx="5381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5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 t="s">
        <v>69</v>
      </c>
      <c r="B2" s="24">
        <v>80</v>
      </c>
      <c r="C2" s="24" t="s">
        <v>70</v>
      </c>
      <c r="D2" s="25">
        <v>5</v>
      </c>
      <c r="E2" s="25">
        <v>1</v>
      </c>
      <c r="F2" s="26"/>
      <c r="G2" s="26" t="s">
        <v>68</v>
      </c>
      <c r="H2" s="25">
        <v>1114</v>
      </c>
      <c r="I2" s="27" t="s">
        <v>71</v>
      </c>
      <c r="J2" s="30"/>
      <c r="K2" s="28"/>
      <c r="L2" s="28"/>
      <c r="M2" s="28"/>
      <c r="N2" s="28"/>
    </row>
    <row r="3" spans="1:14" s="29" customFormat="1" ht="15" customHeight="1">
      <c r="A3" s="40" t="s">
        <v>69</v>
      </c>
      <c r="B3" s="24">
        <v>80</v>
      </c>
      <c r="C3" s="24" t="s">
        <v>70</v>
      </c>
      <c r="D3" s="25">
        <v>5</v>
      </c>
      <c r="E3" s="25">
        <v>2</v>
      </c>
      <c r="F3" s="26"/>
      <c r="G3" s="26" t="s">
        <v>73</v>
      </c>
      <c r="H3" s="25">
        <v>1114</v>
      </c>
      <c r="I3" s="27" t="s">
        <v>74</v>
      </c>
      <c r="J3" s="30"/>
      <c r="K3" s="28"/>
      <c r="L3" s="28"/>
      <c r="M3" s="28"/>
      <c r="N3" s="28"/>
    </row>
    <row r="4" spans="1:14" s="29" customFormat="1" ht="15" customHeight="1">
      <c r="A4" s="40" t="s">
        <v>69</v>
      </c>
      <c r="B4" s="24">
        <v>80</v>
      </c>
      <c r="C4" s="24" t="s">
        <v>70</v>
      </c>
      <c r="D4" s="25">
        <v>5</v>
      </c>
      <c r="E4" s="25">
        <v>3</v>
      </c>
      <c r="F4" s="26"/>
      <c r="G4" s="26" t="s">
        <v>76</v>
      </c>
      <c r="H4" s="25">
        <v>1114</v>
      </c>
      <c r="I4" s="27" t="s">
        <v>77</v>
      </c>
      <c r="J4" s="30"/>
      <c r="K4" s="31"/>
      <c r="L4" s="31"/>
      <c r="M4" s="31"/>
      <c r="N4" s="28"/>
    </row>
    <row r="5" spans="1:14" s="29" customFormat="1" ht="15" customHeight="1">
      <c r="A5" s="40" t="s">
        <v>69</v>
      </c>
      <c r="B5" s="24">
        <v>80</v>
      </c>
      <c r="C5" s="24" t="s">
        <v>70</v>
      </c>
      <c r="D5" s="25">
        <v>5</v>
      </c>
      <c r="E5" s="25">
        <v>4</v>
      </c>
      <c r="F5" s="26"/>
      <c r="G5" s="26" t="s">
        <v>78</v>
      </c>
      <c r="H5" s="25">
        <v>1114</v>
      </c>
      <c r="I5" s="27" t="s">
        <v>79</v>
      </c>
      <c r="J5" s="30"/>
      <c r="K5" s="28"/>
      <c r="L5" s="28"/>
      <c r="M5" s="28"/>
      <c r="N5" s="28"/>
    </row>
    <row r="6" spans="1:14" s="29" customFormat="1" ht="15" customHeight="1">
      <c r="A6" s="40" t="s">
        <v>69</v>
      </c>
      <c r="B6" s="24">
        <v>80</v>
      </c>
      <c r="C6" s="24" t="s">
        <v>70</v>
      </c>
      <c r="D6" s="25">
        <v>5</v>
      </c>
      <c r="E6" s="25">
        <v>5</v>
      </c>
      <c r="F6" s="26"/>
      <c r="G6" s="26" t="s">
        <v>81</v>
      </c>
      <c r="H6" s="25">
        <v>1114</v>
      </c>
      <c r="I6" s="27" t="s">
        <v>82</v>
      </c>
      <c r="J6" s="30"/>
      <c r="K6" s="28"/>
      <c r="L6" s="28"/>
      <c r="M6" s="28"/>
      <c r="N6" s="28"/>
    </row>
    <row r="7" spans="1:14" s="29" customFormat="1" ht="15" customHeight="1">
      <c r="A7" s="40" t="s">
        <v>83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8" customHeight="1">
      <c r="A9" s="41"/>
      <c r="B9" s="24"/>
      <c r="C9" s="24"/>
      <c r="D9" s="25"/>
      <c r="E9" s="33"/>
      <c r="F9" s="34"/>
      <c r="G9"/>
      <c r="H9" s="33"/>
      <c r="I9" s="35"/>
      <c r="J9" s="36"/>
      <c r="K9" s="37"/>
      <c r="L9" s="37"/>
      <c r="M9" s="28"/>
      <c r="N9" s="28"/>
    </row>
    <row r="10" spans="1:14" s="29" customFormat="1" ht="18" customHeight="1">
      <c r="A10" s="40"/>
      <c r="B10" s="24"/>
      <c r="C10" s="24"/>
      <c r="D10" s="38"/>
      <c r="E10" s="33"/>
      <c r="F10" s="34"/>
      <c r="G10" s="34"/>
      <c r="H10" s="33"/>
      <c r="I10" s="35"/>
      <c r="J10" s="36"/>
      <c r="K10" s="37"/>
      <c r="L10" s="37"/>
      <c r="M10" s="28"/>
      <c r="N10" s="28"/>
    </row>
    <row r="11" spans="1:14" s="29" customFormat="1" ht="18" customHeight="1">
      <c r="A11" s="40"/>
      <c r="B11" s="24"/>
      <c r="C11" s="24"/>
      <c r="D11" s="25"/>
      <c r="E11" s="33"/>
      <c r="F11" s="34"/>
      <c r="G11" s="34"/>
      <c r="H11" s="33"/>
      <c r="I11" s="35"/>
      <c r="J11" s="36"/>
      <c r="K11" s="37"/>
      <c r="L11" s="37"/>
      <c r="M11" s="28"/>
      <c r="N11" s="28"/>
    </row>
    <row r="12" spans="1:14" s="29" customFormat="1" ht="15" customHeight="1">
      <c r="A12" s="40"/>
      <c r="B12" s="24"/>
      <c r="C12" s="24"/>
      <c r="D12" s="25"/>
      <c r="E12" s="25"/>
      <c r="F12" s="26"/>
      <c r="G12" s="26"/>
      <c r="H12" s="25"/>
      <c r="I12" s="27"/>
      <c r="J12" s="30"/>
      <c r="K12" s="31"/>
      <c r="L12" s="28"/>
      <c r="M12" s="28"/>
      <c r="N12" s="28"/>
    </row>
    <row r="13" spans="1:14" s="29" customFormat="1" ht="15" customHeight="1">
      <c r="A13" s="40"/>
      <c r="B13" s="24"/>
      <c r="C13" s="24"/>
      <c r="D13" s="25"/>
      <c r="E13" s="25"/>
      <c r="F13" s="26"/>
      <c r="G13" s="26"/>
      <c r="H13" s="25"/>
      <c r="I13" s="28"/>
      <c r="J13" s="30"/>
      <c r="K13" s="31"/>
      <c r="L13" s="28"/>
      <c r="M13" s="28"/>
      <c r="N13" s="28"/>
    </row>
    <row r="14" spans="1:14" s="2" customFormat="1" ht="18" customHeight="1">
      <c r="A14" s="42"/>
      <c r="B14" s="20"/>
      <c r="C14" s="20"/>
      <c r="D14" s="15"/>
      <c r="E14" s="15"/>
      <c r="F14" s="22"/>
      <c r="G14" s="22"/>
      <c r="H14" s="15"/>
      <c r="I14" s="23"/>
      <c r="J14" s="17"/>
      <c r="K14" s="4"/>
      <c r="L14" s="4"/>
      <c r="M14" s="4"/>
      <c r="N14" s="4"/>
    </row>
    <row r="15" spans="10:14" ht="15" customHeight="1">
      <c r="J15" s="32"/>
      <c r="N15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56</v>
      </c>
      <c r="E2" s="52"/>
      <c r="F2" s="52"/>
      <c r="G2" s="52"/>
      <c r="H2" s="52"/>
      <c r="I2" s="52"/>
      <c r="J2" s="53"/>
      <c r="K2" s="54">
        <v>1.8823179999999998E-06</v>
      </c>
      <c r="L2" s="54">
        <v>1.9396773132663031E-07</v>
      </c>
      <c r="M2" s="54">
        <v>6.6501062E-05</v>
      </c>
      <c r="N2" s="55">
        <v>1.336823256238223E-07</v>
      </c>
    </row>
    <row r="3" spans="1:14" ht="15" customHeight="1">
      <c r="A3" s="56" t="s">
        <v>16</v>
      </c>
      <c r="B3" s="57">
        <v>2</v>
      </c>
      <c r="D3" s="51" t="s">
        <v>57</v>
      </c>
      <c r="E3" s="52"/>
      <c r="F3" s="52"/>
      <c r="G3" s="52"/>
      <c r="H3" s="52"/>
      <c r="I3" s="52"/>
      <c r="J3" s="53"/>
      <c r="K3" s="54">
        <v>-3.1351414000000004E-05</v>
      </c>
      <c r="L3" s="54">
        <v>1.6839764862884741E-07</v>
      </c>
      <c r="M3" s="54">
        <v>1.4153114E-05</v>
      </c>
      <c r="N3" s="55">
        <v>7.832098042016953E-08</v>
      </c>
    </row>
    <row r="4" spans="1:14" ht="15" customHeight="1">
      <c r="A4" s="56" t="s">
        <v>17</v>
      </c>
      <c r="B4" s="57">
        <v>2</v>
      </c>
      <c r="D4" s="51" t="s">
        <v>58</v>
      </c>
      <c r="E4" s="52"/>
      <c r="F4" s="52"/>
      <c r="G4" s="52"/>
      <c r="H4" s="52"/>
      <c r="I4" s="52"/>
      <c r="J4" s="53"/>
      <c r="K4" s="54">
        <v>-0.00224658734750548</v>
      </c>
      <c r="L4" s="54">
        <v>1.0417387414274398E-05</v>
      </c>
      <c r="M4" s="54">
        <v>6.547977619190211E-08</v>
      </c>
      <c r="N4" s="55">
        <v>-2.3184749</v>
      </c>
    </row>
    <row r="5" spans="1:14" ht="15" customHeight="1" thickBot="1">
      <c r="A5" t="s">
        <v>18</v>
      </c>
      <c r="B5" s="58">
        <v>37573.429189814815</v>
      </c>
      <c r="D5" s="59"/>
      <c r="E5" s="60" t="s">
        <v>59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1114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60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61</v>
      </c>
      <c r="E7" s="73" t="s">
        <v>62</v>
      </c>
      <c r="F7" s="74" t="s">
        <v>63</v>
      </c>
      <c r="G7" s="73" t="s">
        <v>64</v>
      </c>
      <c r="H7" s="75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6" t="s">
        <v>27</v>
      </c>
      <c r="B8" s="71" t="s">
        <v>28</v>
      </c>
      <c r="D8" s="76">
        <v>-0.25716418</v>
      </c>
      <c r="E8" s="77">
        <v>0.02251918199408227</v>
      </c>
      <c r="F8" s="77">
        <v>-1.01960023</v>
      </c>
      <c r="G8" s="77">
        <v>0.010192529412539078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-0.4469683</v>
      </c>
      <c r="E9" s="79">
        <v>0.024607328894111758</v>
      </c>
      <c r="F9" s="79">
        <v>0.1124110258</v>
      </c>
      <c r="G9" s="79">
        <v>0.02304628801843698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-0.05941467</v>
      </c>
      <c r="E10" s="79">
        <v>0.007792727209109739</v>
      </c>
      <c r="F10" s="79">
        <v>-1.5872715</v>
      </c>
      <c r="G10" s="79">
        <v>0.006184022873547378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1</v>
      </c>
      <c r="D11" s="76">
        <v>4.7825079</v>
      </c>
      <c r="E11" s="77">
        <v>0.0044790554745241665</v>
      </c>
      <c r="F11" s="77">
        <v>1.2801323</v>
      </c>
      <c r="G11" s="77">
        <v>0.0048884843519833385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3">
        <v>0.7499</v>
      </c>
      <c r="D12" s="82">
        <v>0.058761313999999995</v>
      </c>
      <c r="E12" s="79">
        <v>0.002938877169235579</v>
      </c>
      <c r="F12" s="79">
        <v>-0.16004957000000003</v>
      </c>
      <c r="G12" s="79">
        <v>0.006934379092867417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19.714356</v>
      </c>
      <c r="D13" s="82">
        <v>0.0449676495</v>
      </c>
      <c r="E13" s="79">
        <v>0.0021652846687735153</v>
      </c>
      <c r="F13" s="79">
        <v>-0.057115399</v>
      </c>
      <c r="G13" s="79">
        <v>0.004604876726688185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4">
        <v>12.5</v>
      </c>
      <c r="D14" s="82">
        <v>0.03827562823</v>
      </c>
      <c r="E14" s="79">
        <v>0.0037533301025421888</v>
      </c>
      <c r="F14" s="79">
        <v>0.111480625</v>
      </c>
      <c r="G14" s="79">
        <v>0.005447119152104857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-0.32872594000000005</v>
      </c>
      <c r="E15" s="77">
        <v>0.001699104886516566</v>
      </c>
      <c r="F15" s="77">
        <v>0.16361547</v>
      </c>
      <c r="G15" s="77">
        <v>0.004941218202589646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12.505</v>
      </c>
      <c r="D16" s="82">
        <v>-0.010617537</v>
      </c>
      <c r="E16" s="79">
        <v>0.002854083310279506</v>
      </c>
      <c r="F16" s="79">
        <v>-0.036381947000000005</v>
      </c>
      <c r="G16" s="79">
        <v>0.0039723478048738214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-0.28299999237060547</v>
      </c>
      <c r="D17" s="82">
        <v>0.05110473</v>
      </c>
      <c r="E17" s="79">
        <v>0.004298258242662945</v>
      </c>
      <c r="F17" s="79">
        <v>-0.010594958800000002</v>
      </c>
      <c r="G17" s="79">
        <v>0.0017112841429251125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25.430999755859375</v>
      </c>
      <c r="D18" s="82">
        <v>0.0116464905</v>
      </c>
      <c r="E18" s="79">
        <v>0.00138862921036096</v>
      </c>
      <c r="F18" s="79">
        <v>0.100124947</v>
      </c>
      <c r="G18" s="79">
        <v>0.0025415578951865085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-0.36899998784065247</v>
      </c>
      <c r="D19" s="85">
        <v>-0.19458836</v>
      </c>
      <c r="E19" s="79">
        <v>0.0014327782373444262</v>
      </c>
      <c r="F19" s="79">
        <v>0.00030887080000000004</v>
      </c>
      <c r="G19" s="79">
        <v>0.0013311074748597349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6">
        <v>0.0119194</v>
      </c>
      <c r="D20" s="87">
        <v>0.0003361175</v>
      </c>
      <c r="E20" s="88">
        <v>0.0009065286860883665</v>
      </c>
      <c r="F20" s="88">
        <v>0.0035295289</v>
      </c>
      <c r="G20" s="88">
        <v>0.0009949229322702019</v>
      </c>
      <c r="H20" s="89">
        <v>15</v>
      </c>
      <c r="I20" s="88">
        <v>0</v>
      </c>
      <c r="J20" s="88">
        <v>0</v>
      </c>
      <c r="K20" s="88">
        <v>0</v>
      </c>
      <c r="L20" s="88">
        <v>0</v>
      </c>
      <c r="M20" s="88">
        <v>0.05</v>
      </c>
      <c r="N20" s="90">
        <v>0.05</v>
      </c>
    </row>
    <row r="21" spans="1:6" ht="15" customHeight="1">
      <c r="A21" s="56" t="s">
        <v>42</v>
      </c>
      <c r="B21" s="86">
        <v>0.5032652</v>
      </c>
      <c r="F21" s="3" t="s">
        <v>65</v>
      </c>
    </row>
    <row r="22" spans="1:6" ht="15" customHeight="1">
      <c r="A22" s="56" t="s">
        <v>43</v>
      </c>
      <c r="B22" s="71" t="s">
        <v>44</v>
      </c>
      <c r="F22" s="3" t="s">
        <v>66</v>
      </c>
    </row>
    <row r="23" spans="1:2" ht="15" customHeight="1" thickBot="1">
      <c r="A23" s="91" t="s">
        <v>45</v>
      </c>
      <c r="B23" s="92">
        <v>15</v>
      </c>
    </row>
    <row r="24" spans="1:12" ht="18" customHeight="1" thickBot="1" thickTop="1">
      <c r="A24" s="93" t="s">
        <v>67</v>
      </c>
      <c r="B24" s="94">
        <v>-0.13283893888126713</v>
      </c>
      <c r="E24" s="95"/>
      <c r="F24" s="96"/>
      <c r="G24" s="97" t="s">
        <v>46</v>
      </c>
      <c r="H24" s="96"/>
      <c r="I24" s="96"/>
      <c r="J24" s="96"/>
      <c r="K24" s="96"/>
      <c r="L24" s="98"/>
    </row>
    <row r="25" spans="1:12" ht="18" customHeight="1">
      <c r="A25" s="44" t="s">
        <v>47</v>
      </c>
      <c r="B25" s="45">
        <v>10</v>
      </c>
      <c r="E25" s="99" t="s">
        <v>48</v>
      </c>
      <c r="F25" s="100"/>
      <c r="G25" s="101"/>
      <c r="H25" s="102">
        <v>-2.2466114999999998</v>
      </c>
      <c r="I25" s="100" t="s">
        <v>49</v>
      </c>
      <c r="J25" s="101"/>
      <c r="K25" s="100"/>
      <c r="L25" s="103">
        <v>4.950870682926963</v>
      </c>
    </row>
    <row r="26" spans="1:12" ht="18" customHeight="1" thickBot="1">
      <c r="A26" s="56" t="s">
        <v>50</v>
      </c>
      <c r="B26" s="57" t="s">
        <v>51</v>
      </c>
      <c r="E26" s="104" t="s">
        <v>52</v>
      </c>
      <c r="F26" s="105"/>
      <c r="G26" s="106"/>
      <c r="H26" s="107">
        <v>1.0515312855503278</v>
      </c>
      <c r="I26" s="105" t="s">
        <v>53</v>
      </c>
      <c r="J26" s="106"/>
      <c r="K26" s="105"/>
      <c r="L26" s="108">
        <v>0.3671930904200194</v>
      </c>
    </row>
    <row r="27" spans="1:2" ht="15" customHeight="1" thickBot="1" thickTop="1">
      <c r="A27" s="91" t="s">
        <v>54</v>
      </c>
      <c r="B27" s="92">
        <v>80</v>
      </c>
    </row>
    <row r="28" spans="1:14" s="2" customFormat="1" ht="18" customHeight="1" thickBot="1">
      <c r="A28" s="109" t="s">
        <v>55</v>
      </c>
      <c r="B28" s="110"/>
      <c r="C28" s="110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2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HCMQAP011-001_pos1_11141018aper2res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56</v>
      </c>
      <c r="E2" s="52"/>
      <c r="F2" s="52"/>
      <c r="G2" s="52"/>
      <c r="H2" s="52"/>
      <c r="I2" s="52"/>
      <c r="J2" s="53"/>
      <c r="K2" s="54">
        <v>7.0300815E-05</v>
      </c>
      <c r="L2" s="54">
        <v>9.162387691585621E-08</v>
      </c>
      <c r="M2" s="54">
        <v>8.9100897E-05</v>
      </c>
      <c r="N2" s="55">
        <v>1.9071262969715502E-07</v>
      </c>
    </row>
    <row r="3" spans="1:14" ht="15" customHeight="1">
      <c r="A3" s="56" t="s">
        <v>16</v>
      </c>
      <c r="B3" s="57">
        <v>2</v>
      </c>
      <c r="D3" s="51" t="s">
        <v>57</v>
      </c>
      <c r="E3" s="52"/>
      <c r="F3" s="52"/>
      <c r="G3" s="52"/>
      <c r="H3" s="52"/>
      <c r="I3" s="52"/>
      <c r="J3" s="53"/>
      <c r="K3" s="54">
        <v>-2.9150151000000004E-05</v>
      </c>
      <c r="L3" s="54">
        <v>1.0445337296512145E-07</v>
      </c>
      <c r="M3" s="54">
        <v>1.2971823000000003E-05</v>
      </c>
      <c r="N3" s="55">
        <v>1.7268383249730693E-07</v>
      </c>
    </row>
    <row r="4" spans="1:14" ht="15" customHeight="1">
      <c r="A4" s="56" t="s">
        <v>17</v>
      </c>
      <c r="B4" s="57">
        <v>2</v>
      </c>
      <c r="D4" s="51" t="s">
        <v>58</v>
      </c>
      <c r="E4" s="52"/>
      <c r="F4" s="52"/>
      <c r="G4" s="52"/>
      <c r="H4" s="52"/>
      <c r="I4" s="52"/>
      <c r="J4" s="53"/>
      <c r="K4" s="54">
        <v>-0.0037606432701005736</v>
      </c>
      <c r="L4" s="54">
        <v>2.1634527439169326E-05</v>
      </c>
      <c r="M4" s="54">
        <v>3.3910182649602996E-08</v>
      </c>
      <c r="N4" s="55">
        <v>-2.876408</v>
      </c>
    </row>
    <row r="5" spans="1:14" ht="15" customHeight="1" thickBot="1">
      <c r="A5" t="s">
        <v>18</v>
      </c>
      <c r="B5" s="58">
        <v>37573.43393518519</v>
      </c>
      <c r="D5" s="59"/>
      <c r="E5" s="60" t="s">
        <v>72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1114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60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61</v>
      </c>
      <c r="E7" s="73" t="s">
        <v>62</v>
      </c>
      <c r="F7" s="74" t="s">
        <v>63</v>
      </c>
      <c r="G7" s="73" t="s">
        <v>64</v>
      </c>
      <c r="H7" s="75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6" t="s">
        <v>27</v>
      </c>
      <c r="B8" s="71" t="s">
        <v>28</v>
      </c>
      <c r="D8" s="76">
        <v>-1.1854071999999998</v>
      </c>
      <c r="E8" s="77">
        <v>0.010417422803169518</v>
      </c>
      <c r="F8" s="77">
        <v>-0.11126322</v>
      </c>
      <c r="G8" s="77">
        <v>0.012660229889366329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0.146619211</v>
      </c>
      <c r="E9" s="79">
        <v>0.01621464785358868</v>
      </c>
      <c r="F9" s="79">
        <v>-0.73699888</v>
      </c>
      <c r="G9" s="79">
        <v>0.00951308601782744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-0.91511812</v>
      </c>
      <c r="E10" s="79">
        <v>0.004576531007291945</v>
      </c>
      <c r="F10" s="79">
        <v>-1.22541411</v>
      </c>
      <c r="G10" s="79">
        <v>0.0061210221310673335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2</v>
      </c>
      <c r="D11" s="76">
        <v>5.1070037</v>
      </c>
      <c r="E11" s="77">
        <v>0.002393686583047635</v>
      </c>
      <c r="F11" s="77">
        <v>0.30349120999999996</v>
      </c>
      <c r="G11" s="77">
        <v>0.0027634028310071727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3">
        <v>0.7499</v>
      </c>
      <c r="D12" s="82">
        <v>0.10532505199999997</v>
      </c>
      <c r="E12" s="79">
        <v>0.003401663976980814</v>
      </c>
      <c r="F12" s="79">
        <v>-0.15605469</v>
      </c>
      <c r="G12" s="79">
        <v>0.0016714203368381221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19.888306</v>
      </c>
      <c r="D13" s="82">
        <v>0.013324269</v>
      </c>
      <c r="E13" s="79">
        <v>0.0014241062561950982</v>
      </c>
      <c r="F13" s="79">
        <v>-0.083661091</v>
      </c>
      <c r="G13" s="79">
        <v>0.00271117597429848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4">
        <v>12.5</v>
      </c>
      <c r="D14" s="82">
        <v>0.036029624</v>
      </c>
      <c r="E14" s="79">
        <v>0.0027959763157640715</v>
      </c>
      <c r="F14" s="79">
        <v>-0.050241615</v>
      </c>
      <c r="G14" s="79">
        <v>0.0022984460430797698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-0.066708849</v>
      </c>
      <c r="E15" s="77">
        <v>0.002269468077394509</v>
      </c>
      <c r="F15" s="77">
        <v>0.103411946</v>
      </c>
      <c r="G15" s="77">
        <v>0.0018560991583509011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12.505</v>
      </c>
      <c r="D16" s="82">
        <v>0.0134644778</v>
      </c>
      <c r="E16" s="79">
        <v>0.0016962392684384386</v>
      </c>
      <c r="F16" s="79">
        <v>-0.030807927000000002</v>
      </c>
      <c r="G16" s="79">
        <v>0.0011448129118882481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0.3970000147819519</v>
      </c>
      <c r="D17" s="82">
        <v>0.012764503489999999</v>
      </c>
      <c r="E17" s="79">
        <v>0.0009418953147134104</v>
      </c>
      <c r="F17" s="79">
        <v>-0.04467258</v>
      </c>
      <c r="G17" s="79">
        <v>0.0013031843842333775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7.120999813079834</v>
      </c>
      <c r="D18" s="82">
        <v>0.058884281999999996</v>
      </c>
      <c r="E18" s="79">
        <v>0.0014028878179050146</v>
      </c>
      <c r="F18" s="79">
        <v>0.06098017100000001</v>
      </c>
      <c r="G18" s="79">
        <v>0.0006752561230182975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0.2680000066757202</v>
      </c>
      <c r="D19" s="85">
        <v>-0.18021407999999997</v>
      </c>
      <c r="E19" s="79">
        <v>0.0006811136737786201</v>
      </c>
      <c r="F19" s="79">
        <v>0.0094384408</v>
      </c>
      <c r="G19" s="79">
        <v>0.0006005540381514107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6">
        <v>0.3154628</v>
      </c>
      <c r="D20" s="87">
        <v>-0.0008810524599999998</v>
      </c>
      <c r="E20" s="88">
        <v>0.0007397802494293603</v>
      </c>
      <c r="F20" s="88">
        <v>0.0017354947</v>
      </c>
      <c r="G20" s="88">
        <v>0.00044680282308033815</v>
      </c>
      <c r="H20" s="89">
        <v>15</v>
      </c>
      <c r="I20" s="88">
        <v>0</v>
      </c>
      <c r="J20" s="88">
        <v>0</v>
      </c>
      <c r="K20" s="88">
        <v>0</v>
      </c>
      <c r="L20" s="88">
        <v>0</v>
      </c>
      <c r="M20" s="88">
        <v>0.05</v>
      </c>
      <c r="N20" s="90">
        <v>0.05</v>
      </c>
    </row>
    <row r="21" spans="1:6" ht="15" customHeight="1">
      <c r="A21" s="56" t="s">
        <v>42</v>
      </c>
      <c r="B21" s="86">
        <v>0.4045896</v>
      </c>
      <c r="F21" s="3" t="s">
        <v>65</v>
      </c>
    </row>
    <row r="22" spans="1:6" ht="15" customHeight="1">
      <c r="A22" s="56" t="s">
        <v>43</v>
      </c>
      <c r="B22" s="71" t="s">
        <v>44</v>
      </c>
      <c r="F22" s="3" t="s">
        <v>66</v>
      </c>
    </row>
    <row r="23" spans="1:2" ht="15" customHeight="1" thickBot="1">
      <c r="A23" s="91" t="s">
        <v>45</v>
      </c>
      <c r="B23" s="92">
        <v>15</v>
      </c>
    </row>
    <row r="24" spans="1:12" ht="18" customHeight="1" thickBot="1" thickTop="1">
      <c r="A24" s="93" t="s">
        <v>67</v>
      </c>
      <c r="B24" s="94">
        <v>-0.1648061777634892</v>
      </c>
      <c r="E24" s="95"/>
      <c r="F24" s="96"/>
      <c r="G24" s="97" t="s">
        <v>46</v>
      </c>
      <c r="H24" s="96"/>
      <c r="I24" s="96"/>
      <c r="J24" s="96"/>
      <c r="K24" s="96"/>
      <c r="L24" s="98"/>
    </row>
    <row r="25" spans="1:12" ht="18" customHeight="1">
      <c r="A25" s="44" t="s">
        <v>47</v>
      </c>
      <c r="B25" s="45">
        <v>10</v>
      </c>
      <c r="E25" s="99" t="s">
        <v>48</v>
      </c>
      <c r="F25" s="100"/>
      <c r="G25" s="101"/>
      <c r="H25" s="102">
        <v>-3.7607055000000003</v>
      </c>
      <c r="I25" s="100" t="s">
        <v>49</v>
      </c>
      <c r="J25" s="101"/>
      <c r="K25" s="100"/>
      <c r="L25" s="103">
        <v>5.1160134583834855</v>
      </c>
    </row>
    <row r="26" spans="1:12" ht="18" customHeight="1" thickBot="1">
      <c r="A26" s="56" t="s">
        <v>50</v>
      </c>
      <c r="B26" s="57" t="s">
        <v>51</v>
      </c>
      <c r="E26" s="104" t="s">
        <v>52</v>
      </c>
      <c r="F26" s="105"/>
      <c r="G26" s="106"/>
      <c r="H26" s="107">
        <v>1.190617375119567</v>
      </c>
      <c r="I26" s="105" t="s">
        <v>53</v>
      </c>
      <c r="J26" s="106"/>
      <c r="K26" s="105"/>
      <c r="L26" s="108">
        <v>0.12306137131696411</v>
      </c>
    </row>
    <row r="27" spans="1:2" ht="15" customHeight="1" thickBot="1" thickTop="1">
      <c r="A27" s="91" t="s">
        <v>54</v>
      </c>
      <c r="B27" s="92">
        <v>80</v>
      </c>
    </row>
    <row r="28" spans="1:14" s="2" customFormat="1" ht="18" customHeight="1" thickBot="1">
      <c r="A28" s="109" t="s">
        <v>55</v>
      </c>
      <c r="B28" s="110"/>
      <c r="C28" s="110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2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HCMQAP011-001_pos2_11141024aper2res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56</v>
      </c>
      <c r="E2" s="52"/>
      <c r="F2" s="52"/>
      <c r="G2" s="52"/>
      <c r="H2" s="52"/>
      <c r="I2" s="52"/>
      <c r="J2" s="53"/>
      <c r="K2" s="54">
        <v>7.7220231E-05</v>
      </c>
      <c r="L2" s="54">
        <v>1.1105939994281561E-07</v>
      </c>
      <c r="M2" s="54">
        <v>0.00014520472999999997</v>
      </c>
      <c r="N2" s="55">
        <v>5.9380742701029605E-08</v>
      </c>
    </row>
    <row r="3" spans="1:14" ht="15" customHeight="1">
      <c r="A3" s="56" t="s">
        <v>16</v>
      </c>
      <c r="B3" s="57">
        <v>2</v>
      </c>
      <c r="D3" s="51" t="s">
        <v>57</v>
      </c>
      <c r="E3" s="52"/>
      <c r="F3" s="52"/>
      <c r="G3" s="52"/>
      <c r="H3" s="52"/>
      <c r="I3" s="52"/>
      <c r="J3" s="53"/>
      <c r="K3" s="54">
        <v>-2.8095249E-05</v>
      </c>
      <c r="L3" s="54">
        <v>1.618112025603959E-07</v>
      </c>
      <c r="M3" s="54">
        <v>1.1167449999999998E-05</v>
      </c>
      <c r="N3" s="55">
        <v>1.382938429575537E-07</v>
      </c>
    </row>
    <row r="4" spans="1:14" ht="15" customHeight="1">
      <c r="A4" s="56" t="s">
        <v>17</v>
      </c>
      <c r="B4" s="57">
        <v>2</v>
      </c>
      <c r="D4" s="51" t="s">
        <v>58</v>
      </c>
      <c r="E4" s="52"/>
      <c r="F4" s="52"/>
      <c r="G4" s="52"/>
      <c r="H4" s="52"/>
      <c r="I4" s="52"/>
      <c r="J4" s="53"/>
      <c r="K4" s="54">
        <v>-0.0037594411991770846</v>
      </c>
      <c r="L4" s="54">
        <v>1.5094013455977451E-05</v>
      </c>
      <c r="M4" s="54">
        <v>4.82431611066896E-08</v>
      </c>
      <c r="N4" s="55">
        <v>-2.0074702</v>
      </c>
    </row>
    <row r="5" spans="1:14" ht="15" customHeight="1" thickBot="1">
      <c r="A5" t="s">
        <v>18</v>
      </c>
      <c r="B5" s="58">
        <v>37573.43829861111</v>
      </c>
      <c r="D5" s="59"/>
      <c r="E5" s="60" t="s">
        <v>75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1114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60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61</v>
      </c>
      <c r="E7" s="73" t="s">
        <v>62</v>
      </c>
      <c r="F7" s="74" t="s">
        <v>63</v>
      </c>
      <c r="G7" s="73" t="s">
        <v>64</v>
      </c>
      <c r="H7" s="75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6" t="s">
        <v>27</v>
      </c>
      <c r="B8" s="71" t="s">
        <v>28</v>
      </c>
      <c r="D8" s="76">
        <v>-1.4853811000000001</v>
      </c>
      <c r="E8" s="77">
        <v>0.010358534381848479</v>
      </c>
      <c r="F8" s="77">
        <v>-0.52696891</v>
      </c>
      <c r="G8" s="77">
        <v>0.006874642723909736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-0.4378221</v>
      </c>
      <c r="E9" s="79">
        <v>0.014086841253629922</v>
      </c>
      <c r="F9" s="79">
        <v>0.0578929888</v>
      </c>
      <c r="G9" s="79">
        <v>0.0051252274325884915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-0.83574547</v>
      </c>
      <c r="E10" s="79">
        <v>0.005006592804050375</v>
      </c>
      <c r="F10" s="79">
        <v>-2.1240924000000003</v>
      </c>
      <c r="G10" s="79">
        <v>0.003793961641836789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3</v>
      </c>
      <c r="D11" s="76">
        <v>5.0792871</v>
      </c>
      <c r="E11" s="77">
        <v>0.004850112024135215</v>
      </c>
      <c r="F11" s="77">
        <v>0.32226236</v>
      </c>
      <c r="G11" s="77">
        <v>0.001811310626418385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3">
        <v>0.7499</v>
      </c>
      <c r="D12" s="82">
        <v>-0.20565765000000003</v>
      </c>
      <c r="E12" s="79">
        <v>0.0034136974403119066</v>
      </c>
      <c r="F12" s="79">
        <v>-0.067517097</v>
      </c>
      <c r="G12" s="79">
        <v>0.0016814075240720065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20.050049</v>
      </c>
      <c r="D13" s="82">
        <v>0.0702915871</v>
      </c>
      <c r="E13" s="79">
        <v>0.004377341513138403</v>
      </c>
      <c r="F13" s="79">
        <v>-0.08733372799999999</v>
      </c>
      <c r="G13" s="79">
        <v>0.0026559902413314713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4">
        <v>12.5</v>
      </c>
      <c r="D14" s="82">
        <v>0.0435087267</v>
      </c>
      <c r="E14" s="79">
        <v>0.0019748283558263247</v>
      </c>
      <c r="F14" s="79">
        <v>0.028397075</v>
      </c>
      <c r="G14" s="79">
        <v>0.0019426934362194363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-0.062352556</v>
      </c>
      <c r="E15" s="77">
        <v>0.002925895351353815</v>
      </c>
      <c r="F15" s="77">
        <v>0.047490242</v>
      </c>
      <c r="G15" s="77">
        <v>0.0023659963148948606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12.505</v>
      </c>
      <c r="D16" s="82">
        <v>-0.049847549</v>
      </c>
      <c r="E16" s="79">
        <v>0.0011967694730707565</v>
      </c>
      <c r="F16" s="79">
        <v>-0.015557566200000001</v>
      </c>
      <c r="G16" s="79">
        <v>0.0010547867290690842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-0.27900001406669617</v>
      </c>
      <c r="D17" s="82">
        <v>0.050141466</v>
      </c>
      <c r="E17" s="79">
        <v>0.0014805326754497095</v>
      </c>
      <c r="F17" s="79">
        <v>-0.100761023</v>
      </c>
      <c r="G17" s="79">
        <v>0.0008989136984021806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36.62099838256836</v>
      </c>
      <c r="D18" s="82">
        <v>0.072278971</v>
      </c>
      <c r="E18" s="79">
        <v>0.0008850679579348043</v>
      </c>
      <c r="F18" s="79">
        <v>0.112661545</v>
      </c>
      <c r="G18" s="79">
        <v>0.0019100878899065816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-0.3840000033378601</v>
      </c>
      <c r="D19" s="85">
        <v>-0.18074532000000001</v>
      </c>
      <c r="E19" s="79">
        <v>0.0004237537369708704</v>
      </c>
      <c r="F19" s="79">
        <v>0.00266845888</v>
      </c>
      <c r="G19" s="79">
        <v>0.0012825132915085572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6">
        <v>0.3465359</v>
      </c>
      <c r="D20" s="87">
        <v>-0.0011843842</v>
      </c>
      <c r="E20" s="88">
        <v>0.0003431393058331555</v>
      </c>
      <c r="F20" s="88">
        <v>0.002683718</v>
      </c>
      <c r="G20" s="88">
        <v>0.0008240827990740366</v>
      </c>
      <c r="H20" s="89">
        <v>15</v>
      </c>
      <c r="I20" s="88">
        <v>0</v>
      </c>
      <c r="J20" s="88">
        <v>0</v>
      </c>
      <c r="K20" s="88">
        <v>0</v>
      </c>
      <c r="L20" s="88">
        <v>0</v>
      </c>
      <c r="M20" s="88">
        <v>0.05</v>
      </c>
      <c r="N20" s="90">
        <v>0.05</v>
      </c>
    </row>
    <row r="21" spans="1:6" ht="15" customHeight="1">
      <c r="A21" s="56" t="s">
        <v>42</v>
      </c>
      <c r="B21" s="86">
        <v>0.6579961000000001</v>
      </c>
      <c r="F21" s="3" t="s">
        <v>65</v>
      </c>
    </row>
    <row r="22" spans="1:6" ht="15" customHeight="1">
      <c r="A22" s="56" t="s">
        <v>43</v>
      </c>
      <c r="B22" s="71" t="s">
        <v>44</v>
      </c>
      <c r="F22" s="3" t="s">
        <v>66</v>
      </c>
    </row>
    <row r="23" spans="1:2" ht="15" customHeight="1" thickBot="1">
      <c r="A23" s="91" t="s">
        <v>45</v>
      </c>
      <c r="B23" s="92">
        <v>15</v>
      </c>
    </row>
    <row r="24" spans="1:12" ht="18" customHeight="1" thickBot="1" thickTop="1">
      <c r="A24" s="93" t="s">
        <v>67</v>
      </c>
      <c r="B24" s="94">
        <v>-0.11501966711123986</v>
      </c>
      <c r="E24" s="95"/>
      <c r="F24" s="96"/>
      <c r="G24" s="97" t="s">
        <v>46</v>
      </c>
      <c r="H24" s="96"/>
      <c r="I24" s="96"/>
      <c r="J24" s="96"/>
      <c r="K24" s="96"/>
      <c r="L24" s="98"/>
    </row>
    <row r="25" spans="1:12" ht="18" customHeight="1">
      <c r="A25" s="44" t="s">
        <v>47</v>
      </c>
      <c r="B25" s="45">
        <v>10</v>
      </c>
      <c r="E25" s="99" t="s">
        <v>48</v>
      </c>
      <c r="F25" s="100"/>
      <c r="G25" s="101"/>
      <c r="H25" s="102">
        <v>-3.759471499999999</v>
      </c>
      <c r="I25" s="100" t="s">
        <v>49</v>
      </c>
      <c r="J25" s="101"/>
      <c r="K25" s="100"/>
      <c r="L25" s="103">
        <v>5.089500021897945</v>
      </c>
    </row>
    <row r="26" spans="1:12" ht="18" customHeight="1" thickBot="1">
      <c r="A26" s="56" t="s">
        <v>50</v>
      </c>
      <c r="B26" s="57" t="s">
        <v>51</v>
      </c>
      <c r="E26" s="104" t="s">
        <v>52</v>
      </c>
      <c r="F26" s="105"/>
      <c r="G26" s="106"/>
      <c r="H26" s="107">
        <v>1.5760879557765166</v>
      </c>
      <c r="I26" s="105" t="s">
        <v>53</v>
      </c>
      <c r="J26" s="106"/>
      <c r="K26" s="105"/>
      <c r="L26" s="108">
        <v>0.07837834091732039</v>
      </c>
    </row>
    <row r="27" spans="1:2" ht="15" customHeight="1" thickBot="1" thickTop="1">
      <c r="A27" s="91" t="s">
        <v>54</v>
      </c>
      <c r="B27" s="92">
        <v>80</v>
      </c>
    </row>
    <row r="28" spans="1:14" s="2" customFormat="1" ht="18" customHeight="1" thickBot="1">
      <c r="A28" s="109" t="s">
        <v>55</v>
      </c>
      <c r="B28" s="110"/>
      <c r="C28" s="110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2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HCMQAP011-001_pos3_11141031aper2res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56</v>
      </c>
      <c r="E2" s="52"/>
      <c r="F2" s="52"/>
      <c r="G2" s="52"/>
      <c r="H2" s="52"/>
      <c r="I2" s="52"/>
      <c r="J2" s="53"/>
      <c r="K2" s="54">
        <v>4.3595078E-05</v>
      </c>
      <c r="L2" s="54">
        <v>9.749487856281685E-08</v>
      </c>
      <c r="M2" s="54">
        <v>0.00015295705000000002</v>
      </c>
      <c r="N2" s="55">
        <v>1.3761441784244458E-07</v>
      </c>
    </row>
    <row r="3" spans="1:14" ht="15" customHeight="1">
      <c r="A3" s="56" t="s">
        <v>16</v>
      </c>
      <c r="B3" s="57">
        <v>2</v>
      </c>
      <c r="D3" s="51" t="s">
        <v>57</v>
      </c>
      <c r="E3" s="52"/>
      <c r="F3" s="52"/>
      <c r="G3" s="52"/>
      <c r="H3" s="52"/>
      <c r="I3" s="52"/>
      <c r="J3" s="53"/>
      <c r="K3" s="54">
        <v>-2.8586656E-05</v>
      </c>
      <c r="L3" s="54">
        <v>1.088292296854512E-07</v>
      </c>
      <c r="M3" s="54">
        <v>1.0114809999999999E-05</v>
      </c>
      <c r="N3" s="55">
        <v>1.5746578803030622E-07</v>
      </c>
    </row>
    <row r="4" spans="1:14" ht="15" customHeight="1">
      <c r="A4" s="56" t="s">
        <v>17</v>
      </c>
      <c r="B4" s="57">
        <v>2</v>
      </c>
      <c r="D4" s="51" t="s">
        <v>58</v>
      </c>
      <c r="E4" s="52"/>
      <c r="F4" s="52"/>
      <c r="G4" s="52"/>
      <c r="H4" s="52"/>
      <c r="I4" s="52"/>
      <c r="J4" s="53"/>
      <c r="K4" s="54">
        <v>-0.0037611661150019986</v>
      </c>
      <c r="L4" s="54">
        <v>5.7432944398157744E-06</v>
      </c>
      <c r="M4" s="54">
        <v>1.0001850541904151E-07</v>
      </c>
      <c r="N4" s="55">
        <v>-0.76349858</v>
      </c>
    </row>
    <row r="5" spans="1:14" ht="15" customHeight="1" thickBot="1">
      <c r="A5" t="s">
        <v>18</v>
      </c>
      <c r="B5" s="58">
        <v>37573.4428125</v>
      </c>
      <c r="D5" s="59"/>
      <c r="E5" s="60" t="s">
        <v>72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1114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60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61</v>
      </c>
      <c r="E7" s="73" t="s">
        <v>62</v>
      </c>
      <c r="F7" s="74" t="s">
        <v>63</v>
      </c>
      <c r="G7" s="73" t="s">
        <v>64</v>
      </c>
      <c r="H7" s="75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6" t="s">
        <v>27</v>
      </c>
      <c r="B8" s="71" t="s">
        <v>28</v>
      </c>
      <c r="D8" s="76">
        <v>-1.4438771000000001</v>
      </c>
      <c r="E8" s="77">
        <v>0.008707489123703976</v>
      </c>
      <c r="F8" s="77">
        <v>-0.13370860499999998</v>
      </c>
      <c r="G8" s="77">
        <v>0.003942180732046939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-0.36985471</v>
      </c>
      <c r="E9" s="79">
        <v>0.009223621803252285</v>
      </c>
      <c r="F9" s="79">
        <v>-0.46010291</v>
      </c>
      <c r="G9" s="79">
        <v>0.014465957047544135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-0.182592694</v>
      </c>
      <c r="E10" s="79">
        <v>0.007361980406140034</v>
      </c>
      <c r="F10" s="79">
        <v>-1.7565372</v>
      </c>
      <c r="G10" s="79">
        <v>0.003917672913881433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4</v>
      </c>
      <c r="D11" s="76">
        <v>4.8771578999999985</v>
      </c>
      <c r="E11" s="77">
        <v>0.00244143467007427</v>
      </c>
      <c r="F11" s="77">
        <v>0.49994213</v>
      </c>
      <c r="G11" s="77">
        <v>0.0030806553748562427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3">
        <v>0.7499</v>
      </c>
      <c r="D12" s="82">
        <v>-0.062749921</v>
      </c>
      <c r="E12" s="79">
        <v>0.0024910299171914487</v>
      </c>
      <c r="F12" s="79">
        <v>0.11322352</v>
      </c>
      <c r="G12" s="79">
        <v>0.0040229411420750144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20.224</v>
      </c>
      <c r="D13" s="82">
        <v>0.045312121299999994</v>
      </c>
      <c r="E13" s="79">
        <v>0.0010730502832718737</v>
      </c>
      <c r="F13" s="79">
        <v>-0.09464165999999999</v>
      </c>
      <c r="G13" s="79">
        <v>0.001767041967416461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4">
        <v>12.5</v>
      </c>
      <c r="D14" s="82">
        <v>0.015967538499999996</v>
      </c>
      <c r="E14" s="79">
        <v>0.0017084257295480172</v>
      </c>
      <c r="F14" s="79">
        <v>0.046245803</v>
      </c>
      <c r="G14" s="79">
        <v>0.0017724882076804772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-0.07318692600000001</v>
      </c>
      <c r="E15" s="77">
        <v>0.003075557013960792</v>
      </c>
      <c r="F15" s="77">
        <v>0.027367703799999997</v>
      </c>
      <c r="G15" s="77">
        <v>0.001937242453383102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12.505</v>
      </c>
      <c r="D16" s="82">
        <v>-0.0228686123</v>
      </c>
      <c r="E16" s="79">
        <v>0.0014990330432665343</v>
      </c>
      <c r="F16" s="79">
        <v>-0.018906373</v>
      </c>
      <c r="G16" s="79">
        <v>0.0025079490100649885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0.41600000858306885</v>
      </c>
      <c r="D17" s="82">
        <v>0.076804792</v>
      </c>
      <c r="E17" s="79">
        <v>0.0007907860412370626</v>
      </c>
      <c r="F17" s="79">
        <v>-0.073925981</v>
      </c>
      <c r="G17" s="79">
        <v>0.0007150463132706485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7.120999813079834</v>
      </c>
      <c r="D18" s="82">
        <v>0.044075898</v>
      </c>
      <c r="E18" s="79">
        <v>0.0007117797860195367</v>
      </c>
      <c r="F18" s="79">
        <v>0.12192634</v>
      </c>
      <c r="G18" s="79">
        <v>0.0011492819538287068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0.2750000059604645</v>
      </c>
      <c r="D19" s="85">
        <v>-0.17729252</v>
      </c>
      <c r="E19" s="79">
        <v>0.0010728036561290738</v>
      </c>
      <c r="F19" s="79">
        <v>0.0064994226000000006</v>
      </c>
      <c r="G19" s="79">
        <v>0.0011741741239421196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6">
        <v>0.19598200000000002</v>
      </c>
      <c r="D20" s="87">
        <v>-0.0013260266</v>
      </c>
      <c r="E20" s="88">
        <v>0.0005832293650769305</v>
      </c>
      <c r="F20" s="88">
        <v>0.0022900146999999997</v>
      </c>
      <c r="G20" s="88">
        <v>0.0007965427632183102</v>
      </c>
      <c r="H20" s="89">
        <v>15</v>
      </c>
      <c r="I20" s="88">
        <v>0</v>
      </c>
      <c r="J20" s="88">
        <v>0</v>
      </c>
      <c r="K20" s="88">
        <v>0</v>
      </c>
      <c r="L20" s="88">
        <v>0</v>
      </c>
      <c r="M20" s="88">
        <v>0.05</v>
      </c>
      <c r="N20" s="90">
        <v>0.05</v>
      </c>
    </row>
    <row r="21" spans="1:6" ht="15" customHeight="1">
      <c r="A21" s="56" t="s">
        <v>42</v>
      </c>
      <c r="B21" s="86">
        <v>0.6916378</v>
      </c>
      <c r="F21" s="3" t="s">
        <v>65</v>
      </c>
    </row>
    <row r="22" spans="1:6" ht="15" customHeight="1">
      <c r="A22" s="56" t="s">
        <v>43</v>
      </c>
      <c r="B22" s="71" t="s">
        <v>44</v>
      </c>
      <c r="F22" s="3" t="s">
        <v>66</v>
      </c>
    </row>
    <row r="23" spans="1:2" ht="15" customHeight="1" thickBot="1">
      <c r="A23" s="91" t="s">
        <v>45</v>
      </c>
      <c r="B23" s="92">
        <v>15</v>
      </c>
    </row>
    <row r="24" spans="1:12" ht="18" customHeight="1" thickBot="1" thickTop="1">
      <c r="A24" s="93" t="s">
        <v>67</v>
      </c>
      <c r="B24" s="94">
        <v>-0.043745283248291474</v>
      </c>
      <c r="E24" s="95"/>
      <c r="F24" s="96"/>
      <c r="G24" s="97" t="s">
        <v>46</v>
      </c>
      <c r="H24" s="96"/>
      <c r="I24" s="96"/>
      <c r="J24" s="96"/>
      <c r="K24" s="96"/>
      <c r="L24" s="98"/>
    </row>
    <row r="25" spans="1:12" ht="18" customHeight="1">
      <c r="A25" s="44" t="s">
        <v>47</v>
      </c>
      <c r="B25" s="45">
        <v>10</v>
      </c>
      <c r="E25" s="99" t="s">
        <v>48</v>
      </c>
      <c r="F25" s="100"/>
      <c r="G25" s="101"/>
      <c r="H25" s="102">
        <v>-3.7611705</v>
      </c>
      <c r="I25" s="100" t="s">
        <v>49</v>
      </c>
      <c r="J25" s="101"/>
      <c r="K25" s="100"/>
      <c r="L25" s="103">
        <v>4.902714688300894</v>
      </c>
    </row>
    <row r="26" spans="1:12" ht="18" customHeight="1" thickBot="1">
      <c r="A26" s="56" t="s">
        <v>50</v>
      </c>
      <c r="B26" s="57" t="s">
        <v>51</v>
      </c>
      <c r="E26" s="104" t="s">
        <v>52</v>
      </c>
      <c r="F26" s="105"/>
      <c r="G26" s="106"/>
      <c r="H26" s="107">
        <v>1.4500548510161455</v>
      </c>
      <c r="I26" s="105" t="s">
        <v>53</v>
      </c>
      <c r="J26" s="106"/>
      <c r="K26" s="105"/>
      <c r="L26" s="108">
        <v>0.07813653018028131</v>
      </c>
    </row>
    <row r="27" spans="1:2" ht="15" customHeight="1" thickBot="1" thickTop="1">
      <c r="A27" s="91" t="s">
        <v>54</v>
      </c>
      <c r="B27" s="92">
        <v>80</v>
      </c>
    </row>
    <row r="28" spans="1:14" s="2" customFormat="1" ht="18" customHeight="1" thickBot="1">
      <c r="A28" s="109" t="s">
        <v>55</v>
      </c>
      <c r="B28" s="110"/>
      <c r="C28" s="110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2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HCMQAP011-001_pos4_11141037aper2res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56</v>
      </c>
      <c r="E2" s="52"/>
      <c r="F2" s="52"/>
      <c r="G2" s="52"/>
      <c r="H2" s="52"/>
      <c r="I2" s="52"/>
      <c r="J2" s="53"/>
      <c r="K2" s="54">
        <v>8.16580000000007E-08</v>
      </c>
      <c r="L2" s="54">
        <v>6.618958034313189E-08</v>
      </c>
      <c r="M2" s="54">
        <v>8.5630252E-05</v>
      </c>
      <c r="N2" s="55">
        <v>9.326436095126917E-08</v>
      </c>
    </row>
    <row r="3" spans="1:14" ht="15" customHeight="1">
      <c r="A3" s="56" t="s">
        <v>16</v>
      </c>
      <c r="B3" s="57">
        <v>2</v>
      </c>
      <c r="D3" s="51" t="s">
        <v>57</v>
      </c>
      <c r="E3" s="52"/>
      <c r="F3" s="52"/>
      <c r="G3" s="52"/>
      <c r="H3" s="52"/>
      <c r="I3" s="52"/>
      <c r="J3" s="53"/>
      <c r="K3" s="54">
        <v>-3.0821432E-05</v>
      </c>
      <c r="L3" s="54">
        <v>1.1925497878942183E-07</v>
      </c>
      <c r="M3" s="54">
        <v>9.501697999999999E-06</v>
      </c>
      <c r="N3" s="55">
        <v>1.8491198113156163E-07</v>
      </c>
    </row>
    <row r="4" spans="1:14" ht="15" customHeight="1">
      <c r="A4" s="56" t="s">
        <v>17</v>
      </c>
      <c r="B4" s="57">
        <v>2</v>
      </c>
      <c r="D4" s="51" t="s">
        <v>58</v>
      </c>
      <c r="E4" s="52"/>
      <c r="F4" s="52"/>
      <c r="G4" s="52"/>
      <c r="H4" s="52"/>
      <c r="I4" s="52"/>
      <c r="J4" s="53"/>
      <c r="K4" s="54">
        <v>-0.0021035900775505686</v>
      </c>
      <c r="L4" s="54">
        <v>-1.1647329963857135E-06</v>
      </c>
      <c r="M4" s="54">
        <v>3.5073353442617135E-08</v>
      </c>
      <c r="N4" s="55">
        <v>0.27684407</v>
      </c>
    </row>
    <row r="5" spans="1:14" ht="15" customHeight="1" thickBot="1">
      <c r="A5" t="s">
        <v>18</v>
      </c>
      <c r="B5" s="58">
        <v>37573.44719907407</v>
      </c>
      <c r="D5" s="59"/>
      <c r="E5" s="60" t="s">
        <v>80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1114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60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61</v>
      </c>
      <c r="E7" s="73" t="s">
        <v>62</v>
      </c>
      <c r="F7" s="74" t="s">
        <v>63</v>
      </c>
      <c r="G7" s="73" t="s">
        <v>64</v>
      </c>
      <c r="H7" s="75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6" t="s">
        <v>27</v>
      </c>
      <c r="B8" s="71" t="s">
        <v>28</v>
      </c>
      <c r="D8" s="76">
        <v>-4.1072395</v>
      </c>
      <c r="E8" s="77">
        <v>0.0194266831883593</v>
      </c>
      <c r="F8" s="113">
        <v>6.0878125999999995</v>
      </c>
      <c r="G8" s="77">
        <v>0.011631656014787108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5">
        <v>-3.7145053</v>
      </c>
      <c r="E9" s="79">
        <v>0.007243909156002334</v>
      </c>
      <c r="F9" s="79">
        <v>0.030364800000000008</v>
      </c>
      <c r="G9" s="79">
        <v>0.014443181494116882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1.203208477</v>
      </c>
      <c r="E10" s="79">
        <v>0.012203888199527063</v>
      </c>
      <c r="F10" s="114">
        <v>-7.1885379</v>
      </c>
      <c r="G10" s="79">
        <v>0.017523390103943534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5</v>
      </c>
      <c r="D11" s="115">
        <v>15.188581</v>
      </c>
      <c r="E11" s="77">
        <v>0.008649600222666825</v>
      </c>
      <c r="F11" s="113">
        <v>2.0054931000000003</v>
      </c>
      <c r="G11" s="77">
        <v>0.009270270472750641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3">
        <v>0.7499</v>
      </c>
      <c r="D12" s="82">
        <v>-0.34135581</v>
      </c>
      <c r="E12" s="79">
        <v>0.0057831247406052765</v>
      </c>
      <c r="F12" s="79">
        <v>0.54808753</v>
      </c>
      <c r="G12" s="79">
        <v>0.009477531757087423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20.373536</v>
      </c>
      <c r="D13" s="82">
        <v>-0.014703753000000003</v>
      </c>
      <c r="E13" s="79">
        <v>0.008172475848020961</v>
      </c>
      <c r="F13" s="79">
        <v>-0.19094827000000003</v>
      </c>
      <c r="G13" s="79">
        <v>0.007185861452086645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4">
        <v>12.5</v>
      </c>
      <c r="D14" s="82">
        <v>0.23569494</v>
      </c>
      <c r="E14" s="79">
        <v>0.0057153153978063845</v>
      </c>
      <c r="F14" s="79">
        <v>0.152098833</v>
      </c>
      <c r="G14" s="79">
        <v>0.004397543148471768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-0.34796359</v>
      </c>
      <c r="E15" s="77">
        <v>0.0045777411223648775</v>
      </c>
      <c r="F15" s="77">
        <v>0.16482577000000004</v>
      </c>
      <c r="G15" s="77">
        <v>0.0027806089814261265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12.505</v>
      </c>
      <c r="D16" s="82">
        <v>-0.021237549799999998</v>
      </c>
      <c r="E16" s="79">
        <v>0.0019348040895287566</v>
      </c>
      <c r="F16" s="79">
        <v>0.0140629831</v>
      </c>
      <c r="G16" s="79">
        <v>0.001554081638909102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-0.2800000011920929</v>
      </c>
      <c r="D17" s="82">
        <v>0.05730035900000001</v>
      </c>
      <c r="E17" s="79">
        <v>0.004532548849988542</v>
      </c>
      <c r="F17" s="79">
        <v>-0.005799057</v>
      </c>
      <c r="G17" s="79">
        <v>0.0012250640198357005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38.65599822998047</v>
      </c>
      <c r="D18" s="82">
        <v>-0.011136953575</v>
      </c>
      <c r="E18" s="79">
        <v>0.0012729474294315838</v>
      </c>
      <c r="F18" s="79">
        <v>0.08908777699999999</v>
      </c>
      <c r="G18" s="79">
        <v>0.002485780442482445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-0.38499999046325684</v>
      </c>
      <c r="D19" s="82">
        <v>-0.1335915</v>
      </c>
      <c r="E19" s="79">
        <v>0.0008017888606129277</v>
      </c>
      <c r="F19" s="79">
        <v>-0.029522934</v>
      </c>
      <c r="G19" s="79">
        <v>0.00188204396824678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6">
        <v>0.0010232999999999937</v>
      </c>
      <c r="D20" s="87">
        <v>-0.00209228025</v>
      </c>
      <c r="E20" s="88">
        <v>0.0007973151467831269</v>
      </c>
      <c r="F20" s="88">
        <v>-0.00148736052</v>
      </c>
      <c r="G20" s="88">
        <v>0.0009737223608517481</v>
      </c>
      <c r="H20" s="89">
        <v>15</v>
      </c>
      <c r="I20" s="88">
        <v>0</v>
      </c>
      <c r="J20" s="88">
        <v>0</v>
      </c>
      <c r="K20" s="88">
        <v>0</v>
      </c>
      <c r="L20" s="88">
        <v>0</v>
      </c>
      <c r="M20" s="88">
        <v>0.05</v>
      </c>
      <c r="N20" s="90">
        <v>0.05</v>
      </c>
    </row>
    <row r="21" spans="1:6" ht="15" customHeight="1">
      <c r="A21" s="56" t="s">
        <v>42</v>
      </c>
      <c r="B21" s="86">
        <v>0.6919872</v>
      </c>
      <c r="F21" s="3" t="s">
        <v>65</v>
      </c>
    </row>
    <row r="22" spans="1:6" ht="15" customHeight="1">
      <c r="A22" s="56" t="s">
        <v>43</v>
      </c>
      <c r="B22" s="71" t="s">
        <v>44</v>
      </c>
      <c r="F22" s="3" t="s">
        <v>66</v>
      </c>
    </row>
    <row r="23" spans="1:2" ht="15" customHeight="1" thickBot="1">
      <c r="A23" s="91" t="s">
        <v>45</v>
      </c>
      <c r="B23" s="92">
        <v>15</v>
      </c>
    </row>
    <row r="24" spans="1:12" ht="18" customHeight="1" thickBot="1" thickTop="1">
      <c r="A24" s="93" t="s">
        <v>67</v>
      </c>
      <c r="B24" s="94">
        <v>0.015862010192291165</v>
      </c>
      <c r="E24" s="95"/>
      <c r="F24" s="96"/>
      <c r="G24" s="97" t="s">
        <v>46</v>
      </c>
      <c r="H24" s="96"/>
      <c r="I24" s="96"/>
      <c r="J24" s="96"/>
      <c r="K24" s="96"/>
      <c r="L24" s="98"/>
    </row>
    <row r="25" spans="1:12" ht="18" customHeight="1">
      <c r="A25" s="44" t="s">
        <v>47</v>
      </c>
      <c r="B25" s="45">
        <v>10</v>
      </c>
      <c r="E25" s="99" t="s">
        <v>48</v>
      </c>
      <c r="F25" s="100"/>
      <c r="G25" s="101"/>
      <c r="H25" s="102">
        <v>-2.1035904</v>
      </c>
      <c r="I25" s="100" t="s">
        <v>49</v>
      </c>
      <c r="J25" s="101"/>
      <c r="K25" s="100"/>
      <c r="L25" s="103">
        <v>15.320411070454625</v>
      </c>
    </row>
    <row r="26" spans="1:12" ht="18" customHeight="1" thickBot="1">
      <c r="A26" s="56" t="s">
        <v>50</v>
      </c>
      <c r="B26" s="57" t="s">
        <v>51</v>
      </c>
      <c r="E26" s="104" t="s">
        <v>52</v>
      </c>
      <c r="F26" s="105"/>
      <c r="G26" s="106"/>
      <c r="H26" s="107">
        <v>7.343764604280219</v>
      </c>
      <c r="I26" s="105" t="s">
        <v>53</v>
      </c>
      <c r="J26" s="106"/>
      <c r="K26" s="105"/>
      <c r="L26" s="108">
        <v>0.3850275242392172</v>
      </c>
    </row>
    <row r="27" spans="1:2" ht="15" customHeight="1" thickBot="1" thickTop="1">
      <c r="A27" s="91" t="s">
        <v>54</v>
      </c>
      <c r="B27" s="92">
        <v>80</v>
      </c>
    </row>
    <row r="28" spans="1:14" s="2" customFormat="1" ht="18" customHeight="1" thickBot="1">
      <c r="A28" s="109" t="s">
        <v>55</v>
      </c>
      <c r="B28" s="110"/>
      <c r="C28" s="110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2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HCMQAP011-001_pos5_11141043aper2res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G35"/>
  <sheetViews>
    <sheetView workbookViewId="0" topLeftCell="A1">
      <selection activeCell="B2" sqref="B2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38" t="s">
        <v>120</v>
      </c>
      <c r="B1" s="130" t="s">
        <v>129</v>
      </c>
      <c r="C1" s="120" t="s">
        <v>73</v>
      </c>
      <c r="D1" s="120" t="s">
        <v>76</v>
      </c>
      <c r="E1" s="120" t="s">
        <v>78</v>
      </c>
      <c r="F1" s="127" t="s">
        <v>81</v>
      </c>
      <c r="G1" s="162" t="s">
        <v>121</v>
      </c>
    </row>
    <row r="2" spans="1:7" ht="13.5" thickBot="1">
      <c r="A2" s="139" t="s">
        <v>90</v>
      </c>
      <c r="B2" s="131">
        <v>-2.2466114999999998</v>
      </c>
      <c r="C2" s="122">
        <v>-3.7607055000000003</v>
      </c>
      <c r="D2" s="122">
        <v>-3.759471499999999</v>
      </c>
      <c r="E2" s="122">
        <v>-3.7611705</v>
      </c>
      <c r="F2" s="128">
        <v>-2.1035904</v>
      </c>
      <c r="G2" s="163">
        <v>3.117207114237018</v>
      </c>
    </row>
    <row r="3" spans="1:7" ht="14.25" thickBot="1" thickTop="1">
      <c r="A3" s="147" t="s">
        <v>89</v>
      </c>
      <c r="B3" s="148" t="s">
        <v>84</v>
      </c>
      <c r="C3" s="149" t="s">
        <v>85</v>
      </c>
      <c r="D3" s="149" t="s">
        <v>86</v>
      </c>
      <c r="E3" s="149" t="s">
        <v>87</v>
      </c>
      <c r="F3" s="150" t="s">
        <v>88</v>
      </c>
      <c r="G3" s="157" t="s">
        <v>122</v>
      </c>
    </row>
    <row r="4" spans="1:7" ht="12.75">
      <c r="A4" s="144" t="s">
        <v>91</v>
      </c>
      <c r="B4" s="145">
        <v>-0.25716418</v>
      </c>
      <c r="C4" s="146">
        <v>-1.1854071999999998</v>
      </c>
      <c r="D4" s="146">
        <v>-1.4853811000000001</v>
      </c>
      <c r="E4" s="146">
        <v>-1.4438771000000001</v>
      </c>
      <c r="F4" s="151">
        <v>-4.1072395</v>
      </c>
      <c r="G4" s="158">
        <v>-1.579535092656309</v>
      </c>
    </row>
    <row r="5" spans="1:7" ht="12.75">
      <c r="A5" s="139" t="s">
        <v>93</v>
      </c>
      <c r="B5" s="133">
        <v>-0.4469683</v>
      </c>
      <c r="C5" s="117">
        <v>0.146619211</v>
      </c>
      <c r="D5" s="117">
        <v>-0.4378221</v>
      </c>
      <c r="E5" s="117">
        <v>-0.36985471</v>
      </c>
      <c r="F5" s="152">
        <v>-3.7145053</v>
      </c>
      <c r="G5" s="159">
        <v>-0.7231296259786898</v>
      </c>
    </row>
    <row r="6" spans="1:7" ht="12.75">
      <c r="A6" s="139" t="s">
        <v>95</v>
      </c>
      <c r="B6" s="133">
        <v>-0.05941467</v>
      </c>
      <c r="C6" s="117">
        <v>-0.91511812</v>
      </c>
      <c r="D6" s="117">
        <v>-0.83574547</v>
      </c>
      <c r="E6" s="117">
        <v>-0.182592694</v>
      </c>
      <c r="F6" s="153">
        <v>1.203208477</v>
      </c>
      <c r="G6" s="159">
        <v>-0.31171811774563923</v>
      </c>
    </row>
    <row r="7" spans="1:7" ht="12.75">
      <c r="A7" s="139" t="s">
        <v>97</v>
      </c>
      <c r="B7" s="132">
        <v>4.7825079</v>
      </c>
      <c r="C7" s="116">
        <v>5.1070037</v>
      </c>
      <c r="D7" s="116">
        <v>5.0792871</v>
      </c>
      <c r="E7" s="116">
        <v>4.8771578999999985</v>
      </c>
      <c r="F7" s="154">
        <v>15.188581</v>
      </c>
      <c r="G7" s="160">
        <v>6.355108012607067</v>
      </c>
    </row>
    <row r="8" spans="1:7" ht="12.75">
      <c r="A8" s="139" t="s">
        <v>99</v>
      </c>
      <c r="B8" s="133">
        <v>0.058761313999999995</v>
      </c>
      <c r="C8" s="117">
        <v>0.10532505199999997</v>
      </c>
      <c r="D8" s="117">
        <v>-0.20565765000000003</v>
      </c>
      <c r="E8" s="117">
        <v>-0.062749921</v>
      </c>
      <c r="F8" s="153">
        <v>-0.34135581</v>
      </c>
      <c r="G8" s="159">
        <v>-0.07671278475075749</v>
      </c>
    </row>
    <row r="9" spans="1:7" ht="12.75">
      <c r="A9" s="139" t="s">
        <v>101</v>
      </c>
      <c r="B9" s="133">
        <v>0.0449676495</v>
      </c>
      <c r="C9" s="117">
        <v>0.013324269</v>
      </c>
      <c r="D9" s="117">
        <v>0.0702915871</v>
      </c>
      <c r="E9" s="117">
        <v>0.045312121299999994</v>
      </c>
      <c r="F9" s="153">
        <v>-0.014703753000000003</v>
      </c>
      <c r="G9" s="159">
        <v>0.0354979941316551</v>
      </c>
    </row>
    <row r="10" spans="1:7" ht="12.75">
      <c r="A10" s="139" t="s">
        <v>103</v>
      </c>
      <c r="B10" s="133">
        <v>0.03827562823</v>
      </c>
      <c r="C10" s="117">
        <v>0.036029624</v>
      </c>
      <c r="D10" s="117">
        <v>0.0435087267</v>
      </c>
      <c r="E10" s="117">
        <v>0.015967538499999996</v>
      </c>
      <c r="F10" s="153">
        <v>0.23569494</v>
      </c>
      <c r="G10" s="159">
        <v>0.060193606757709114</v>
      </c>
    </row>
    <row r="11" spans="1:7" ht="12.75">
      <c r="A11" s="139" t="s">
        <v>105</v>
      </c>
      <c r="B11" s="132">
        <v>-0.32872594000000005</v>
      </c>
      <c r="C11" s="116">
        <v>-0.066708849</v>
      </c>
      <c r="D11" s="116">
        <v>-0.062352556</v>
      </c>
      <c r="E11" s="116">
        <v>-0.07318692600000001</v>
      </c>
      <c r="F11" s="155">
        <v>-0.34796359</v>
      </c>
      <c r="G11" s="159">
        <v>-0.14272710830890845</v>
      </c>
    </row>
    <row r="12" spans="1:7" ht="12.75">
      <c r="A12" s="139" t="s">
        <v>107</v>
      </c>
      <c r="B12" s="133">
        <v>-0.010617537</v>
      </c>
      <c r="C12" s="117">
        <v>0.0134644778</v>
      </c>
      <c r="D12" s="117">
        <v>-0.049847549</v>
      </c>
      <c r="E12" s="117">
        <v>-0.0228686123</v>
      </c>
      <c r="F12" s="153">
        <v>-0.021237549799999998</v>
      </c>
      <c r="G12" s="159">
        <v>-0.018635762406037634</v>
      </c>
    </row>
    <row r="13" spans="1:7" ht="12.75">
      <c r="A13" s="139" t="s">
        <v>109</v>
      </c>
      <c r="B13" s="133">
        <v>0.05110473</v>
      </c>
      <c r="C13" s="117">
        <v>0.012764503489999999</v>
      </c>
      <c r="D13" s="117">
        <v>0.050141466</v>
      </c>
      <c r="E13" s="117">
        <v>0.076804792</v>
      </c>
      <c r="F13" s="153">
        <v>0.05730035900000001</v>
      </c>
      <c r="G13" s="159">
        <v>0.04866656583865038</v>
      </c>
    </row>
    <row r="14" spans="1:7" ht="12.75">
      <c r="A14" s="139" t="s">
        <v>111</v>
      </c>
      <c r="B14" s="133">
        <v>0.0116464905</v>
      </c>
      <c r="C14" s="117">
        <v>0.058884281999999996</v>
      </c>
      <c r="D14" s="117">
        <v>0.072278971</v>
      </c>
      <c r="E14" s="117">
        <v>0.044075898</v>
      </c>
      <c r="F14" s="153">
        <v>-0.011136953575</v>
      </c>
      <c r="G14" s="159">
        <v>0.042330525014347684</v>
      </c>
    </row>
    <row r="15" spans="1:7" ht="12.75">
      <c r="A15" s="139" t="s">
        <v>113</v>
      </c>
      <c r="B15" s="134">
        <v>-0.19458836</v>
      </c>
      <c r="C15" s="118">
        <v>-0.18021407999999997</v>
      </c>
      <c r="D15" s="118">
        <v>-0.18074532000000001</v>
      </c>
      <c r="E15" s="118">
        <v>-0.17729252</v>
      </c>
      <c r="F15" s="153">
        <v>-0.1335915</v>
      </c>
      <c r="G15" s="159">
        <v>-0.17543063271067807</v>
      </c>
    </row>
    <row r="16" spans="1:7" ht="12.75">
      <c r="A16" s="139" t="s">
        <v>115</v>
      </c>
      <c r="B16" s="133">
        <v>0.0003361175</v>
      </c>
      <c r="C16" s="117">
        <v>-0.0008810524599999998</v>
      </c>
      <c r="D16" s="117">
        <v>-0.0011843842</v>
      </c>
      <c r="E16" s="117">
        <v>-0.0013260266</v>
      </c>
      <c r="F16" s="153">
        <v>-0.00209228025</v>
      </c>
      <c r="G16" s="159">
        <v>-0.0010491362304976932</v>
      </c>
    </row>
    <row r="17" spans="1:7" ht="12.75">
      <c r="A17" s="139" t="s">
        <v>92</v>
      </c>
      <c r="B17" s="132">
        <v>-1.01960023</v>
      </c>
      <c r="C17" s="116">
        <v>-0.11126322</v>
      </c>
      <c r="D17" s="116">
        <v>-0.52696891</v>
      </c>
      <c r="E17" s="116">
        <v>-0.13370860499999998</v>
      </c>
      <c r="F17" s="154">
        <v>6.0878125999999995</v>
      </c>
      <c r="G17" s="159">
        <v>0.4870384043685053</v>
      </c>
    </row>
    <row r="18" spans="1:7" ht="12.75">
      <c r="A18" s="139" t="s">
        <v>94</v>
      </c>
      <c r="B18" s="133">
        <v>0.1124110258</v>
      </c>
      <c r="C18" s="117">
        <v>-0.73699888</v>
      </c>
      <c r="D18" s="117">
        <v>0.0578929888</v>
      </c>
      <c r="E18" s="117">
        <v>-0.46010291</v>
      </c>
      <c r="F18" s="153">
        <v>0.030364800000000008</v>
      </c>
      <c r="G18" s="159">
        <v>-0.2538516870922328</v>
      </c>
    </row>
    <row r="19" spans="1:7" ht="12.75">
      <c r="A19" s="139" t="s">
        <v>96</v>
      </c>
      <c r="B19" s="133">
        <v>-1.5872715</v>
      </c>
      <c r="C19" s="117">
        <v>-1.22541411</v>
      </c>
      <c r="D19" s="117">
        <v>-2.1240924000000003</v>
      </c>
      <c r="E19" s="117">
        <v>-1.7565372</v>
      </c>
      <c r="F19" s="152">
        <v>-7.1885379</v>
      </c>
      <c r="G19" s="160">
        <v>-2.423831641744498</v>
      </c>
    </row>
    <row r="20" spans="1:7" ht="12.75">
      <c r="A20" s="139" t="s">
        <v>98</v>
      </c>
      <c r="B20" s="132">
        <v>1.2801323</v>
      </c>
      <c r="C20" s="116">
        <v>0.30349120999999996</v>
      </c>
      <c r="D20" s="116">
        <v>0.32226236</v>
      </c>
      <c r="E20" s="116">
        <v>0.49994213</v>
      </c>
      <c r="F20" s="154">
        <v>2.0054931000000003</v>
      </c>
      <c r="G20" s="159">
        <v>0.7246844507162067</v>
      </c>
    </row>
    <row r="21" spans="1:7" ht="12.75">
      <c r="A21" s="139" t="s">
        <v>100</v>
      </c>
      <c r="B21" s="133">
        <v>-0.16004957000000003</v>
      </c>
      <c r="C21" s="117">
        <v>-0.15605469</v>
      </c>
      <c r="D21" s="117">
        <v>-0.067517097</v>
      </c>
      <c r="E21" s="117">
        <v>0.11322352</v>
      </c>
      <c r="F21" s="153">
        <v>0.54808753</v>
      </c>
      <c r="G21" s="159">
        <v>0.02421583956020294</v>
      </c>
    </row>
    <row r="22" spans="1:7" ht="12.75">
      <c r="A22" s="139" t="s">
        <v>102</v>
      </c>
      <c r="B22" s="133">
        <v>-0.057115399</v>
      </c>
      <c r="C22" s="117">
        <v>-0.083661091</v>
      </c>
      <c r="D22" s="117">
        <v>-0.08733372799999999</v>
      </c>
      <c r="E22" s="117">
        <v>-0.09464165999999999</v>
      </c>
      <c r="F22" s="153">
        <v>-0.19094827000000003</v>
      </c>
      <c r="G22" s="159">
        <v>-0.09780923355023137</v>
      </c>
    </row>
    <row r="23" spans="1:7" ht="12.75">
      <c r="A23" s="139" t="s">
        <v>104</v>
      </c>
      <c r="B23" s="133">
        <v>0.111480625</v>
      </c>
      <c r="C23" s="117">
        <v>-0.050241615</v>
      </c>
      <c r="D23" s="117">
        <v>0.028397075</v>
      </c>
      <c r="E23" s="117">
        <v>0.046245803</v>
      </c>
      <c r="F23" s="153">
        <v>0.152098833</v>
      </c>
      <c r="G23" s="159">
        <v>0.042360466543456154</v>
      </c>
    </row>
    <row r="24" spans="1:7" ht="12.75">
      <c r="A24" s="139" t="s">
        <v>106</v>
      </c>
      <c r="B24" s="132">
        <v>0.16361547</v>
      </c>
      <c r="C24" s="116">
        <v>0.103411946</v>
      </c>
      <c r="D24" s="116">
        <v>0.047490242</v>
      </c>
      <c r="E24" s="116">
        <v>0.027367703799999997</v>
      </c>
      <c r="F24" s="155">
        <v>0.16482577000000004</v>
      </c>
      <c r="G24" s="159">
        <v>0.08858245296687078</v>
      </c>
    </row>
    <row r="25" spans="1:7" ht="12.75">
      <c r="A25" s="139" t="s">
        <v>108</v>
      </c>
      <c r="B25" s="133">
        <v>-0.036381947000000005</v>
      </c>
      <c r="C25" s="117">
        <v>-0.030807927000000002</v>
      </c>
      <c r="D25" s="117">
        <v>-0.015557566200000001</v>
      </c>
      <c r="E25" s="117">
        <v>-0.018906373</v>
      </c>
      <c r="F25" s="153">
        <v>0.0140629831</v>
      </c>
      <c r="G25" s="159">
        <v>-0.019039136575829563</v>
      </c>
    </row>
    <row r="26" spans="1:7" ht="12.75">
      <c r="A26" s="139" t="s">
        <v>110</v>
      </c>
      <c r="B26" s="133">
        <v>-0.010594958800000002</v>
      </c>
      <c r="C26" s="117">
        <v>-0.04467258</v>
      </c>
      <c r="D26" s="117">
        <v>-0.100761023</v>
      </c>
      <c r="E26" s="117">
        <v>-0.073925981</v>
      </c>
      <c r="F26" s="153">
        <v>-0.005799057</v>
      </c>
      <c r="G26" s="159">
        <v>-0.05507185534798323</v>
      </c>
    </row>
    <row r="27" spans="1:7" ht="12.75">
      <c r="A27" s="139" t="s">
        <v>112</v>
      </c>
      <c r="B27" s="133">
        <v>0.100124947</v>
      </c>
      <c r="C27" s="117">
        <v>0.06098017100000001</v>
      </c>
      <c r="D27" s="117">
        <v>0.112661545</v>
      </c>
      <c r="E27" s="117">
        <v>0.12192634</v>
      </c>
      <c r="F27" s="153">
        <v>0.08908777699999999</v>
      </c>
      <c r="G27" s="159">
        <v>0.09748285957159879</v>
      </c>
    </row>
    <row r="28" spans="1:7" ht="12.75">
      <c r="A28" s="139" t="s">
        <v>114</v>
      </c>
      <c r="B28" s="133">
        <v>0.00030887080000000004</v>
      </c>
      <c r="C28" s="117">
        <v>0.0094384408</v>
      </c>
      <c r="D28" s="117">
        <v>0.00266845888</v>
      </c>
      <c r="E28" s="117">
        <v>0.0064994226000000006</v>
      </c>
      <c r="F28" s="153">
        <v>-0.029522934</v>
      </c>
      <c r="G28" s="159">
        <v>0.0005477627211721075</v>
      </c>
    </row>
    <row r="29" spans="1:7" ht="13.5" thickBot="1">
      <c r="A29" s="140" t="s">
        <v>116</v>
      </c>
      <c r="B29" s="135">
        <v>0.0035295289</v>
      </c>
      <c r="C29" s="119">
        <v>0.0017354947</v>
      </c>
      <c r="D29" s="119">
        <v>0.002683718</v>
      </c>
      <c r="E29" s="119">
        <v>0.0022900146999999997</v>
      </c>
      <c r="F29" s="156">
        <v>-0.00148736052</v>
      </c>
      <c r="G29" s="161">
        <v>0.0019211060701292697</v>
      </c>
    </row>
    <row r="30" spans="1:7" ht="13.5" thickTop="1">
      <c r="A30" s="141" t="s">
        <v>117</v>
      </c>
      <c r="B30" s="136">
        <v>-0.13283893888126713</v>
      </c>
      <c r="C30" s="125">
        <v>-0.1648061777634892</v>
      </c>
      <c r="D30" s="125">
        <v>-0.11501966711123986</v>
      </c>
      <c r="E30" s="125">
        <v>-0.043745283248291474</v>
      </c>
      <c r="F30" s="121">
        <v>0.015862010192291165</v>
      </c>
      <c r="G30" s="162" t="s">
        <v>128</v>
      </c>
    </row>
    <row r="31" spans="1:7" ht="13.5" thickBot="1">
      <c r="A31" s="142" t="s">
        <v>118</v>
      </c>
      <c r="B31" s="131">
        <v>19.714356</v>
      </c>
      <c r="C31" s="122">
        <v>19.888306</v>
      </c>
      <c r="D31" s="122">
        <v>20.050049</v>
      </c>
      <c r="E31" s="122">
        <v>20.224</v>
      </c>
      <c r="F31" s="123">
        <v>20.373536</v>
      </c>
      <c r="G31" s="164">
        <v>-210.05</v>
      </c>
    </row>
    <row r="32" spans="1:7" ht="15.75" thickBot="1" thickTop="1">
      <c r="A32" s="143" t="s">
        <v>119</v>
      </c>
      <c r="B32" s="137">
        <v>-0.32599999010562897</v>
      </c>
      <c r="C32" s="126">
        <v>0.33250001072883606</v>
      </c>
      <c r="D32" s="126">
        <v>-0.33150000870227814</v>
      </c>
      <c r="E32" s="126">
        <v>0.34550000727176666</v>
      </c>
      <c r="F32" s="124">
        <v>-0.33249999582767487</v>
      </c>
      <c r="G32" s="129" t="s">
        <v>127</v>
      </c>
    </row>
    <row r="33" spans="1:7" ht="15" thickTop="1">
      <c r="A33" t="s">
        <v>123</v>
      </c>
      <c r="G33" s="32" t="s">
        <v>124</v>
      </c>
    </row>
    <row r="34" ht="14.25">
      <c r="A34" t="s">
        <v>125</v>
      </c>
    </row>
    <row r="35" spans="1:2" ht="12.75">
      <c r="A35" t="s">
        <v>126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10.66015625" defaultRowHeight="12.75"/>
  <cols>
    <col min="1" max="1" width="31.5" style="165" bestFit="1" customWidth="1"/>
    <col min="2" max="2" width="15.66015625" style="165" bestFit="1" customWidth="1"/>
    <col min="3" max="3" width="14.83203125" style="165" bestFit="1" customWidth="1"/>
    <col min="4" max="4" width="16" style="165" bestFit="1" customWidth="1"/>
    <col min="5" max="5" width="20.83203125" style="165" bestFit="1" customWidth="1"/>
    <col min="6" max="7" width="14.83203125" style="165" bestFit="1" customWidth="1"/>
    <col min="8" max="8" width="14.16015625" style="165" bestFit="1" customWidth="1"/>
    <col min="9" max="9" width="14.83203125" style="165" bestFit="1" customWidth="1"/>
    <col min="10" max="10" width="6.33203125" style="165" bestFit="1" customWidth="1"/>
    <col min="11" max="11" width="15" style="165" bestFit="1" customWidth="1"/>
    <col min="12" max="16384" width="10.66015625" style="165" customWidth="1"/>
  </cols>
  <sheetData>
    <row r="1" spans="1:5" ht="12.75">
      <c r="A1" s="165" t="s">
        <v>130</v>
      </c>
      <c r="B1" s="165" t="s">
        <v>131</v>
      </c>
      <c r="C1" s="165" t="s">
        <v>132</v>
      </c>
      <c r="D1" s="165" t="s">
        <v>133</v>
      </c>
      <c r="E1" s="165" t="s">
        <v>28</v>
      </c>
    </row>
    <row r="3" spans="1:8" ht="12.75">
      <c r="A3" s="165" t="s">
        <v>134</v>
      </c>
      <c r="B3" s="165" t="s">
        <v>84</v>
      </c>
      <c r="C3" s="165" t="s">
        <v>85</v>
      </c>
      <c r="D3" s="165" t="s">
        <v>86</v>
      </c>
      <c r="E3" s="165" t="s">
        <v>87</v>
      </c>
      <c r="F3" s="165" t="s">
        <v>88</v>
      </c>
      <c r="G3" s="165" t="s">
        <v>135</v>
      </c>
      <c r="H3"/>
    </row>
    <row r="4" spans="1:8" ht="12.75">
      <c r="A4" s="165" t="s">
        <v>136</v>
      </c>
      <c r="B4" s="165">
        <v>0.002246</v>
      </c>
      <c r="C4" s="165">
        <v>0.003759</v>
      </c>
      <c r="D4" s="165">
        <v>0.003758</v>
      </c>
      <c r="E4" s="165">
        <v>0.00376</v>
      </c>
      <c r="F4" s="165">
        <v>0.002103</v>
      </c>
      <c r="G4" s="165">
        <v>0.011717</v>
      </c>
      <c r="H4"/>
    </row>
    <row r="5" spans="1:8" ht="12.75">
      <c r="A5" s="165" t="s">
        <v>137</v>
      </c>
      <c r="B5" s="165">
        <v>-0.433746</v>
      </c>
      <c r="C5" s="165">
        <v>-0.996331</v>
      </c>
      <c r="D5" s="165">
        <v>-0.722402</v>
      </c>
      <c r="E5" s="165">
        <v>1.119524</v>
      </c>
      <c r="F5" s="165">
        <v>1.544661</v>
      </c>
      <c r="G5" s="165">
        <v>-1.583912</v>
      </c>
      <c r="H5"/>
    </row>
    <row r="6" spans="1:8" ht="12.75">
      <c r="A6" s="165" t="s">
        <v>138</v>
      </c>
      <c r="B6" s="166">
        <v>-131.0992</v>
      </c>
      <c r="C6" s="166">
        <v>-310.154</v>
      </c>
      <c r="D6" s="166">
        <v>-328.3816</v>
      </c>
      <c r="E6" s="166">
        <v>-237.3451</v>
      </c>
      <c r="F6" s="166">
        <v>-121.7792</v>
      </c>
      <c r="G6" s="166">
        <v>690.5448</v>
      </c>
      <c r="H6"/>
    </row>
    <row r="7" spans="1:8" ht="12.75">
      <c r="A7" s="165" t="s">
        <v>139</v>
      </c>
      <c r="B7" s="166">
        <v>10000</v>
      </c>
      <c r="C7" s="166">
        <v>10000</v>
      </c>
      <c r="D7" s="166">
        <v>10000</v>
      </c>
      <c r="E7" s="166">
        <v>10000</v>
      </c>
      <c r="F7" s="166">
        <v>10000</v>
      </c>
      <c r="G7" s="166">
        <v>10000</v>
      </c>
      <c r="H7"/>
    </row>
    <row r="8" spans="1:8" ht="12.75">
      <c r="A8" s="165" t="s">
        <v>91</v>
      </c>
      <c r="B8" s="166">
        <v>-0.2382772</v>
      </c>
      <c r="C8" s="166">
        <v>-1.207826</v>
      </c>
      <c r="D8" s="166">
        <v>-1.498798</v>
      </c>
      <c r="E8" s="166">
        <v>-1.435871</v>
      </c>
      <c r="F8" s="166">
        <v>-4.008635</v>
      </c>
      <c r="G8" s="166">
        <v>0.4700927</v>
      </c>
      <c r="H8"/>
    </row>
    <row r="9" spans="1:8" ht="12.75">
      <c r="A9" s="165" t="s">
        <v>93</v>
      </c>
      <c r="B9" s="166">
        <v>-0.4876303</v>
      </c>
      <c r="C9" s="166">
        <v>0.05448142</v>
      </c>
      <c r="D9" s="166">
        <v>-0.4374369</v>
      </c>
      <c r="E9" s="166">
        <v>-0.3350494</v>
      </c>
      <c r="F9" s="166">
        <v>-3.62122</v>
      </c>
      <c r="G9" s="166">
        <v>0.730139</v>
      </c>
      <c r="H9"/>
    </row>
    <row r="10" spans="1:8" ht="12.75">
      <c r="A10" s="165" t="s">
        <v>95</v>
      </c>
      <c r="B10" s="166">
        <v>-0.2998631</v>
      </c>
      <c r="C10" s="166">
        <v>-0.7430127</v>
      </c>
      <c r="D10" s="166">
        <v>-0.6393634</v>
      </c>
      <c r="E10" s="166">
        <v>-0.202347</v>
      </c>
      <c r="F10" s="166">
        <v>0.27458</v>
      </c>
      <c r="G10" s="166">
        <v>2.406435</v>
      </c>
      <c r="H10"/>
    </row>
    <row r="11" spans="1:8" ht="12.75">
      <c r="A11" s="165" t="s">
        <v>97</v>
      </c>
      <c r="B11" s="166">
        <v>4.777193</v>
      </c>
      <c r="C11" s="166">
        <v>5.104023</v>
      </c>
      <c r="D11" s="166">
        <v>5.074341</v>
      </c>
      <c r="E11" s="166">
        <v>4.872099</v>
      </c>
      <c r="F11" s="166">
        <v>15.17709</v>
      </c>
      <c r="G11" s="166">
        <v>6.349736</v>
      </c>
      <c r="H11"/>
    </row>
    <row r="12" spans="1:8" ht="12.75">
      <c r="A12" s="165" t="s">
        <v>99</v>
      </c>
      <c r="B12" s="166">
        <v>0.05564078</v>
      </c>
      <c r="C12" s="166">
        <v>0.1007219</v>
      </c>
      <c r="D12" s="166">
        <v>-0.1958798</v>
      </c>
      <c r="E12" s="166">
        <v>-0.05672185</v>
      </c>
      <c r="F12" s="166">
        <v>-0.3306711</v>
      </c>
      <c r="G12" s="166">
        <v>0.02445522</v>
      </c>
      <c r="H12"/>
    </row>
    <row r="13" spans="1:8" ht="12.75">
      <c r="A13" s="165" t="s">
        <v>101</v>
      </c>
      <c r="B13" s="166">
        <v>0.04899678</v>
      </c>
      <c r="C13" s="166">
        <v>0.01388003</v>
      </c>
      <c r="D13" s="166">
        <v>0.07584472</v>
      </c>
      <c r="E13" s="166">
        <v>0.04728493</v>
      </c>
      <c r="F13" s="166">
        <v>-0.0366245</v>
      </c>
      <c r="G13" s="166">
        <v>-0.0350695</v>
      </c>
      <c r="H13"/>
    </row>
    <row r="14" spans="1:8" ht="12.75">
      <c r="A14" s="165" t="s">
        <v>103</v>
      </c>
      <c r="B14" s="166">
        <v>0.07807243</v>
      </c>
      <c r="C14" s="166">
        <v>0.03973205</v>
      </c>
      <c r="D14" s="166">
        <v>0.03519424</v>
      </c>
      <c r="E14" s="166">
        <v>0.01234153</v>
      </c>
      <c r="F14" s="166">
        <v>0.2602208</v>
      </c>
      <c r="G14" s="166">
        <v>-0.04241703</v>
      </c>
      <c r="H14"/>
    </row>
    <row r="15" spans="1:8" ht="12.75">
      <c r="A15" s="165" t="s">
        <v>105</v>
      </c>
      <c r="B15" s="166">
        <v>-0.3331124</v>
      </c>
      <c r="C15" s="166">
        <v>-0.07048347</v>
      </c>
      <c r="D15" s="166">
        <v>-0.06677154</v>
      </c>
      <c r="E15" s="166">
        <v>-0.07424207</v>
      </c>
      <c r="F15" s="166">
        <v>-0.3516498</v>
      </c>
      <c r="G15" s="166">
        <v>-0.1460781</v>
      </c>
      <c r="H15"/>
    </row>
    <row r="16" spans="1:8" ht="12.75">
      <c r="A16" s="165" t="s">
        <v>107</v>
      </c>
      <c r="B16" s="166">
        <v>-0.02076936</v>
      </c>
      <c r="C16" s="166">
        <v>0.00770523</v>
      </c>
      <c r="D16" s="166">
        <v>-0.04304458</v>
      </c>
      <c r="E16" s="166">
        <v>-0.01978263</v>
      </c>
      <c r="F16" s="166">
        <v>-0.03089526</v>
      </c>
      <c r="G16" s="166">
        <v>-0.02055778</v>
      </c>
      <c r="H16"/>
    </row>
    <row r="17" spans="1:8" ht="12.75">
      <c r="A17" s="165" t="s">
        <v>109</v>
      </c>
      <c r="B17" s="166">
        <v>0.05422545</v>
      </c>
      <c r="C17" s="166">
        <v>0.02441489</v>
      </c>
      <c r="D17" s="166">
        <v>0.0499409</v>
      </c>
      <c r="E17" s="166">
        <v>0.06800196</v>
      </c>
      <c r="F17" s="166">
        <v>0.05243019</v>
      </c>
      <c r="G17" s="166">
        <v>-0.04909528</v>
      </c>
      <c r="H17"/>
    </row>
    <row r="18" spans="1:8" ht="12.75">
      <c r="A18" s="165" t="s">
        <v>111</v>
      </c>
      <c r="B18" s="166">
        <v>0.0216469</v>
      </c>
      <c r="C18" s="166">
        <v>0.05580087</v>
      </c>
      <c r="D18" s="166">
        <v>0.06760922</v>
      </c>
      <c r="E18" s="166">
        <v>0.04295366</v>
      </c>
      <c r="F18" s="166">
        <v>-0.005222324</v>
      </c>
      <c r="G18" s="166">
        <v>-0.09754324</v>
      </c>
      <c r="H18"/>
    </row>
    <row r="19" spans="1:8" ht="12.75">
      <c r="A19" s="165" t="s">
        <v>113</v>
      </c>
      <c r="B19" s="166">
        <v>-0.194509</v>
      </c>
      <c r="C19" s="166">
        <v>-0.1800244</v>
      </c>
      <c r="D19" s="166">
        <v>-0.1806891</v>
      </c>
      <c r="E19" s="166">
        <v>-0.1773542</v>
      </c>
      <c r="F19" s="166">
        <v>-0.1328414</v>
      </c>
      <c r="G19" s="166">
        <v>-0.1752737</v>
      </c>
      <c r="H19"/>
    </row>
    <row r="20" spans="1:8" ht="12.75">
      <c r="A20" s="165" t="s">
        <v>115</v>
      </c>
      <c r="B20" s="166">
        <v>0.000352692</v>
      </c>
      <c r="C20" s="166">
        <v>-0.0008588043</v>
      </c>
      <c r="D20" s="166">
        <v>-0.001156272</v>
      </c>
      <c r="E20" s="166">
        <v>-0.001370469</v>
      </c>
      <c r="F20" s="166">
        <v>-0.002057955</v>
      </c>
      <c r="G20" s="166">
        <v>0.001917145</v>
      </c>
      <c r="H20"/>
    </row>
    <row r="21" spans="1:8" ht="12.75">
      <c r="A21" s="165" t="s">
        <v>140</v>
      </c>
      <c r="B21" s="166">
        <v>-641.1929</v>
      </c>
      <c r="C21" s="166">
        <v>-582.307</v>
      </c>
      <c r="D21" s="166">
        <v>-731.6028</v>
      </c>
      <c r="E21" s="166">
        <v>-752.4459</v>
      </c>
      <c r="F21" s="166">
        <v>-752.6989</v>
      </c>
      <c r="G21" s="166">
        <v>-245.9349</v>
      </c>
      <c r="H21"/>
    </row>
    <row r="22" spans="1:8" ht="12.75">
      <c r="A22" s="165" t="s">
        <v>141</v>
      </c>
      <c r="B22" s="166">
        <v>-8.674932</v>
      </c>
      <c r="C22" s="166">
        <v>-19.92665</v>
      </c>
      <c r="D22" s="166">
        <v>-14.44805</v>
      </c>
      <c r="E22" s="166">
        <v>22.39052</v>
      </c>
      <c r="F22" s="166">
        <v>30.89331</v>
      </c>
      <c r="G22" s="166">
        <v>0</v>
      </c>
      <c r="H22"/>
    </row>
    <row r="23" spans="1:8" ht="12.75">
      <c r="A23" s="165" t="s">
        <v>92</v>
      </c>
      <c r="B23" s="166">
        <v>-1.015893</v>
      </c>
      <c r="C23" s="166">
        <v>-0.1246667</v>
      </c>
      <c r="D23" s="166">
        <v>-0.5277114</v>
      </c>
      <c r="E23" s="166">
        <v>-0.1435934</v>
      </c>
      <c r="F23" s="166">
        <v>6.000575</v>
      </c>
      <c r="G23" s="166">
        <v>1.57026</v>
      </c>
      <c r="H23"/>
    </row>
    <row r="24" spans="1:8" ht="12.75">
      <c r="A24" s="165" t="s">
        <v>94</v>
      </c>
      <c r="B24" s="166">
        <v>0.1881464</v>
      </c>
      <c r="C24" s="166">
        <v>-0.7424863</v>
      </c>
      <c r="D24" s="166">
        <v>-0.02857436</v>
      </c>
      <c r="E24" s="166">
        <v>-0.4699314</v>
      </c>
      <c r="F24" s="166">
        <v>0.3681837</v>
      </c>
      <c r="G24" s="166">
        <v>0.2219789</v>
      </c>
      <c r="H24"/>
    </row>
    <row r="25" spans="1:8" ht="12.75">
      <c r="A25" s="165" t="s">
        <v>96</v>
      </c>
      <c r="B25" s="166">
        <v>-1.77571</v>
      </c>
      <c r="C25" s="166">
        <v>-1.490392</v>
      </c>
      <c r="D25" s="166">
        <v>-2.007216</v>
      </c>
      <c r="E25" s="166">
        <v>-1.613677</v>
      </c>
      <c r="F25" s="166">
        <v>-6.848422</v>
      </c>
      <c r="G25" s="166">
        <v>-0.3873748</v>
      </c>
      <c r="H25"/>
    </row>
    <row r="26" spans="1:8" ht="12.75">
      <c r="A26" s="165" t="s">
        <v>98</v>
      </c>
      <c r="B26" s="166">
        <v>1.277991</v>
      </c>
      <c r="C26" s="166">
        <v>0.2595501</v>
      </c>
      <c r="D26" s="166">
        <v>0.2904997</v>
      </c>
      <c r="E26" s="166">
        <v>0.5289597</v>
      </c>
      <c r="F26" s="166">
        <v>2.090583</v>
      </c>
      <c r="G26" s="166">
        <v>0.7245506</v>
      </c>
      <c r="H26"/>
    </row>
    <row r="27" spans="1:8" ht="12.75">
      <c r="A27" s="165" t="s">
        <v>100</v>
      </c>
      <c r="B27" s="166">
        <v>-0.1599042</v>
      </c>
      <c r="C27" s="166">
        <v>-0.16125</v>
      </c>
      <c r="D27" s="166">
        <v>-0.07003855</v>
      </c>
      <c r="E27" s="166">
        <v>0.1150198</v>
      </c>
      <c r="F27" s="166">
        <v>0.5602617</v>
      </c>
      <c r="G27" s="166">
        <v>0.07303026</v>
      </c>
      <c r="H27"/>
    </row>
    <row r="28" spans="1:8" ht="12.75">
      <c r="A28" s="165" t="s">
        <v>102</v>
      </c>
      <c r="B28" s="166">
        <v>-0.06641066</v>
      </c>
      <c r="C28" s="166">
        <v>-0.08413984</v>
      </c>
      <c r="D28" s="166">
        <v>-0.07858455</v>
      </c>
      <c r="E28" s="166">
        <v>-0.08811716</v>
      </c>
      <c r="F28" s="166">
        <v>-0.1843819</v>
      </c>
      <c r="G28" s="166">
        <v>0.09470359</v>
      </c>
      <c r="H28"/>
    </row>
    <row r="29" spans="1:8" ht="12.75">
      <c r="A29" s="165" t="s">
        <v>104</v>
      </c>
      <c r="B29" s="166">
        <v>0.1114636</v>
      </c>
      <c r="C29" s="166">
        <v>-0.03581224</v>
      </c>
      <c r="D29" s="166">
        <v>0.03204</v>
      </c>
      <c r="E29" s="166">
        <v>0.04463147</v>
      </c>
      <c r="F29" s="166">
        <v>0.1231206</v>
      </c>
      <c r="G29" s="166">
        <v>0.06723418</v>
      </c>
      <c r="H29"/>
    </row>
    <row r="30" spans="1:8" ht="12.75">
      <c r="A30" s="165" t="s">
        <v>106</v>
      </c>
      <c r="B30" s="166">
        <v>0.1714764</v>
      </c>
      <c r="C30" s="166">
        <v>0.1008037</v>
      </c>
      <c r="D30" s="166">
        <v>0.04504469</v>
      </c>
      <c r="E30" s="166">
        <v>0.02568225</v>
      </c>
      <c r="F30" s="166">
        <v>0.1573874</v>
      </c>
      <c r="G30" s="166">
        <v>0.08709251</v>
      </c>
      <c r="H30"/>
    </row>
    <row r="31" spans="1:8" ht="12.75">
      <c r="A31" s="165" t="s">
        <v>108</v>
      </c>
      <c r="B31" s="166">
        <v>-0.03750034</v>
      </c>
      <c r="C31" s="166">
        <v>-0.03667051</v>
      </c>
      <c r="D31" s="166">
        <v>-0.02145812</v>
      </c>
      <c r="E31" s="166">
        <v>-0.0142429</v>
      </c>
      <c r="F31" s="166">
        <v>0.01665622</v>
      </c>
      <c r="G31" s="166">
        <v>0.02040178</v>
      </c>
      <c r="H31"/>
    </row>
    <row r="32" spans="1:8" ht="12.75">
      <c r="A32" s="165" t="s">
        <v>110</v>
      </c>
      <c r="B32" s="166">
        <v>-0.02717625</v>
      </c>
      <c r="C32" s="166">
        <v>-0.04858826</v>
      </c>
      <c r="D32" s="166">
        <v>-0.08831641</v>
      </c>
      <c r="E32" s="166">
        <v>-0.07199015</v>
      </c>
      <c r="F32" s="166">
        <v>-0.02014294</v>
      </c>
      <c r="G32" s="166">
        <v>0.05686922</v>
      </c>
      <c r="H32"/>
    </row>
    <row r="33" spans="1:8" ht="12.75">
      <c r="A33" s="165" t="s">
        <v>112</v>
      </c>
      <c r="B33" s="166">
        <v>0.1035383</v>
      </c>
      <c r="C33" s="166">
        <v>0.06814488</v>
      </c>
      <c r="D33" s="166">
        <v>0.1088826</v>
      </c>
      <c r="E33" s="166">
        <v>0.1179833</v>
      </c>
      <c r="F33" s="166">
        <v>0.08689265</v>
      </c>
      <c r="G33" s="166">
        <v>0.04243042</v>
      </c>
      <c r="H33"/>
    </row>
    <row r="34" spans="1:8" ht="12.75">
      <c r="A34" s="165" t="s">
        <v>114</v>
      </c>
      <c r="B34" s="166">
        <v>0.001509011</v>
      </c>
      <c r="C34" s="166">
        <v>0.01198717</v>
      </c>
      <c r="D34" s="166">
        <v>0.004533507</v>
      </c>
      <c r="E34" s="166">
        <v>0.003741198</v>
      </c>
      <c r="F34" s="166">
        <v>-0.03237603</v>
      </c>
      <c r="G34" s="166">
        <v>0.0007377759</v>
      </c>
      <c r="H34"/>
    </row>
    <row r="35" spans="1:8" ht="12.75">
      <c r="A35" s="165" t="s">
        <v>116</v>
      </c>
      <c r="B35" s="166">
        <v>0.003527695</v>
      </c>
      <c r="C35" s="166">
        <v>0.001750001</v>
      </c>
      <c r="D35" s="166">
        <v>0.002699044</v>
      </c>
      <c r="E35" s="166">
        <v>0.002269673</v>
      </c>
      <c r="F35" s="166">
        <v>-0.00153179</v>
      </c>
      <c r="G35" s="166">
        <v>0.00104068</v>
      </c>
      <c r="H35"/>
    </row>
    <row r="36" spans="1:6" ht="12.75">
      <c r="A36" s="165" t="s">
        <v>142</v>
      </c>
      <c r="B36" s="166">
        <v>20.37354</v>
      </c>
      <c r="C36" s="166">
        <v>20.37659</v>
      </c>
      <c r="D36" s="166">
        <v>20.38879</v>
      </c>
      <c r="E36" s="166">
        <v>20.38879</v>
      </c>
      <c r="F36" s="166">
        <v>20.401</v>
      </c>
    </row>
    <row r="37" spans="1:6" ht="12.75">
      <c r="A37" s="165" t="s">
        <v>143</v>
      </c>
      <c r="B37" s="166">
        <v>-0.3453573</v>
      </c>
      <c r="C37" s="166">
        <v>-0.3204346</v>
      </c>
      <c r="D37" s="166">
        <v>-0.3031413</v>
      </c>
      <c r="E37" s="166">
        <v>-0.2955119</v>
      </c>
      <c r="F37" s="166">
        <v>-0.2894084</v>
      </c>
    </row>
    <row r="38" spans="1:7" ht="12.75">
      <c r="A38" s="165" t="s">
        <v>144</v>
      </c>
      <c r="B38" s="166">
        <v>0.0002219228</v>
      </c>
      <c r="C38" s="166">
        <v>0.0005252872</v>
      </c>
      <c r="D38" s="166">
        <v>0.0005564506</v>
      </c>
      <c r="E38" s="166">
        <v>0.0004063487</v>
      </c>
      <c r="F38" s="166">
        <v>0.0002109757</v>
      </c>
      <c r="G38" s="166">
        <v>0.0002081116</v>
      </c>
    </row>
    <row r="39" spans="1:7" ht="12.75">
      <c r="A39" s="165" t="s">
        <v>145</v>
      </c>
      <c r="B39" s="166">
        <v>0.00109022</v>
      </c>
      <c r="C39" s="166">
        <v>0.0009909687</v>
      </c>
      <c r="D39" s="166">
        <v>0.001244529</v>
      </c>
      <c r="E39" s="166">
        <v>0.001278248</v>
      </c>
      <c r="F39" s="166">
        <v>0.001278936</v>
      </c>
      <c r="G39" s="166">
        <v>0.0005872861</v>
      </c>
    </row>
    <row r="40" spans="2:5" ht="12.75">
      <c r="B40" s="165" t="s">
        <v>146</v>
      </c>
      <c r="C40" s="165">
        <v>0.003759</v>
      </c>
      <c r="D40" s="165" t="s">
        <v>147</v>
      </c>
      <c r="E40" s="165">
        <v>3.117207</v>
      </c>
    </row>
    <row r="42" ht="12.75">
      <c r="A42" s="165" t="s">
        <v>148</v>
      </c>
    </row>
    <row r="50" spans="1:8" ht="12.75">
      <c r="A50" s="165" t="s">
        <v>149</v>
      </c>
      <c r="B50" s="165">
        <f>-0.017/(B7*B7+B22*B22)*(B21*B22+B6*B7)</f>
        <v>0.0002219228811760819</v>
      </c>
      <c r="C50" s="165">
        <f>-0.017/(C7*C7+C22*C22)*(C21*C22+C6*C7)</f>
        <v>0.0005252871315122732</v>
      </c>
      <c r="D50" s="165">
        <f>-0.017/(D7*D7+D22*D22)*(D21*D22+D6*D7)</f>
        <v>0.0005564506186788918</v>
      </c>
      <c r="E50" s="165">
        <f>-0.017/(E7*E7+E22*E22)*(E21*E22+E6*E7)</f>
        <v>0.0004063487341753931</v>
      </c>
      <c r="F50" s="165">
        <f>-0.017/(F7*F7+F22*F22)*(F21*F22+F6*F7)</f>
        <v>0.00021097569773234927</v>
      </c>
      <c r="G50" s="165">
        <f>(B50*B$4+C50*C$4+D50*D$4+E50*E$4+F50*F$4)/SUM(B$4:F$4)</f>
        <v>0.00041825724281978745</v>
      </c>
      <c r="H50"/>
    </row>
    <row r="51" spans="1:8" ht="12.75">
      <c r="A51" s="165" t="s">
        <v>150</v>
      </c>
      <c r="B51" s="165">
        <f>-0.017/(B7*B7+B22*B22)*(B21*B7-B6*B22)</f>
        <v>0.0010902204465903448</v>
      </c>
      <c r="C51" s="165">
        <f>-0.017/(C7*C7+C22*C22)*(C21*C7-C6*C22)</f>
        <v>0.0009909686212819149</v>
      </c>
      <c r="D51" s="165">
        <f>-0.017/(D7*D7+D22*D22)*(D21*D7-D6*D22)</f>
        <v>0.0012445287226361206</v>
      </c>
      <c r="E51" s="165">
        <f>-0.017/(E7*E7+E22*E22)*(E21*E7-E6*E22)</f>
        <v>0.0012782481940540474</v>
      </c>
      <c r="F51" s="165">
        <f>-0.017/(F7*F7+F22*F22)*(F21*F7-F6*F22)</f>
        <v>0.001278936356236749</v>
      </c>
      <c r="G51" s="165">
        <f>(B51*B$4+C51*C$4+D51*D$4+E51*E$4+F51*F$4)/SUM(B$4:F$4)</f>
        <v>0.0011740971123074537</v>
      </c>
      <c r="H51"/>
    </row>
    <row r="58" ht="12.75">
      <c r="A58" s="165" t="s">
        <v>151</v>
      </c>
    </row>
    <row r="60" spans="2:6" ht="12.75">
      <c r="B60" s="165" t="s">
        <v>84</v>
      </c>
      <c r="C60" s="165" t="s">
        <v>85</v>
      </c>
      <c r="D60" s="165" t="s">
        <v>86</v>
      </c>
      <c r="E60" s="165" t="s">
        <v>87</v>
      </c>
      <c r="F60" s="165" t="s">
        <v>88</v>
      </c>
    </row>
    <row r="61" spans="1:6" ht="12.75">
      <c r="A61" s="165" t="s">
        <v>153</v>
      </c>
      <c r="B61" s="165">
        <f>B6+(1/0.017)*(B7*B50-B22*B51)</f>
        <v>0</v>
      </c>
      <c r="C61" s="165">
        <f>C6+(1/0.017)*(C7*C50-C22*C51)</f>
        <v>0</v>
      </c>
      <c r="D61" s="165">
        <f>D6+(1/0.017)*(D7*D50-D22*D51)</f>
        <v>0</v>
      </c>
      <c r="E61" s="165">
        <f>E6+(1/0.017)*(E7*E50-E22*E51)</f>
        <v>0</v>
      </c>
      <c r="F61" s="165">
        <f>F6+(1/0.017)*(F7*F50-F22*F51)</f>
        <v>0</v>
      </c>
    </row>
    <row r="62" spans="1:6" ht="12.75">
      <c r="A62" s="165" t="s">
        <v>156</v>
      </c>
      <c r="B62" s="165">
        <f>B7+(2/0.017)*(B8*B50-B23*B51)</f>
        <v>10000.124078606754</v>
      </c>
      <c r="C62" s="165">
        <f>C7+(2/0.017)*(C8*C50-C23*C51)</f>
        <v>9999.939892392107</v>
      </c>
      <c r="D62" s="165">
        <f>D7+(2/0.017)*(D8*D50-D23*D51)</f>
        <v>9999.979146461199</v>
      </c>
      <c r="E62" s="165">
        <f>E7+(2/0.017)*(E8*E50-E23*E51)</f>
        <v>9999.952951016581</v>
      </c>
      <c r="F62" s="165">
        <f>F7+(2/0.017)*(F8*F50-F23*F51)</f>
        <v>9998.99763787154</v>
      </c>
    </row>
    <row r="63" spans="1:6" ht="12.75">
      <c r="A63" s="165" t="s">
        <v>157</v>
      </c>
      <c r="B63" s="165">
        <f>B8+(3/0.017)*(B9*B50-B24*B51)</f>
        <v>-0.2935720305924334</v>
      </c>
      <c r="C63" s="165">
        <f>C8+(3/0.017)*(C9*C50-C24*C51)</f>
        <v>-1.0729320563769014</v>
      </c>
      <c r="D63" s="165">
        <f>D8+(3/0.017)*(D9*D50-D24*D51)</f>
        <v>-1.5354774862153586</v>
      </c>
      <c r="E63" s="165">
        <f>E8+(3/0.017)*(E9*E50-E24*E51)</f>
        <v>-1.3538929887406355</v>
      </c>
      <c r="F63" s="165">
        <f>F8+(3/0.017)*(F9*F50-F24*F51)</f>
        <v>-4.226553753384606</v>
      </c>
    </row>
    <row r="64" spans="1:6" ht="12.75">
      <c r="A64" s="165" t="s">
        <v>158</v>
      </c>
      <c r="B64" s="165">
        <f>B9+(4/0.017)*(B10*B50-B25*B51)</f>
        <v>-0.04777880209304719</v>
      </c>
      <c r="C64" s="165">
        <f>C9+(4/0.017)*(C10*C50-C25*C51)</f>
        <v>0.31016064248221326</v>
      </c>
      <c r="D64" s="165">
        <f>D9+(4/0.017)*(D10*D50-D25*D51)</f>
        <v>0.06662517177509253</v>
      </c>
      <c r="E64" s="165">
        <f>E9+(4/0.017)*(E10*E50-E25*E51)</f>
        <v>0.13094030911114457</v>
      </c>
      <c r="F64" s="165">
        <f>F9+(4/0.017)*(F10*F50-F25*F51)</f>
        <v>-1.546719862180015</v>
      </c>
    </row>
    <row r="65" spans="1:6" ht="12.75">
      <c r="A65" s="165" t="s">
        <v>159</v>
      </c>
      <c r="B65" s="165">
        <f>B10+(5/0.017)*(B11*B50-B26*B51)</f>
        <v>-0.39784059537183275</v>
      </c>
      <c r="C65" s="165">
        <f>C10+(5/0.017)*(C11*C50-C26*C51)</f>
        <v>-0.03010928938468105</v>
      </c>
      <c r="D65" s="165">
        <f>D10+(5/0.017)*(D11*D50-D26*D51)</f>
        <v>0.08477923772661489</v>
      </c>
      <c r="E65" s="165">
        <f>E10+(5/0.017)*(E11*E50-E26*E51)</f>
        <v>0.18107343534553766</v>
      </c>
      <c r="F65" s="165">
        <f>F10+(5/0.017)*(F11*F50-F26*F51)</f>
        <v>0.4299548670194616</v>
      </c>
    </row>
    <row r="66" spans="1:6" ht="12.75">
      <c r="A66" s="165" t="s">
        <v>160</v>
      </c>
      <c r="B66" s="165">
        <f>B11+(6/0.017)*(B12*B50-B27*B51)</f>
        <v>4.843079631956761</v>
      </c>
      <c r="C66" s="165">
        <f>C11+(6/0.017)*(C12*C50-C27*C51)</f>
        <v>5.179094155804649</v>
      </c>
      <c r="D66" s="165">
        <f>D11+(6/0.017)*(D12*D50-D27*D51)</f>
        <v>5.066635429860032</v>
      </c>
      <c r="E66" s="165">
        <f>E11+(6/0.017)*(E12*E50-E27*E51)</f>
        <v>4.812073339913632</v>
      </c>
      <c r="F66" s="165">
        <f>F11+(6/0.017)*(F12*F50-F27*F51)</f>
        <v>14.899571427113143</v>
      </c>
    </row>
    <row r="67" spans="1:6" ht="12.75">
      <c r="A67" s="165" t="s">
        <v>161</v>
      </c>
      <c r="B67" s="165">
        <f>B12+(7/0.017)*(B13*B50-B28*B51)</f>
        <v>0.0899308012897983</v>
      </c>
      <c r="C67" s="165">
        <f>C12+(7/0.017)*(C13*C50-C28*C51)</f>
        <v>0.1380569939226939</v>
      </c>
      <c r="D67" s="165">
        <f>D12+(7/0.017)*(D13*D50-D28*D51)</f>
        <v>-0.1382308590008393</v>
      </c>
      <c r="E67" s="165">
        <f>E12+(7/0.017)*(E13*E50-E28*E51)</f>
        <v>-0.0024307673762526266</v>
      </c>
      <c r="F67" s="165">
        <f>F12+(7/0.017)*(F13*F50-F28*F51)</f>
        <v>-0.236753402864537</v>
      </c>
    </row>
    <row r="68" spans="1:6" ht="12.75">
      <c r="A68" s="165" t="s">
        <v>162</v>
      </c>
      <c r="B68" s="165">
        <f>B13+(8/0.017)*(B14*B50-B29*B51)</f>
        <v>-3.561395978803755E-05</v>
      </c>
      <c r="C68" s="165">
        <f>C13+(8/0.017)*(C14*C50-C29*C51)</f>
        <v>0.04040216678655024</v>
      </c>
      <c r="D68" s="165">
        <f>D13+(8/0.017)*(D14*D50-D29*D51)</f>
        <v>0.06629608769349275</v>
      </c>
      <c r="E68" s="165">
        <f>E13+(8/0.017)*(E14*E50-E29*E51)</f>
        <v>0.022797809608381292</v>
      </c>
      <c r="F68" s="165">
        <f>F13+(8/0.017)*(F14*F50-F29*F51)</f>
        <v>-0.08488951021045277</v>
      </c>
    </row>
    <row r="69" spans="1:6" ht="12.75">
      <c r="A69" s="165" t="s">
        <v>163</v>
      </c>
      <c r="B69" s="165">
        <f>B14+(9/0.017)*(B15*B50-B30*B51)</f>
        <v>-0.06003645638592095</v>
      </c>
      <c r="C69" s="165">
        <f>C14+(9/0.017)*(C15*C50-C30*C51)</f>
        <v>-0.03275361296823671</v>
      </c>
      <c r="D69" s="165">
        <f>D14+(9/0.017)*(D15*D50-D30*D51)</f>
        <v>-0.01415459983843774</v>
      </c>
      <c r="E69" s="165">
        <f>E14+(9/0.017)*(E15*E50-E30*E51)</f>
        <v>-0.02100953750819114</v>
      </c>
      <c r="F69" s="165">
        <f>F14+(9/0.017)*(F15*F50-F30*F51)</f>
        <v>0.11437949011328521</v>
      </c>
    </row>
    <row r="70" spans="1:6" ht="12.75">
      <c r="A70" s="165" t="s">
        <v>164</v>
      </c>
      <c r="B70" s="165">
        <f>B15+(10/0.017)*(B16*B50-B31*B51)</f>
        <v>-0.31177449340546676</v>
      </c>
      <c r="C70" s="165">
        <f>C15+(10/0.017)*(C16*C50-C31*C51)</f>
        <v>-0.04672653888191354</v>
      </c>
      <c r="D70" s="165">
        <f>D15+(10/0.017)*(D16*D50-D31*D51)</f>
        <v>-0.06515209088117674</v>
      </c>
      <c r="E70" s="165">
        <f>E15+(10/0.017)*(E16*E50-E31*E51)</f>
        <v>-0.06826129673886339</v>
      </c>
      <c r="F70" s="165">
        <f>F15+(10/0.017)*(F16*F50-F31*F51)</f>
        <v>-0.36801473785329414</v>
      </c>
    </row>
    <row r="71" spans="1:6" ht="12.75">
      <c r="A71" s="165" t="s">
        <v>165</v>
      </c>
      <c r="B71" s="165">
        <f>B16+(11/0.017)*(B17*B50-B32*B51)</f>
        <v>0.006188386270348508</v>
      </c>
      <c r="C71" s="165">
        <f>C16+(11/0.017)*(C17*C50-C32*C51)</f>
        <v>0.04715916847804257</v>
      </c>
      <c r="D71" s="165">
        <f>D16+(11/0.017)*(D17*D50-D32*D51)</f>
        <v>0.046056684111904375</v>
      </c>
      <c r="E71" s="165">
        <f>E16+(11/0.017)*(E17*E50-E32*E51)</f>
        <v>0.05764041032593427</v>
      </c>
      <c r="F71" s="165">
        <f>F16+(11/0.017)*(F17*F50-F32*F51)</f>
        <v>-0.007068590808539055</v>
      </c>
    </row>
    <row r="72" spans="1:6" ht="12.75">
      <c r="A72" s="165" t="s">
        <v>166</v>
      </c>
      <c r="B72" s="165">
        <f>B17+(12/0.017)*(B18*B50-B33*B51)</f>
        <v>-0.022063229469652633</v>
      </c>
      <c r="C72" s="165">
        <f>C17+(12/0.017)*(C18*C50-C33*C51)</f>
        <v>-0.0025624927125874886</v>
      </c>
      <c r="D72" s="165">
        <f>D17+(12/0.017)*(D18*D50-D33*D51)</f>
        <v>-0.019155333504401663</v>
      </c>
      <c r="E72" s="165">
        <f>E17+(12/0.017)*(E18*E50-E33*E51)</f>
        <v>-0.02613293984776706</v>
      </c>
      <c r="F72" s="165">
        <f>F17+(12/0.017)*(F18*F50-F33*F51)</f>
        <v>-0.026792364793722018</v>
      </c>
    </row>
    <row r="73" spans="1:6" ht="12.75">
      <c r="A73" s="165" t="s">
        <v>167</v>
      </c>
      <c r="B73" s="165">
        <f>B18+(13/0.017)*(B19*B50-B34*B51)</f>
        <v>-0.012620451790182775</v>
      </c>
      <c r="C73" s="165">
        <f>C18+(13/0.017)*(C19*C50-C34*C51)</f>
        <v>-0.025597031769439407</v>
      </c>
      <c r="D73" s="165">
        <f>D18+(13/0.017)*(D19*D50-D34*D51)</f>
        <v>-0.013592329121820734</v>
      </c>
      <c r="E73" s="165">
        <f>E18+(13/0.017)*(E19*E50-E34*E51)</f>
        <v>-0.015813860314779146</v>
      </c>
      <c r="F73" s="165">
        <f>F18+(13/0.017)*(F19*F50-F34*F51)</f>
        <v>0.005009880247253198</v>
      </c>
    </row>
    <row r="74" spans="1:6" ht="12.75">
      <c r="A74" s="165" t="s">
        <v>168</v>
      </c>
      <c r="B74" s="165">
        <f>B19+(14/0.017)*(B20*B50-B35*B51)</f>
        <v>-0.19761180747702203</v>
      </c>
      <c r="C74" s="165">
        <f>C19+(14/0.017)*(C20*C50-C35*C51)</f>
        <v>-0.1818240711151089</v>
      </c>
      <c r="D74" s="165">
        <f>D19+(14/0.017)*(D20*D50-D35*D51)</f>
        <v>-0.18398523204234568</v>
      </c>
      <c r="E74" s="165">
        <f>E19+(14/0.017)*(E20*E50-E35*E51)</f>
        <v>-0.1802020419172987</v>
      </c>
      <c r="F74" s="165">
        <f>F19+(14/0.017)*(F20*F50-F35*F51)</f>
        <v>-0.1315856136466292</v>
      </c>
    </row>
    <row r="75" spans="1:6" ht="12.75">
      <c r="A75" s="165" t="s">
        <v>169</v>
      </c>
      <c r="B75" s="166">
        <f>B20</f>
        <v>0.000352692</v>
      </c>
      <c r="C75" s="166">
        <f>C20</f>
        <v>-0.0008588043</v>
      </c>
      <c r="D75" s="166">
        <f>D20</f>
        <v>-0.001156272</v>
      </c>
      <c r="E75" s="166">
        <f>E20</f>
        <v>-0.001370469</v>
      </c>
      <c r="F75" s="166">
        <f>F20</f>
        <v>-0.002057955</v>
      </c>
    </row>
    <row r="78" ht="12.75">
      <c r="A78" s="165" t="s">
        <v>151</v>
      </c>
    </row>
    <row r="80" spans="2:6" ht="12.75">
      <c r="B80" s="165" t="s">
        <v>84</v>
      </c>
      <c r="C80" s="165" t="s">
        <v>85</v>
      </c>
      <c r="D80" s="165" t="s">
        <v>86</v>
      </c>
      <c r="E80" s="165" t="s">
        <v>87</v>
      </c>
      <c r="F80" s="165" t="s">
        <v>88</v>
      </c>
    </row>
    <row r="81" spans="1:6" ht="12.75">
      <c r="A81" s="165" t="s">
        <v>170</v>
      </c>
      <c r="B81" s="165">
        <f>B21+(1/0.017)*(B7*B51+B22*B50)</f>
        <v>0</v>
      </c>
      <c r="C81" s="165">
        <f>C21+(1/0.017)*(C7*C51+C22*C50)</f>
        <v>0</v>
      </c>
      <c r="D81" s="165">
        <f>D21+(1/0.017)*(D7*D51+D22*D50)</f>
        <v>0</v>
      </c>
      <c r="E81" s="165">
        <f>E21+(1/0.017)*(E7*E51+E22*E50)</f>
        <v>0</v>
      </c>
      <c r="F81" s="165">
        <f>F21+(1/0.017)*(F7*F51+F22*F50)</f>
        <v>0</v>
      </c>
    </row>
    <row r="82" spans="1:6" ht="12.75">
      <c r="A82" s="165" t="s">
        <v>171</v>
      </c>
      <c r="B82" s="165">
        <f>B22+(2/0.017)*(B8*B51+B23*B50)</f>
        <v>-8.732017244343872</v>
      </c>
      <c r="C82" s="165">
        <f>C22+(2/0.017)*(C8*C51+C23*C50)</f>
        <v>-20.07516805637724</v>
      </c>
      <c r="D82" s="165">
        <f>D22+(2/0.017)*(D8*D51+D23*D50)</f>
        <v>-14.702043234758056</v>
      </c>
      <c r="E82" s="165">
        <f>E22+(2/0.017)*(E8*E51+E23*E50)</f>
        <v>22.167726057768174</v>
      </c>
      <c r="F82" s="165">
        <f>F22+(2/0.017)*(F8*F51+F23*F50)</f>
        <v>30.439096642004376</v>
      </c>
    </row>
    <row r="83" spans="1:6" ht="12.75">
      <c r="A83" s="165" t="s">
        <v>172</v>
      </c>
      <c r="B83" s="165">
        <f>B23+(3/0.017)*(B9*B51+B24*B50)</f>
        <v>-1.102340740988131</v>
      </c>
      <c r="C83" s="165">
        <f>C23+(3/0.017)*(C9*C51+C24*C50)</f>
        <v>-0.18396595665610826</v>
      </c>
      <c r="D83" s="165">
        <f>D23+(3/0.017)*(D9*D51+D24*D50)</f>
        <v>-0.6265884011808103</v>
      </c>
      <c r="E83" s="165">
        <f>E23+(3/0.017)*(E9*E51+E24*E50)</f>
        <v>-0.2528696917661463</v>
      </c>
      <c r="F83" s="165">
        <f>F23+(3/0.017)*(F9*F51+F24*F50)</f>
        <v>5.196992864894625</v>
      </c>
    </row>
    <row r="84" spans="1:6" ht="12.75">
      <c r="A84" s="165" t="s">
        <v>173</v>
      </c>
      <c r="B84" s="165">
        <f>B24+(4/0.017)*(B10*B51+B25*B50)</f>
        <v>0.018502267733848082</v>
      </c>
      <c r="C84" s="165">
        <f>C24+(4/0.017)*(C10*C51+C25*C50)</f>
        <v>-1.0999418316288925</v>
      </c>
      <c r="D84" s="165">
        <f>D24+(4/0.017)*(D10*D51+D25*D50)</f>
        <v>-0.4786032307116371</v>
      </c>
      <c r="E84" s="165">
        <f>E24+(4/0.017)*(E10*E51+E25*E50)</f>
        <v>-0.6850761749741647</v>
      </c>
      <c r="F84" s="165">
        <f>F24+(4/0.017)*(F10*F51+F25*F50)</f>
        <v>0.1108471670305684</v>
      </c>
    </row>
    <row r="85" spans="1:6" ht="12.75">
      <c r="A85" s="165" t="s">
        <v>174</v>
      </c>
      <c r="B85" s="165">
        <f>B25+(5/0.017)*(B11*B51+B26*B50)</f>
        <v>-0.16047207919253803</v>
      </c>
      <c r="C85" s="165">
        <f>C25+(5/0.017)*(C11*C51+C26*C50)</f>
        <v>0.03733298906291371</v>
      </c>
      <c r="D85" s="165">
        <f>D25+(5/0.017)*(D11*D51+D26*D50)</f>
        <v>-0.10227133507613884</v>
      </c>
      <c r="E85" s="165">
        <f>E25+(5/0.017)*(E11*E51+E26*E50)</f>
        <v>0.28123295662568437</v>
      </c>
      <c r="F85" s="165">
        <f>F25+(5/0.017)*(F11*F51+F26*F50)</f>
        <v>-1.0097177676560039</v>
      </c>
    </row>
    <row r="86" spans="1:6" ht="12.75">
      <c r="A86" s="165" t="s">
        <v>175</v>
      </c>
      <c r="B86" s="165">
        <f>B26+(6/0.017)*(B12*B51+B27*B50)</f>
        <v>1.2868760524390868</v>
      </c>
      <c r="C86" s="165">
        <f>C26+(6/0.017)*(C12*C51+C27*C50)</f>
        <v>0.26488293261866147</v>
      </c>
      <c r="D86" s="165">
        <f>D26+(6/0.017)*(D12*D51+D27*D50)</f>
        <v>0.19070521820126193</v>
      </c>
      <c r="E86" s="165">
        <f>E26+(6/0.017)*(E12*E51+E27*E50)</f>
        <v>0.5198656580503067</v>
      </c>
      <c r="F86" s="165">
        <f>F26+(6/0.017)*(F12*F51+F27*F50)</f>
        <v>1.9830398157612052</v>
      </c>
    </row>
    <row r="87" spans="1:6" ht="12.75">
      <c r="A87" s="165" t="s">
        <v>176</v>
      </c>
      <c r="B87" s="165">
        <f>B27+(7/0.017)*(B13*B51+B28*B50)</f>
        <v>-0.14397745149673025</v>
      </c>
      <c r="C87" s="165">
        <f>C27+(7/0.017)*(C13*C51+C28*C50)</f>
        <v>-0.17378531217937354</v>
      </c>
      <c r="D87" s="165">
        <f>D27+(7/0.017)*(D13*D51+D28*D50)</f>
        <v>-0.049177516044744504</v>
      </c>
      <c r="E87" s="165">
        <f>E27+(7/0.017)*(E13*E51+E28*E50)</f>
        <v>0.12516386233372884</v>
      </c>
      <c r="F87" s="165">
        <f>F27+(7/0.017)*(F13*F51+F28*F50)</f>
        <v>0.5249567863491198</v>
      </c>
    </row>
    <row r="88" spans="1:6" ht="12.75">
      <c r="A88" s="165" t="s">
        <v>177</v>
      </c>
      <c r="B88" s="165">
        <f>B28+(8/0.017)*(B14*B51+B29*B50)</f>
        <v>-0.014715373995646229</v>
      </c>
      <c r="C88" s="165">
        <f>C28+(8/0.017)*(C14*C51+C29*C50)</f>
        <v>-0.07446383718278822</v>
      </c>
      <c r="D88" s="165">
        <f>D28+(8/0.017)*(D14*D51+D29*D50)</f>
        <v>-0.04958270511820201</v>
      </c>
      <c r="E88" s="165">
        <f>E28+(8/0.017)*(E14*E51+E29*E50)</f>
        <v>-0.0721588165772937</v>
      </c>
      <c r="F88" s="165">
        <f>F28+(8/0.017)*(F14*F51+F29*F50)</f>
        <v>-0.015543642936829555</v>
      </c>
    </row>
    <row r="89" spans="1:6" ht="12.75">
      <c r="A89" s="165" t="s">
        <v>178</v>
      </c>
      <c r="B89" s="165">
        <f>B29+(9/0.017)*(B15*B51+B30*B50)</f>
        <v>-0.06065420675057137</v>
      </c>
      <c r="C89" s="165">
        <f>C29+(9/0.017)*(C15*C51+C30*C50)</f>
        <v>-0.044757192119539616</v>
      </c>
      <c r="D89" s="165">
        <f>D29+(9/0.017)*(D15*D51+D30*D50)</f>
        <v>0.0013161421239100135</v>
      </c>
      <c r="E89" s="165">
        <f>E29+(9/0.017)*(E15*E51+E30*E50)</f>
        <v>-8.468171167785865E-05</v>
      </c>
      <c r="F89" s="165">
        <f>F29+(9/0.017)*(F15*F51+F30*F50)</f>
        <v>-0.09739676330511235</v>
      </c>
    </row>
    <row r="90" spans="1:6" ht="12.75">
      <c r="A90" s="165" t="s">
        <v>179</v>
      </c>
      <c r="B90" s="165">
        <f>B30+(10/0.017)*(B16*B51+B31*B50)</f>
        <v>0.153261479745601</v>
      </c>
      <c r="C90" s="165">
        <f>C30+(10/0.017)*(C16*C51+C31*C50)</f>
        <v>0.09396434361221642</v>
      </c>
      <c r="D90" s="165">
        <f>D30+(10/0.017)*(D16*D51+D31*D50)</f>
        <v>0.006509042756768106</v>
      </c>
      <c r="E90" s="165">
        <f>E30+(10/0.017)*(E16*E51+E31*E50)</f>
        <v>0.007403017378161101</v>
      </c>
      <c r="F90" s="165">
        <f>F30+(10/0.017)*(F16*F51+F31*F50)</f>
        <v>0.13621150963923326</v>
      </c>
    </row>
    <row r="91" spans="1:6" ht="12.75">
      <c r="A91" s="165" t="s">
        <v>180</v>
      </c>
      <c r="B91" s="165">
        <f>B31+(11/0.017)*(B17*B51+B32*B50)</f>
        <v>-0.003150146542587641</v>
      </c>
      <c r="C91" s="165">
        <f>C31+(11/0.017)*(C17*C51+C32*C50)</f>
        <v>-0.037530061542573656</v>
      </c>
      <c r="D91" s="165">
        <f>D31+(11/0.017)*(D17*D51+D32*D50)</f>
        <v>-0.013040425970394386</v>
      </c>
      <c r="E91" s="165">
        <f>E31+(11/0.017)*(E17*E51+E32*E50)</f>
        <v>0.023073161094231045</v>
      </c>
      <c r="F91" s="165">
        <f>F31+(11/0.017)*(F17*F51+F32*F50)</f>
        <v>0.05729488227527737</v>
      </c>
    </row>
    <row r="92" spans="1:6" ht="12.75">
      <c r="A92" s="165" t="s">
        <v>181</v>
      </c>
      <c r="B92" s="165">
        <f>B32+(12/0.017)*(B18*B51+B33*B50)</f>
        <v>0.005701922352967105</v>
      </c>
      <c r="C92" s="165">
        <f>C32+(12/0.017)*(C18*C51+C33*C50)</f>
        <v>0.015712356296009027</v>
      </c>
      <c r="D92" s="165">
        <f>D32+(12/0.017)*(D18*D51+D33*D50)</f>
        <v>0.013845523885922875</v>
      </c>
      <c r="E92" s="165">
        <f>E32+(12/0.017)*(E18*E51+E33*E50)</f>
        <v>0.0006082991283627437</v>
      </c>
      <c r="F92" s="165">
        <f>F32+(12/0.017)*(F18*F51+F33*F50)</f>
        <v>-0.011917139458412876</v>
      </c>
    </row>
    <row r="93" spans="1:6" ht="12.75">
      <c r="A93" s="165" t="s">
        <v>182</v>
      </c>
      <c r="B93" s="165">
        <f>B33+(13/0.017)*(B19*B51+B34*B50)</f>
        <v>-0.05836737424123145</v>
      </c>
      <c r="C93" s="165">
        <f>C33+(13/0.017)*(C19*C51+C34*C50)</f>
        <v>-0.06346239818653539</v>
      </c>
      <c r="D93" s="165">
        <f>D33+(13/0.017)*(D19*D51+D34*D50)</f>
        <v>-0.06114983097355042</v>
      </c>
      <c r="E93" s="165">
        <f>E33+(13/0.017)*(E19*E51+E34*E50)</f>
        <v>-0.054215047777759415</v>
      </c>
      <c r="F93" s="165">
        <f>F33+(13/0.017)*(F19*F51+F34*F50)</f>
        <v>-0.04825095415892615</v>
      </c>
    </row>
    <row r="94" spans="1:6" ht="12.75">
      <c r="A94" s="165" t="s">
        <v>183</v>
      </c>
      <c r="B94" s="165">
        <f>B34+(14/0.017)*(B20*B51+B35*B50)</f>
        <v>0.002470389573695894</v>
      </c>
      <c r="C94" s="165">
        <f>C34+(14/0.017)*(C20*C51+C35*C50)</f>
        <v>0.012043338734844871</v>
      </c>
      <c r="D94" s="165">
        <f>D34+(14/0.017)*(D20*D51+D35*D50)</f>
        <v>0.004585283108144878</v>
      </c>
      <c r="E94" s="165">
        <f>E34+(14/0.017)*(E20*E51+E35*E50)</f>
        <v>0.003058063245175891</v>
      </c>
      <c r="F94" s="165">
        <f>F34+(14/0.017)*(F20*F51+F35*F50)</f>
        <v>-0.03480969441543535</v>
      </c>
    </row>
    <row r="95" spans="1:6" ht="12.75">
      <c r="A95" s="165" t="s">
        <v>184</v>
      </c>
      <c r="B95" s="166">
        <f>B35</f>
        <v>0.003527695</v>
      </c>
      <c r="C95" s="166">
        <f>C35</f>
        <v>0.001750001</v>
      </c>
      <c r="D95" s="166">
        <f>D35</f>
        <v>0.002699044</v>
      </c>
      <c r="E95" s="166">
        <f>E35</f>
        <v>0.002269673</v>
      </c>
      <c r="F95" s="166">
        <f>F35</f>
        <v>-0.00153179</v>
      </c>
    </row>
    <row r="98" ht="12.75">
      <c r="A98" s="165" t="s">
        <v>152</v>
      </c>
    </row>
    <row r="100" spans="2:11" ht="12.75">
      <c r="B100" s="165" t="s">
        <v>84</v>
      </c>
      <c r="C100" s="165" t="s">
        <v>85</v>
      </c>
      <c r="D100" s="165" t="s">
        <v>86</v>
      </c>
      <c r="E100" s="165" t="s">
        <v>87</v>
      </c>
      <c r="F100" s="165" t="s">
        <v>88</v>
      </c>
      <c r="G100" s="165" t="s">
        <v>154</v>
      </c>
      <c r="H100" s="165" t="s">
        <v>155</v>
      </c>
      <c r="I100" s="165" t="s">
        <v>188</v>
      </c>
      <c r="K100" s="165" t="s">
        <v>185</v>
      </c>
    </row>
    <row r="101" spans="1:9" ht="12.75">
      <c r="A101" s="165" t="s">
        <v>153</v>
      </c>
      <c r="B101" s="165">
        <f>B61*10000/B62</f>
        <v>0</v>
      </c>
      <c r="C101" s="165">
        <f>C61*10000/C62</f>
        <v>0</v>
      </c>
      <c r="D101" s="165">
        <f>D61*10000/D62</f>
        <v>0</v>
      </c>
      <c r="E101" s="165">
        <f>E61*10000/E62</f>
        <v>0</v>
      </c>
      <c r="F101" s="165">
        <f>F61*10000/F62</f>
        <v>0</v>
      </c>
      <c r="G101" s="165">
        <f>AVERAGE(C101:E101)</f>
        <v>0</v>
      </c>
      <c r="H101" s="165">
        <f>STDEV(C101:E101)</f>
        <v>0</v>
      </c>
      <c r="I101" s="165">
        <f>(B101*B4+C101*C4+D101*D4+E101*E4+F101*F4)/SUM(B4:F4)</f>
        <v>0</v>
      </c>
    </row>
    <row r="102" spans="1:9" ht="12.75">
      <c r="A102" s="165" t="s">
        <v>156</v>
      </c>
      <c r="B102" s="165">
        <f>B62*10000/B62</f>
        <v>10000</v>
      </c>
      <c r="C102" s="165">
        <f>C62*10000/C62</f>
        <v>10000</v>
      </c>
      <c r="D102" s="165">
        <f>D62*10000/D62</f>
        <v>10000</v>
      </c>
      <c r="E102" s="165">
        <f>E62*10000/E62</f>
        <v>10000</v>
      </c>
      <c r="F102" s="165">
        <f>F62*10000/F62</f>
        <v>10000</v>
      </c>
      <c r="G102" s="165">
        <f>AVERAGE(C102:E102)</f>
        <v>10000</v>
      </c>
      <c r="H102" s="165">
        <f>STDEV(C102:E102)</f>
        <v>0</v>
      </c>
      <c r="I102" s="165">
        <f>(B102*B4+C102*C4+D102*D4+E102*E4+F102*F4)/SUM(B4:F4)</f>
        <v>9999.999999999998</v>
      </c>
    </row>
    <row r="103" spans="1:11" ht="12.75">
      <c r="A103" s="165" t="s">
        <v>157</v>
      </c>
      <c r="B103" s="165">
        <f>B63*10000/B62</f>
        <v>-0.293568388036776</v>
      </c>
      <c r="C103" s="165">
        <f>C63*10000/C62</f>
        <v>-1.0729385055535998</v>
      </c>
      <c r="D103" s="165">
        <f>D63*10000/D62</f>
        <v>-1.5354806882359697</v>
      </c>
      <c r="E103" s="165">
        <f>E63*10000/E62</f>
        <v>-1.3538993586994834</v>
      </c>
      <c r="F103" s="165">
        <f>F63*10000/F62</f>
        <v>-4.22697744959594</v>
      </c>
      <c r="G103" s="165">
        <f>AVERAGE(C103:E103)</f>
        <v>-1.3207728508296845</v>
      </c>
      <c r="H103" s="165">
        <f>STDEV(C103:E103)</f>
        <v>0.23304364791359997</v>
      </c>
      <c r="I103" s="165">
        <f>(B103*B4+C103*C4+D103*D4+E103*E4+F103*F4)/SUM(B4:F4)</f>
        <v>-1.5642430585887412</v>
      </c>
      <c r="K103" s="165">
        <f>(LN(H103)+LN(H123))/2-LN(K114*K115^3)</f>
        <v>-5.32421631202797</v>
      </c>
    </row>
    <row r="104" spans="1:11" ht="12.75">
      <c r="A104" s="165" t="s">
        <v>158</v>
      </c>
      <c r="B104" s="165">
        <f>B64*10000/B62</f>
        <v>-0.04777820926768328</v>
      </c>
      <c r="C104" s="165">
        <f>C64*10000/C62</f>
        <v>0.31016250679484736</v>
      </c>
      <c r="D104" s="165">
        <f>D64*10000/D62</f>
        <v>0.06662531071244274</v>
      </c>
      <c r="E104" s="165">
        <f>E64*10000/E62</f>
        <v>0.1309409251748863</v>
      </c>
      <c r="F104" s="165">
        <f>F64*10000/F62</f>
        <v>-1.5468749150632473</v>
      </c>
      <c r="G104" s="165">
        <f>AVERAGE(C104:E104)</f>
        <v>0.16924291422739213</v>
      </c>
      <c r="H104" s="165">
        <f>STDEV(C104:E104)</f>
        <v>0.12620567833086438</v>
      </c>
      <c r="I104" s="165">
        <f>(B104*B4+C104*C4+D104*D4+E104*E4+F104*F4)/SUM(B4:F4)</f>
        <v>-0.09290740720827222</v>
      </c>
      <c r="K104" s="165">
        <f>(LN(H104)+LN(H124))/2-LN(K114*K115^4)</f>
        <v>-4.897464956926485</v>
      </c>
    </row>
    <row r="105" spans="1:11" ht="12.75">
      <c r="A105" s="165" t="s">
        <v>159</v>
      </c>
      <c r="B105" s="165">
        <f>B65*10000/B62</f>
        <v>-0.39783565908240315</v>
      </c>
      <c r="C105" s="165">
        <f>C65*10000/C62</f>
        <v>-0.03010947036550491</v>
      </c>
      <c r="D105" s="165">
        <f>D65*10000/D62</f>
        <v>0.0847794145216959</v>
      </c>
      <c r="E105" s="165">
        <f>E65*10000/E62</f>
        <v>0.18107428728165165</v>
      </c>
      <c r="F105" s="165">
        <f>F65*10000/F62</f>
        <v>0.4299979683873443</v>
      </c>
      <c r="G105" s="165">
        <f>AVERAGE(C105:E105)</f>
        <v>0.07858141047928088</v>
      </c>
      <c r="H105" s="165">
        <f>STDEV(C105:E105)</f>
        <v>0.10572821910008504</v>
      </c>
      <c r="I105" s="165">
        <f>(B105*B4+C105*C4+D105*D4+E105*E4+F105*F4)/SUM(B4:F4)</f>
        <v>0.05740469077608587</v>
      </c>
      <c r="K105" s="165">
        <f>(LN(H105)+LN(H125))/2-LN(K114*K115^5)</f>
        <v>-4.639051807300323</v>
      </c>
    </row>
    <row r="106" spans="1:11" ht="12.75">
      <c r="A106" s="165" t="s">
        <v>160</v>
      </c>
      <c r="B106" s="165">
        <f>B66*10000/B62</f>
        <v>4.843019540445055</v>
      </c>
      <c r="C106" s="165">
        <f>C66*10000/C62</f>
        <v>5.179125286287843</v>
      </c>
      <c r="D106" s="165">
        <f>D66*10000/D62</f>
        <v>5.0666459956099175</v>
      </c>
      <c r="E106" s="165">
        <f>E66*10000/E62</f>
        <v>4.81209598033603</v>
      </c>
      <c r="F106" s="165">
        <f>F66*10000/F62</f>
        <v>14.901065053441473</v>
      </c>
      <c r="G106" s="165">
        <f>AVERAGE(C106:E106)</f>
        <v>5.019289087411264</v>
      </c>
      <c r="H106" s="165">
        <f>STDEV(C106:E106)</f>
        <v>0.18804157897250662</v>
      </c>
      <c r="I106" s="165">
        <f>(B106*B4+C106*C4+D106*D4+E106*E4+F106*F4)/SUM(B4:F4)</f>
        <v>6.323859604758003</v>
      </c>
      <c r="K106" s="165">
        <f>(LN(H106)+LN(H126))/2-LN(K114*K115^6)</f>
        <v>-3.81837596748713</v>
      </c>
    </row>
    <row r="107" spans="1:11" ht="12.75">
      <c r="A107" s="165" t="s">
        <v>161</v>
      </c>
      <c r="B107" s="165">
        <f>B67*10000/B62</f>
        <v>0.08992968545479059</v>
      </c>
      <c r="C107" s="165">
        <f>C67*10000/C62</f>
        <v>0.13805782375524758</v>
      </c>
      <c r="D107" s="165">
        <f>D67*10000/D62</f>
        <v>-0.1382311472616986</v>
      </c>
      <c r="E107" s="165">
        <f>E67*10000/E62</f>
        <v>-0.0024307788128198325</v>
      </c>
      <c r="F107" s="165">
        <f>F67*10000/F62</f>
        <v>-0.2367771365079891</v>
      </c>
      <c r="G107" s="165">
        <f>AVERAGE(C107:E107)</f>
        <v>-0.0008680341064236185</v>
      </c>
      <c r="H107" s="165">
        <f>STDEV(C107:E107)</f>
        <v>0.1381511147427474</v>
      </c>
      <c r="I107" s="165">
        <f>(B107*B4+C107*C4+D107*D4+E107*E4+F107*F4)/SUM(B4:F4)</f>
        <v>-0.01955799723502698</v>
      </c>
      <c r="K107" s="165">
        <f>(LN(H107)+LN(H127))/2-LN(K114*K115^7)</f>
        <v>-3.4510186279709334</v>
      </c>
    </row>
    <row r="108" spans="1:9" ht="12.75">
      <c r="A108" s="165" t="s">
        <v>162</v>
      </c>
      <c r="B108" s="165">
        <f>B68*10000/B62</f>
        <v>-3.561351790046928E-05</v>
      </c>
      <c r="C108" s="165">
        <f>C68*10000/C62</f>
        <v>0.04040240963576987</v>
      </c>
      <c r="D108" s="165">
        <f>D68*10000/D62</f>
        <v>0.06629622594458477</v>
      </c>
      <c r="E108" s="165">
        <f>E68*10000/E62</f>
        <v>0.022797916870262572</v>
      </c>
      <c r="F108" s="165">
        <f>F68*10000/F62</f>
        <v>-0.08489802006646235</v>
      </c>
      <c r="G108" s="165">
        <f>AVERAGE(C108:E108)</f>
        <v>0.04316551748353906</v>
      </c>
      <c r="H108" s="165">
        <f>STDEV(C108:E108)</f>
        <v>0.021880397547008112</v>
      </c>
      <c r="I108" s="165">
        <f>(B108*B4+C108*C4+D108*D4+E108*E4+F108*F4)/SUM(B4:F4)</f>
        <v>0.01971800321207097</v>
      </c>
    </row>
    <row r="109" spans="1:9" ht="12.75">
      <c r="A109" s="165" t="s">
        <v>163</v>
      </c>
      <c r="B109" s="165">
        <f>B69*10000/B62</f>
        <v>-0.06003571147117747</v>
      </c>
      <c r="C109" s="165">
        <f>C69*10000/C62</f>
        <v>-0.03275380984355261</v>
      </c>
      <c r="D109" s="165">
        <f>D69*10000/D62</f>
        <v>-0.014154629355848988</v>
      </c>
      <c r="E109" s="165">
        <f>E69*10000/E62</f>
        <v>-0.0210096363563944</v>
      </c>
      <c r="F109" s="165">
        <f>F69*10000/F62</f>
        <v>0.11439095622952149</v>
      </c>
      <c r="G109" s="165">
        <f>AVERAGE(C109:E109)</f>
        <v>-0.022639358518598666</v>
      </c>
      <c r="H109" s="165">
        <f>STDEV(C109:E109)</f>
        <v>0.009406081779786333</v>
      </c>
      <c r="I109" s="165">
        <f>(B109*B4+C109*C4+D109*D4+E109*E4+F109*F4)/SUM(B4:F4)</f>
        <v>-0.009572950725381968</v>
      </c>
    </row>
    <row r="110" spans="1:11" ht="12.75">
      <c r="A110" s="165" t="s">
        <v>164</v>
      </c>
      <c r="B110" s="165">
        <f>B70*10000/B62</f>
        <v>-0.3117706249989891</v>
      </c>
      <c r="C110" s="165">
        <f>C70*10000/C62</f>
        <v>-0.046726819745649475</v>
      </c>
      <c r="D110" s="165">
        <f>D70*10000/D62</f>
        <v>-0.06515222674662559</v>
      </c>
      <c r="E110" s="165">
        <f>E70*10000/E62</f>
        <v>-0.06826161790283626</v>
      </c>
      <c r="F110" s="165">
        <f>F70*10000/F62</f>
        <v>-0.3680516299548126</v>
      </c>
      <c r="G110" s="165">
        <f>AVERAGE(C110:E110)</f>
        <v>-0.06004688813170378</v>
      </c>
      <c r="H110" s="165">
        <f>STDEV(C110:E110)</f>
        <v>0.011639812915053739</v>
      </c>
      <c r="I110" s="165">
        <f>(B110*B4+C110*C4+D110*D4+E110*E4+F110*F4)/SUM(B4:F4)</f>
        <v>-0.1376808696016306</v>
      </c>
      <c r="K110" s="165">
        <f>EXP(AVERAGE(K103:K107))</f>
        <v>0.011961937630500382</v>
      </c>
    </row>
    <row r="111" spans="1:9" ht="12.75">
      <c r="A111" s="165" t="s">
        <v>165</v>
      </c>
      <c r="B111" s="165">
        <f>B71*10000/B62</f>
        <v>0.0061883094866665815</v>
      </c>
      <c r="C111" s="165">
        <f>C71*10000/C62</f>
        <v>0.047159451942227155</v>
      </c>
      <c r="D111" s="165">
        <f>D71*10000/D62</f>
        <v>0.04605678015658958</v>
      </c>
      <c r="E111" s="165">
        <f>E71*10000/E62</f>
        <v>0.05764068151948118</v>
      </c>
      <c r="F111" s="165">
        <f>F71*10000/F62</f>
        <v>-0.007069299408339221</v>
      </c>
      <c r="G111" s="165">
        <f>AVERAGE(C111:E111)</f>
        <v>0.05028563787276597</v>
      </c>
      <c r="H111" s="165">
        <f>STDEV(C111:E111)</f>
        <v>0.006393471009594424</v>
      </c>
      <c r="I111" s="165">
        <f>(B111*B4+C111*C4+D111*D4+E111*E4+F111*F4)/SUM(B4:F4)</f>
        <v>0.03622903677485348</v>
      </c>
    </row>
    <row r="112" spans="1:9" ht="12.75">
      <c r="A112" s="165" t="s">
        <v>166</v>
      </c>
      <c r="B112" s="165">
        <f>B72*10000/B62</f>
        <v>-0.022062955715572027</v>
      </c>
      <c r="C112" s="165">
        <f>C72*10000/C62</f>
        <v>-0.00256250811521079</v>
      </c>
      <c r="D112" s="165">
        <f>D72*10000/D62</f>
        <v>-0.01915537345013401</v>
      </c>
      <c r="E112" s="165">
        <f>E72*10000/E62</f>
        <v>-0.0261330628011709</v>
      </c>
      <c r="F112" s="165">
        <f>F72*10000/F62</f>
        <v>-0.026795050628119994</v>
      </c>
      <c r="G112" s="165">
        <f>AVERAGE(C112:E112)</f>
        <v>-0.015950314788838568</v>
      </c>
      <c r="H112" s="165">
        <f>STDEV(C112:E112)</f>
        <v>0.012107727401032683</v>
      </c>
      <c r="I112" s="165">
        <f>(B112*B4+C112*C4+D112*D4+E112*E4+F112*F4)/SUM(B4:F4)</f>
        <v>-0.018288881836118945</v>
      </c>
    </row>
    <row r="113" spans="1:9" ht="12.75">
      <c r="A113" s="165" t="s">
        <v>167</v>
      </c>
      <c r="B113" s="165">
        <f>B73*10000/B62</f>
        <v>-0.012620295199318258</v>
      </c>
      <c r="C113" s="165">
        <f>C73*10000/C62</f>
        <v>-0.0255971856279991</v>
      </c>
      <c r="D113" s="165">
        <f>D73*10000/D62</f>
        <v>-0.013592357466696117</v>
      </c>
      <c r="E113" s="165">
        <f>E73*10000/E62</f>
        <v>-0.015813934717734377</v>
      </c>
      <c r="F113" s="165">
        <f>F73*10000/F62</f>
        <v>0.005010382469016803</v>
      </c>
      <c r="G113" s="165">
        <f>AVERAGE(C113:E113)</f>
        <v>-0.018334492604143198</v>
      </c>
      <c r="H113" s="165">
        <f>STDEV(C113:E113)</f>
        <v>0.006387008990102999</v>
      </c>
      <c r="I113" s="165">
        <f>(B113*B4+C113*C4+D113*D4+E113*E4+F113*F4)/SUM(B4:F4)</f>
        <v>-0.014371473400710374</v>
      </c>
    </row>
    <row r="114" spans="1:11" ht="12.75">
      <c r="A114" s="165" t="s">
        <v>168</v>
      </c>
      <c r="B114" s="165">
        <f>B74*10000/B62</f>
        <v>-0.19760935556767</v>
      </c>
      <c r="C114" s="165">
        <f>C74*10000/C62</f>
        <v>-0.18182516402267532</v>
      </c>
      <c r="D114" s="165">
        <f>D74*10000/D62</f>
        <v>-0.1839856157174633</v>
      </c>
      <c r="E114" s="165">
        <f>E74*10000/E62</f>
        <v>-0.1802028897535759</v>
      </c>
      <c r="F114" s="165">
        <f>F74*10000/F62</f>
        <v>-0.13159880461241863</v>
      </c>
      <c r="G114" s="165">
        <f>AVERAGE(C114:E114)</f>
        <v>-0.18200455649790484</v>
      </c>
      <c r="H114" s="165">
        <f>STDEV(C114:E114)</f>
        <v>0.001897732903912701</v>
      </c>
      <c r="I114" s="165">
        <f>(B114*B4+C114*C4+D114*D4+E114*E4+F114*F4)/SUM(B4:F4)</f>
        <v>-0.17746349031139202</v>
      </c>
      <c r="J114" s="165" t="s">
        <v>186</v>
      </c>
      <c r="K114" s="165">
        <v>285</v>
      </c>
    </row>
    <row r="115" spans="1:11" ht="12.75">
      <c r="A115" s="165" t="s">
        <v>169</v>
      </c>
      <c r="B115" s="165">
        <f>B75*10000/B62</f>
        <v>0.0003526876239011007</v>
      </c>
      <c r="C115" s="165">
        <f>C75*10000/C62</f>
        <v>-0.0008588094620982403</v>
      </c>
      <c r="D115" s="165">
        <f>D75*10000/D62</f>
        <v>-0.00115627441124133</v>
      </c>
      <c r="E115" s="165">
        <f>E75*10000/E62</f>
        <v>-0.0013704754479476628</v>
      </c>
      <c r="F115" s="165">
        <f>F75*10000/F62</f>
        <v>-0.002058161302294368</v>
      </c>
      <c r="G115" s="165">
        <f>AVERAGE(C115:E115)</f>
        <v>-0.001128519773762411</v>
      </c>
      <c r="H115" s="165">
        <f>STDEV(C115:E115)</f>
        <v>0.0002569596470168129</v>
      </c>
      <c r="I115" s="165">
        <f>(B115*B4+C115*C4+D115*D4+E115*E4+F115*F4)/SUM(B4:F4)</f>
        <v>-0.0010407467365415716</v>
      </c>
      <c r="J115" s="165" t="s">
        <v>187</v>
      </c>
      <c r="K115" s="165">
        <v>0.5536</v>
      </c>
    </row>
    <row r="118" ht="12.75">
      <c r="A118" s="165" t="s">
        <v>152</v>
      </c>
    </row>
    <row r="120" spans="2:9" ht="12.75">
      <c r="B120" s="165" t="s">
        <v>84</v>
      </c>
      <c r="C120" s="165" t="s">
        <v>85</v>
      </c>
      <c r="D120" s="165" t="s">
        <v>86</v>
      </c>
      <c r="E120" s="165" t="s">
        <v>87</v>
      </c>
      <c r="F120" s="165" t="s">
        <v>88</v>
      </c>
      <c r="G120" s="165" t="s">
        <v>154</v>
      </c>
      <c r="H120" s="165" t="s">
        <v>155</v>
      </c>
      <c r="I120" s="165" t="s">
        <v>188</v>
      </c>
    </row>
    <row r="121" spans="1:9" ht="12.75">
      <c r="A121" s="165" t="s">
        <v>170</v>
      </c>
      <c r="B121" s="165">
        <f>B81*10000/B62</f>
        <v>0</v>
      </c>
      <c r="C121" s="165">
        <f>C81*10000/C62</f>
        <v>0</v>
      </c>
      <c r="D121" s="165">
        <f>D81*10000/D62</f>
        <v>0</v>
      </c>
      <c r="E121" s="165">
        <f>E81*10000/E62</f>
        <v>0</v>
      </c>
      <c r="F121" s="165">
        <f>F81*10000/F62</f>
        <v>0</v>
      </c>
      <c r="G121" s="165">
        <f>AVERAGE(C121:E121)</f>
        <v>0</v>
      </c>
      <c r="H121" s="165">
        <f>STDEV(C121:E121)</f>
        <v>0</v>
      </c>
      <c r="I121" s="165">
        <f>(B121*B4+C121*C4+D121*D4+E121*E4+F121*F4)/SUM(B4:F4)</f>
        <v>0</v>
      </c>
    </row>
    <row r="122" spans="1:9" ht="12.75">
      <c r="A122" s="165" t="s">
        <v>171</v>
      </c>
      <c r="B122" s="165">
        <f>B82*10000/B62</f>
        <v>-8.731908900034812</v>
      </c>
      <c r="C122" s="165">
        <f>C82*10000/C62</f>
        <v>-20.07528872413554</v>
      </c>
      <c r="D122" s="165">
        <f>D82*10000/D62</f>
        <v>-14.702073893784895</v>
      </c>
      <c r="E122" s="165">
        <f>E82*10000/E62</f>
        <v>22.167830355156454</v>
      </c>
      <c r="F122" s="165">
        <f>F82*10000/F62</f>
        <v>30.44214804763557</v>
      </c>
      <c r="G122" s="165">
        <f>AVERAGE(C122:E122)</f>
        <v>-4.2031774209213255</v>
      </c>
      <c r="H122" s="165">
        <f>STDEV(C122:E122)</f>
        <v>22.995442977854136</v>
      </c>
      <c r="I122" s="165">
        <f>(B122*B4+C122*C4+D122*D4+E122*E4+F122*F4)/SUM(B4:F4)</f>
        <v>-0.18906898225914864</v>
      </c>
    </row>
    <row r="123" spans="1:9" ht="12.75">
      <c r="A123" s="165" t="s">
        <v>172</v>
      </c>
      <c r="B123" s="165">
        <f>B83*10000/B62</f>
        <v>-1.1023270634675086</v>
      </c>
      <c r="C123" s="165">
        <f>C83*10000/C62</f>
        <v>-0.18396706243811367</v>
      </c>
      <c r="D123" s="165">
        <f>D83*10000/D62</f>
        <v>-0.6265897078420888</v>
      </c>
      <c r="E123" s="165">
        <f>E83*10000/E62</f>
        <v>-0.2528708814979374</v>
      </c>
      <c r="F123" s="165">
        <f>F83*10000/F62</f>
        <v>5.197513843998562</v>
      </c>
      <c r="G123" s="165">
        <f>AVERAGE(C123:E123)</f>
        <v>-0.3544758839260466</v>
      </c>
      <c r="H123" s="165">
        <f>STDEV(C123:E123)</f>
        <v>0.23816251582672573</v>
      </c>
      <c r="I123" s="165">
        <f>(B123*B4+C123*C4+D123*D4+E123*E4+F123*F4)/SUM(B4:F4)</f>
        <v>0.28526137240325533</v>
      </c>
    </row>
    <row r="124" spans="1:9" ht="12.75">
      <c r="A124" s="165" t="s">
        <v>173</v>
      </c>
      <c r="B124" s="165">
        <f>B84*10000/B62</f>
        <v>0.018502038163136343</v>
      </c>
      <c r="C124" s="165">
        <f>C84*10000/C62</f>
        <v>-1.0999484431558648</v>
      </c>
      <c r="D124" s="165">
        <f>D84*10000/D62</f>
        <v>-0.4786042287708226</v>
      </c>
      <c r="E124" s="165">
        <f>E84*10000/E62</f>
        <v>-0.6850793982030894</v>
      </c>
      <c r="F124" s="165">
        <f>F84*10000/F62</f>
        <v>0.11085827904462246</v>
      </c>
      <c r="G124" s="165">
        <f>AVERAGE(C124:E124)</f>
        <v>-0.7545440233765923</v>
      </c>
      <c r="H124" s="165">
        <f>STDEV(C124:E124)</f>
        <v>0.31644297875022076</v>
      </c>
      <c r="I124" s="165">
        <f>(B124*B4+C124*C4+D124*D4+E124*E4+F124*F4)/SUM(B4:F4)</f>
        <v>-0.5269748424575719</v>
      </c>
    </row>
    <row r="125" spans="1:9" ht="12.75">
      <c r="A125" s="165" t="s">
        <v>174</v>
      </c>
      <c r="B125" s="165">
        <f>B85*10000/B62</f>
        <v>-0.1604700881020423</v>
      </c>
      <c r="C125" s="165">
        <f>C85*10000/C62</f>
        <v>0.03733321346392934</v>
      </c>
      <c r="D125" s="165">
        <f>D85*10000/D62</f>
        <v>-0.102271548348509</v>
      </c>
      <c r="E125" s="165">
        <f>E85*10000/E62</f>
        <v>0.28123427980438115</v>
      </c>
      <c r="F125" s="165">
        <f>F85*10000/F62</f>
        <v>-1.0098189880870296</v>
      </c>
      <c r="G125" s="165">
        <f>AVERAGE(C125:E125)</f>
        <v>0.0720986483066005</v>
      </c>
      <c r="H125" s="165">
        <f>STDEV(C125:E125)</f>
        <v>0.19410218095544043</v>
      </c>
      <c r="I125" s="165">
        <f>(B125*B4+C125*C4+D125*D4+E125*E4+F125*F4)/SUM(B4:F4)</f>
        <v>-0.10691316952787172</v>
      </c>
    </row>
    <row r="126" spans="1:9" ht="12.75">
      <c r="A126" s="165" t="s">
        <v>175</v>
      </c>
      <c r="B126" s="165">
        <f>B86*10000/B62</f>
        <v>1.2868600852584402</v>
      </c>
      <c r="C126" s="165">
        <f>C86*10000/C62</f>
        <v>0.2648845247761767</v>
      </c>
      <c r="D126" s="165">
        <f>D86*10000/D62</f>
        <v>0.190705615889958</v>
      </c>
      <c r="E126" s="165">
        <f>E86*10000/E62</f>
        <v>0.5198681039768871</v>
      </c>
      <c r="F126" s="165">
        <f>F86*10000/F62</f>
        <v>1.98323860808845</v>
      </c>
      <c r="G126" s="165">
        <f>AVERAGE(C126:E126)</f>
        <v>0.3251527482143406</v>
      </c>
      <c r="H126" s="165">
        <f>STDEV(C126:E126)</f>
        <v>0.17265914385919087</v>
      </c>
      <c r="I126" s="165">
        <f>(B126*B4+C126*C4+D126*D4+E126*E4+F126*F4)/SUM(B4:F4)</f>
        <v>0.6865554363497807</v>
      </c>
    </row>
    <row r="127" spans="1:9" ht="12.75">
      <c r="A127" s="165" t="s">
        <v>176</v>
      </c>
      <c r="B127" s="165">
        <f>B87*10000/B62</f>
        <v>-0.14397566506673745</v>
      </c>
      <c r="C127" s="165">
        <f>C87*10000/C62</f>
        <v>-0.17378635676759252</v>
      </c>
      <c r="D127" s="165">
        <f>D87*10000/D62</f>
        <v>-0.049177618597482264</v>
      </c>
      <c r="E127" s="165">
        <f>E87*10000/E62</f>
        <v>0.12516445121974784</v>
      </c>
      <c r="F127" s="165">
        <f>F87*10000/F62</f>
        <v>0.5250094113042175</v>
      </c>
      <c r="G127" s="165">
        <f>AVERAGE(C127:E127)</f>
        <v>-0.03259984138177565</v>
      </c>
      <c r="H127" s="165">
        <f>STDEV(C127:E127)</f>
        <v>0.15016328919589872</v>
      </c>
      <c r="I127" s="165">
        <f>(B127*B4+C127*C4+D127*D4+E127*E4+F127*F4)/SUM(B4:F4)</f>
        <v>0.02644767560734739</v>
      </c>
    </row>
    <row r="128" spans="1:9" ht="12.75">
      <c r="A128" s="165" t="s">
        <v>177</v>
      </c>
      <c r="B128" s="165">
        <f>B88*10000/B62</f>
        <v>-0.014715191411601382</v>
      </c>
      <c r="C128" s="165">
        <f>C88*10000/C62</f>
        <v>-0.07446428476979132</v>
      </c>
      <c r="D128" s="165">
        <f>D88*10000/D62</f>
        <v>-0.04958280851590413</v>
      </c>
      <c r="E128" s="165">
        <f>E88*10000/E62</f>
        <v>-0.07215915607878749</v>
      </c>
      <c r="F128" s="165">
        <f>F88*10000/F62</f>
        <v>-0.015545201128918646</v>
      </c>
      <c r="G128" s="165">
        <f>AVERAGE(C128:E128)</f>
        <v>-0.06540208312149431</v>
      </c>
      <c r="H128" s="165">
        <f>STDEV(C128:E128)</f>
        <v>0.013748290488487129</v>
      </c>
      <c r="I128" s="165">
        <f>(B128*B4+C128*C4+D128*D4+E128*E4+F128*F4)/SUM(B4:F4)</f>
        <v>-0.051408149596392345</v>
      </c>
    </row>
    <row r="129" spans="1:9" ht="12.75">
      <c r="A129" s="165" t="s">
        <v>178</v>
      </c>
      <c r="B129" s="165">
        <f>B89*10000/B62</f>
        <v>-0.06065345417096254</v>
      </c>
      <c r="C129" s="165">
        <f>C89*10000/C62</f>
        <v>-0.0447574611459321</v>
      </c>
      <c r="D129" s="165">
        <f>D89*10000/D62</f>
        <v>0.001316144868537822</v>
      </c>
      <c r="E129" s="165">
        <f>E89*10000/E62</f>
        <v>-8.468211009857804E-05</v>
      </c>
      <c r="F129" s="165">
        <f>F89*10000/F62</f>
        <v>-0.09740652696648194</v>
      </c>
      <c r="G129" s="165">
        <f>AVERAGE(C129:E129)</f>
        <v>-0.014508666129164285</v>
      </c>
      <c r="H129" s="165">
        <f>STDEV(C129:E129)</f>
        <v>0.026205586790431667</v>
      </c>
      <c r="I129" s="165">
        <f>(B129*B4+C129*C4+D129*D4+E129*E4+F129*F4)/SUM(B4:F4)</f>
        <v>-0.032298042560095844</v>
      </c>
    </row>
    <row r="130" spans="1:9" ht="12.75">
      <c r="A130" s="165" t="s">
        <v>179</v>
      </c>
      <c r="B130" s="165">
        <f>B90*10000/B62</f>
        <v>0.1532595781221085</v>
      </c>
      <c r="C130" s="165">
        <f>C90*10000/C62</f>
        <v>0.09396490841280347</v>
      </c>
      <c r="D130" s="165">
        <f>D90*10000/D62</f>
        <v>0.006509056330453981</v>
      </c>
      <c r="E130" s="165">
        <f>E90*10000/E62</f>
        <v>0.007403052208769163</v>
      </c>
      <c r="F130" s="165">
        <f>F90*10000/F62</f>
        <v>0.1362251643338004</v>
      </c>
      <c r="G130" s="165">
        <f>AVERAGE(C130:E130)</f>
        <v>0.035959005650675537</v>
      </c>
      <c r="H130" s="165">
        <f>STDEV(C130:E130)</f>
        <v>0.050236574063073726</v>
      </c>
      <c r="I130" s="165">
        <f>(B130*B4+C130*C4+D130*D4+E130*E4+F130*F4)/SUM(B4:F4)</f>
        <v>0.06631339650420993</v>
      </c>
    </row>
    <row r="131" spans="1:9" ht="12.75">
      <c r="A131" s="165" t="s">
        <v>180</v>
      </c>
      <c r="B131" s="165">
        <f>B91*10000/B62</f>
        <v>-0.0031501074564932083</v>
      </c>
      <c r="C131" s="165">
        <f>C91*10000/C62</f>
        <v>-0.037530287128151936</v>
      </c>
      <c r="D131" s="165">
        <f>D91*10000/D62</f>
        <v>-0.013040453164353991</v>
      </c>
      <c r="E131" s="165">
        <f>E91*10000/E62</f>
        <v>0.023073269651619172</v>
      </c>
      <c r="F131" s="165">
        <f>F91*10000/F62</f>
        <v>0.05730062587300858</v>
      </c>
      <c r="G131" s="165">
        <f>AVERAGE(C131:E131)</f>
        <v>-0.009165823546962252</v>
      </c>
      <c r="H131" s="165">
        <f>STDEV(C131:E131)</f>
        <v>0.030487002797810612</v>
      </c>
      <c r="I131" s="165">
        <f>(B131*B4+C131*C4+D131*D4+E131*E4+F131*F4)/SUM(B4:F4)</f>
        <v>0.0006464352007792099</v>
      </c>
    </row>
    <row r="132" spans="1:9" ht="12.75">
      <c r="A132" s="165" t="s">
        <v>181</v>
      </c>
      <c r="B132" s="165">
        <f>B92*10000/B62</f>
        <v>0.0057018516051867965</v>
      </c>
      <c r="C132" s="165">
        <f>C92*10000/C62</f>
        <v>0.015712450739791835</v>
      </c>
      <c r="D132" s="165">
        <f>D92*10000/D62</f>
        <v>0.013845552758800044</v>
      </c>
      <c r="E132" s="165">
        <f>E92*10000/E62</f>
        <v>0.0006083019903617695</v>
      </c>
      <c r="F132" s="165">
        <f>F92*10000/F62</f>
        <v>-0.011918334107087205</v>
      </c>
      <c r="G132" s="165">
        <f>AVERAGE(C132:E132)</f>
        <v>0.01005543516298455</v>
      </c>
      <c r="H132" s="165">
        <f>STDEV(C132:E132)</f>
        <v>0.008234535257305666</v>
      </c>
      <c r="I132" s="165">
        <f>(B132*B4+C132*C4+D132*D4+E132*E4+F132*F4)/SUM(B4:F4)</f>
        <v>0.006471522280830248</v>
      </c>
    </row>
    <row r="133" spans="1:9" ht="12.75">
      <c r="A133" s="165" t="s">
        <v>182</v>
      </c>
      <c r="B133" s="165">
        <f>B93*10000/B62</f>
        <v>-0.05836665003596971</v>
      </c>
      <c r="C133" s="165">
        <f>C93*10000/C62</f>
        <v>-0.06346277964612287</v>
      </c>
      <c r="D133" s="165">
        <f>D93*10000/D62</f>
        <v>-0.06114995849285363</v>
      </c>
      <c r="E133" s="165">
        <f>E93*10000/E62</f>
        <v>-0.05421530285524792</v>
      </c>
      <c r="F133" s="165">
        <f>F93*10000/F62</f>
        <v>-0.04825579113667757</v>
      </c>
      <c r="G133" s="165">
        <f>AVERAGE(C133:E133)</f>
        <v>-0.059609346998074804</v>
      </c>
      <c r="H133" s="165">
        <f>STDEV(C133:E133)</f>
        <v>0.004812387098190007</v>
      </c>
      <c r="I133" s="165">
        <f>(B133*B4+C133*C4+D133*D4+E133*E4+F133*F4)/SUM(B4:F4)</f>
        <v>-0.05790228440950166</v>
      </c>
    </row>
    <row r="134" spans="1:9" ht="12.75">
      <c r="A134" s="165" t="s">
        <v>183</v>
      </c>
      <c r="B134" s="165">
        <f>B94*10000/B62</f>
        <v>0.002470358921826574</v>
      </c>
      <c r="C134" s="165">
        <f>C94*10000/C62</f>
        <v>0.01204341112490823</v>
      </c>
      <c r="D134" s="165">
        <f>D94*10000/D62</f>
        <v>0.004585292670102739</v>
      </c>
      <c r="E134" s="165">
        <f>E94*10000/E62</f>
        <v>0.0030580776331202764</v>
      </c>
      <c r="F134" s="165">
        <f>F94*10000/F62</f>
        <v>-0.03481318395715233</v>
      </c>
      <c r="G134" s="165">
        <f>AVERAGE(C134:E134)</f>
        <v>0.006562260476043749</v>
      </c>
      <c r="H134" s="165">
        <f>STDEV(C134:E134)</f>
        <v>0.004807843151451281</v>
      </c>
      <c r="I134" s="165">
        <f>(B134*B4+C134*C4+D134*D4+E134*E4+F134*F4)/SUM(B4:F4)</f>
        <v>0.00040556664852422374</v>
      </c>
    </row>
    <row r="135" spans="1:9" ht="12.75">
      <c r="A135" s="165" t="s">
        <v>184</v>
      </c>
      <c r="B135" s="165">
        <f>B95*10000/B62</f>
        <v>0.0035276512293950344</v>
      </c>
      <c r="C135" s="165">
        <f>C95*10000/C62</f>
        <v>0.0017500115189006185</v>
      </c>
      <c r="D135" s="165">
        <f>D95*10000/D62</f>
        <v>0.0026990496284736154</v>
      </c>
      <c r="E135" s="165">
        <f>E95*10000/E62</f>
        <v>0.0022696836786309763</v>
      </c>
      <c r="F135" s="165">
        <f>F95*10000/F62</f>
        <v>-0.0015319435562203695</v>
      </c>
      <c r="G135" s="165">
        <f>AVERAGE(C135:E135)</f>
        <v>0.0022395816086684035</v>
      </c>
      <c r="H135" s="165">
        <f>STDEV(C135:E135)</f>
        <v>0.00047523460976395043</v>
      </c>
      <c r="I135" s="165">
        <f>(B135*B4+C135*C4+D135*D4+E135*E4+F135*F4)/SUM(B4:F4)</f>
        <v>0.001917109932003939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2001-11-15T13:19:38Z</cp:lastPrinted>
  <dcterms:created xsi:type="dcterms:W3CDTF">1999-06-17T15:15:05Z</dcterms:created>
  <dcterms:modified xsi:type="dcterms:W3CDTF">2003-09-26T12:28:29Z</dcterms:modified>
  <cp:category/>
  <cp:version/>
  <cp:contentType/>
  <cp:contentStatus/>
</cp:coreProperties>
</file>