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6975" windowHeight="2205" tabRatio="1000" firstSheet="3" activeTab="7"/>
  </bookViews>
  <sheets>
    <sheet name="Sommaire" sheetId="1" r:id="rId1"/>
    <sheet name="HCMQAP017_003_pos1_aper2" sheetId="2" r:id="rId2"/>
    <sheet name="HCMQAP017_003_pos2_aper2" sheetId="3" r:id="rId3"/>
    <sheet name="HCMQAP017_003_pos3_aper2" sheetId="4" r:id="rId4"/>
    <sheet name="HCMQAP017_003_pos4_aper2" sheetId="5" r:id="rId5"/>
    <sheet name="HCMQAP017_003_pos5_aper2" sheetId="6" r:id="rId6"/>
    <sheet name="Lmag_hcmqap" sheetId="7" r:id="rId7"/>
    <sheet name="Result_HCMQAP" sheetId="8" r:id="rId8"/>
  </sheets>
  <definedNames>
    <definedName name="_xlnm.Print_Area" localSheetId="1">'HCMQAP017_003_pos1_aper2'!$A$1:$N$28</definedName>
    <definedName name="_xlnm.Print_Area" localSheetId="2">'HCMQAP017_003_pos2_aper2'!$A$1:$N$28</definedName>
    <definedName name="_xlnm.Print_Area" localSheetId="3">'HCMQAP017_003_pos3_aper2'!$A$1:$N$28</definedName>
    <definedName name="_xlnm.Print_Area" localSheetId="4">'HCMQAP017_003_pos4_aper2'!$A$1:$N$28</definedName>
    <definedName name="_xlnm.Print_Area" localSheetId="5">'HCMQAP017_003_pos5_aper2'!$A$1:$N$28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<sst xmlns="http://schemas.openxmlformats.org/spreadsheetml/2006/main" count="510" uniqueCount="189">
  <si>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</si>
  <si>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</si>
  <si>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</si>
  <si>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</si>
  <si>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</si>
  <si>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</si>
  <si>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</si>
  <si>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</si>
  <si>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</si>
  <si>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</si>
  <si>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</si>
  <si>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</si>
  <si>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</si>
  <si>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</si>
  <si>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</si>
  <si>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hcmqap017_003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</si>
  <si>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</si>
  <si>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</si>
  <si>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</si>
  <si>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</si>
  <si>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</si>
  <si>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</si>
  <si>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</si>
  <si>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</si>
  <si>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</si>
  <si>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</si>
  <si>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</si>
  <si>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</si>
  <si>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</si>
  <si>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</si>
  <si>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</si>
  <si>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</si>
  <si>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</si>
  <si>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</si>
  <si>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</si>
  <si>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</si>
  <si>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</si>
  <si>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</si>
  <si>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</si>
  <si>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</si>
  <si>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</si>
  <si>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</si>
  <si>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</si>
  <si>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</si>
  <si>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</si>
  <si>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</si>
  <si>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</si>
  <si>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</si>
  <si>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</si>
  <si>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</si>
  <si>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</si>
  <si>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</si>
  <si>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</si>
  <si>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</si>
  <si>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</si>
  <si>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</si>
  <si>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</si>
  <si>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</si>
  <si>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</si>
  <si>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-2.245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</si>
  <si>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</si>
  <si>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</si>
  <si>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</si>
  <si>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</si>
  <si>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</si>
  <si>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</si>
  <si>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</si>
  <si>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</si>
  <si>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HCMQAP017_003_pos1_aper2</t>
  </si>
  <si>
    <t>27/01/20</t>
  </si>
  <si>
    <t>±12.5</t>
  </si>
  <si>
    <t>THCMQAP017_003_pos1_aper2.xls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</si>
  <si>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-3.757 mT)</t>
    </r>
  </si>
  <si>
    <t>HCMQAP017_003_pos2_aper2</t>
  </si>
  <si>
    <t>THCMQAP017_003_pos2_aper2.xls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</si>
  <si>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-3.756 mT)</t>
    </r>
  </si>
  <si>
    <t>HCMQAP017_003_pos3_aper2</t>
  </si>
  <si>
    <t>THCMQAP017_003_pos3_aper2.xls</t>
  </si>
  <si>
    <t>HCMQAP017_003_pos4_aper2</t>
  </si>
  <si>
    <t>THCMQAP017_003_pos4_aper2.xls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</si>
  <si>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-2.098 mT)</t>
    </r>
  </si>
  <si>
    <t>HCMQAP017_003_pos5_aper2</t>
  </si>
  <si>
    <t>THCMQAP017_003_pos5_aper2.xls</t>
  </si>
  <si>
    <t>Sommaire : Valeurs intégrales calculées avec les fichiers: HCMQAP017_003_pos1_aper2+HCMQAP017_003_pos2_aper2+HCMQAP017_003_pos3_aper2+HCMQAP017_003_pos4_aper2+HCMQAP017_003_pos5_aper2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</si>
  <si>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</si>
  <si>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</si>
  <si>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</si>
  <si>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</si>
  <si>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</si>
  <si>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</si>
  <si>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</si>
  <si>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</si>
  <si>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</si>
  <si>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</si>
  <si>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</si>
  <si>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</si>
  <si>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</si>
  <si>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</si>
  <si>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</si>
  <si>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</si>
  <si>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</si>
  <si>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</si>
  <si>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</si>
  <si>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</si>
  <si>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</si>
  <si>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</si>
  <si>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</si>
  <si>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</si>
  <si>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</si>
  <si>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</si>
  <si>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</si>
  <si>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</si>
  <si>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</si>
  <si>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</si>
  <si>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</si>
  <si>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</si>
  <si>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</si>
  <si>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</si>
  <si>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</si>
  <si>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</si>
  <si>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</si>
  <si>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</si>
  <si>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</si>
  <si>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</si>
  <si>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</si>
  <si>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</si>
  <si>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</si>
  <si>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=-3.756</t>
    </r>
  </si>
  <si>
    <t>Gradient (T/m)</t>
  </si>
  <si>
    <t xml:space="preserve"> Mon 27/01/2003       16:21:36</t>
  </si>
  <si>
    <t>LISSNER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</si>
  <si>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</si>
  <si>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</si>
  <si>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</si>
  <si>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</si>
  <si>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</si>
  <si>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</si>
  <si>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</si>
  <si>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</si>
  <si>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</si>
  <si>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</si>
  <si>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</si>
  <si>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</si>
  <si>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</si>
  <si>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</si>
  <si>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</si>
  <si>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</si>
  <si>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Conclusion : NOT-ACCEPTED</t>
  </si>
  <si>
    <t>Dx corrected</t>
  </si>
  <si>
    <t>Dy corrected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</si>
  <si>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</si>
  <si>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</si>
  <si>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</si>
  <si>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</si>
  <si>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</si>
  <si>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</si>
  <si>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</si>
  <si>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</si>
  <si>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</si>
  <si>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</si>
  <si>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</si>
  <si>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</si>
  <si>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</si>
  <si>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</si>
  <si>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</si>
  <si>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</si>
  <si>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</si>
  <si>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</si>
  <si>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</si>
  <si>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</si>
  <si>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</si>
  <si>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</si>
  <si>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</si>
  <si>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</si>
  <si>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</si>
  <si>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</si>
  <si>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</si>
  <si>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</si>
  <si>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</si>
  <si>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</si>
  <si>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</si>
  <si>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</si>
  <si>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</si>
  <si>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</si>
  <si>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</si>
  <si>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</si>
  <si>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</si>
  <si>
    <t>HCMQAP017</t>
  </si>
  <si>
    <t>Integrals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</si>
</sst>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d/mm/yy\ h:mm:ss"/>
    <numFmt numFmtId="181" formatCode="0.0##"/>
    <numFmt numFmtId="182" formatCode="0.00E+0"/>
    <numFmt numFmtId="183" formatCode="0.0###"/>
    <numFmt numFmtId="184" formatCode="dd/mm/yy\ h:mm"/>
    <numFmt numFmtId="185" formatCode="0.0#"/>
    <numFmt numFmtId="186" formatCode="0.#"/>
    <numFmt numFmtId="187" formatCode="0.000"/>
    <numFmt numFmtId="188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81" fontId="3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8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81" fontId="3" fillId="0" borderId="2" xfId="0" applyNumberFormat="1" applyFont="1" applyFill="1" applyBorder="1" applyAlignment="1">
      <alignment horizontal="left" vertical="top" wrapText="1"/>
    </xf>
    <xf numFmtId="181" fontId="3" fillId="0" borderId="3" xfId="0" applyNumberFormat="1" applyFont="1" applyFill="1" applyBorder="1" applyAlignment="1">
      <alignment horizontal="left"/>
    </xf>
    <xf numFmtId="181" fontId="3" fillId="0" borderId="3" xfId="0" applyNumberFormat="1" applyFont="1" applyFill="1" applyBorder="1" applyAlignment="1">
      <alignment horizontal="center"/>
    </xf>
    <xf numFmtId="181" fontId="3" fillId="0" borderId="3" xfId="0" applyNumberFormat="1" applyFont="1" applyFill="1" applyBorder="1" applyAlignment="1">
      <alignment horizontal="right"/>
    </xf>
    <xf numFmtId="181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right" vertical="top" wrapText="1"/>
    </xf>
    <xf numFmtId="181" fontId="2" fillId="0" borderId="3" xfId="0" applyNumberFormat="1" applyFont="1" applyFill="1" applyBorder="1" applyAlignment="1">
      <alignment horizontal="right" vertical="center"/>
    </xf>
    <xf numFmtId="186" fontId="3" fillId="0" borderId="2" xfId="0" applyNumberFormat="1" applyFont="1" applyFill="1" applyBorder="1" applyAlignment="1">
      <alignment horizontal="center" vertical="top" wrapText="1"/>
    </xf>
    <xf numFmtId="186" fontId="3" fillId="0" borderId="3" xfId="0" applyNumberFormat="1" applyFont="1" applyFill="1" applyBorder="1" applyAlignment="1">
      <alignment horizontal="center"/>
    </xf>
    <xf numFmtId="186" fontId="2" fillId="0" borderId="3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center" vertical="top" wrapText="1"/>
    </xf>
    <xf numFmtId="181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86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81" fontId="3" fillId="2" borderId="3" xfId="0" applyNumberFormat="1" applyFont="1" applyFill="1" applyBorder="1" applyAlignment="1">
      <alignment horizontal="center"/>
    </xf>
    <xf numFmtId="181" fontId="3" fillId="2" borderId="3" xfId="0" applyNumberFormat="1" applyFont="1" applyFill="1" applyBorder="1" applyAlignment="1">
      <alignment horizontal="left"/>
    </xf>
    <xf numFmtId="181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81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81" fontId="2" fillId="2" borderId="3" xfId="0" applyNumberFormat="1" applyFont="1" applyFill="1" applyBorder="1" applyAlignment="1">
      <alignment horizontal="center"/>
    </xf>
    <xf numFmtId="181" fontId="2" fillId="2" borderId="3" xfId="0" applyNumberFormat="1" applyFont="1" applyFill="1" applyBorder="1" applyAlignment="1">
      <alignment horizontal="left"/>
    </xf>
    <xf numFmtId="181" fontId="2" fillId="2" borderId="3" xfId="0" applyNumberFormat="1" applyFont="1" applyFill="1" applyBorder="1" applyAlignment="1">
      <alignment horizontal="right"/>
    </xf>
    <xf numFmtId="181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8" fontId="3" fillId="0" borderId="2" xfId="0" applyNumberFormat="1" applyFont="1" applyFill="1" applyBorder="1" applyAlignment="1">
      <alignment horizontal="left" vertical="top"/>
    </xf>
    <xf numFmtId="188" fontId="3" fillId="2" borderId="3" xfId="0" applyNumberFormat="1" applyFont="1" applyFill="1" applyBorder="1" applyAlignment="1">
      <alignment horizontal="left"/>
    </xf>
    <xf numFmtId="188" fontId="4" fillId="2" borderId="3" xfId="0" applyNumberFormat="1" applyFont="1" applyFill="1" applyBorder="1" applyAlignment="1">
      <alignment horizontal="left"/>
    </xf>
    <xf numFmtId="188" fontId="2" fillId="0" borderId="3" xfId="0" applyNumberFormat="1" applyFont="1" applyFill="1" applyBorder="1" applyAlignment="1">
      <alignment horizontal="left" vertical="center"/>
    </xf>
    <xf numFmtId="188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81" fontId="3" fillId="0" borderId="7" xfId="0" applyNumberFormat="1" applyFont="1" applyFill="1" applyBorder="1" applyAlignment="1">
      <alignment horizontal="left"/>
    </xf>
    <xf numFmtId="181" fontId="3" fillId="0" borderId="8" xfId="0" applyNumberFormat="1" applyFont="1" applyFill="1" applyBorder="1" applyAlignment="1">
      <alignment horizontal="center"/>
    </xf>
    <xf numFmtId="181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81" fontId="3" fillId="0" borderId="12" xfId="0" applyNumberFormat="1" applyFont="1" applyFill="1" applyBorder="1" applyAlignment="1">
      <alignment horizontal="left"/>
    </xf>
    <xf numFmtId="181" fontId="3" fillId="0" borderId="13" xfId="0" applyNumberFormat="1" applyFont="1" applyFill="1" applyBorder="1" applyAlignment="1">
      <alignment horizontal="center"/>
    </xf>
    <xf numFmtId="181" fontId="3" fillId="0" borderId="14" xfId="0" applyNumberFormat="1" applyFont="1" applyFill="1" applyBorder="1" applyAlignment="1">
      <alignment horizontal="center"/>
    </xf>
    <xf numFmtId="182" fontId="3" fillId="0" borderId="15" xfId="0" applyNumberFormat="1" applyFont="1" applyFill="1" applyBorder="1" applyAlignment="1">
      <alignment horizontal="center"/>
    </xf>
    <xf numFmtId="182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84" fontId="3" fillId="0" borderId="11" xfId="0" applyNumberFormat="1" applyFont="1" applyFill="1" applyBorder="1" applyAlignment="1">
      <alignment horizontal="left"/>
    </xf>
    <xf numFmtId="181" fontId="3" fillId="0" borderId="16" xfId="0" applyNumberFormat="1" applyFont="1" applyFill="1" applyBorder="1" applyAlignment="1">
      <alignment horizontal="left"/>
    </xf>
    <xf numFmtId="181" fontId="3" fillId="0" borderId="17" xfId="0" applyNumberFormat="1" applyFont="1" applyFill="1" applyBorder="1" applyAlignment="1">
      <alignment horizontal="left"/>
    </xf>
    <xf numFmtId="181" fontId="3" fillId="0" borderId="17" xfId="0" applyNumberFormat="1" applyFont="1" applyFill="1" applyBorder="1" applyAlignment="1">
      <alignment horizontal="center"/>
    </xf>
    <xf numFmtId="181" fontId="3" fillId="0" borderId="18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81" fontId="5" fillId="0" borderId="13" xfId="0" applyNumberFormat="1" applyFont="1" applyFill="1" applyBorder="1" applyAlignment="1">
      <alignment horizontal="left"/>
    </xf>
    <xf numFmtId="181" fontId="5" fillId="0" borderId="13" xfId="0" applyNumberFormat="1" applyFont="1" applyFill="1" applyBorder="1" applyAlignment="1">
      <alignment horizontal="center"/>
    </xf>
    <xf numFmtId="181" fontId="5" fillId="0" borderId="14" xfId="0" applyNumberFormat="1" applyFont="1" applyFill="1" applyBorder="1" applyAlignment="1">
      <alignment horizontal="center"/>
    </xf>
    <xf numFmtId="181" fontId="5" fillId="0" borderId="19" xfId="0" applyNumberFormat="1" applyFont="1" applyFill="1" applyBorder="1" applyAlignment="1">
      <alignment horizontal="center"/>
    </xf>
    <xf numFmtId="181" fontId="5" fillId="0" borderId="20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left"/>
    </xf>
    <xf numFmtId="181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81" fontId="3" fillId="0" borderId="22" xfId="0" applyNumberFormat="1" applyFont="1" applyFill="1" applyBorder="1" applyAlignment="1">
      <alignment horizontal="center"/>
    </xf>
    <xf numFmtId="181" fontId="4" fillId="0" borderId="23" xfId="0" applyNumberFormat="1" applyFont="1" applyFill="1" applyBorder="1" applyAlignment="1">
      <alignment horizontal="center"/>
    </xf>
    <xf numFmtId="181" fontId="3" fillId="0" borderId="23" xfId="0" applyNumberFormat="1" applyFont="1" applyFill="1" applyBorder="1" applyAlignment="1">
      <alignment horizontal="center"/>
    </xf>
    <xf numFmtId="181" fontId="3" fillId="0" borderId="24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81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left"/>
    </xf>
    <xf numFmtId="181" fontId="3" fillId="0" borderId="10" xfId="0" applyNumberFormat="1" applyFont="1" applyFill="1" applyBorder="1" applyAlignment="1">
      <alignment horizontal="center"/>
    </xf>
    <xf numFmtId="183" fontId="3" fillId="0" borderId="11" xfId="0" applyNumberFormat="1" applyFont="1" applyFill="1" applyBorder="1" applyAlignment="1">
      <alignment horizontal="left"/>
    </xf>
    <xf numFmtId="181" fontId="5" fillId="0" borderId="11" xfId="0" applyNumberFormat="1" applyFont="1" applyFill="1" applyBorder="1" applyAlignment="1">
      <alignment horizontal="left"/>
    </xf>
    <xf numFmtId="181" fontId="3" fillId="3" borderId="15" xfId="0" applyNumberFormat="1" applyFont="1" applyFill="1" applyBorder="1" applyAlignment="1">
      <alignment horizontal="center"/>
    </xf>
    <xf numFmtId="181" fontId="3" fillId="4" borderId="15" xfId="0" applyNumberFormat="1" applyFont="1" applyFill="1" applyBorder="1" applyAlignment="1">
      <alignment horizontal="center"/>
    </xf>
    <xf numFmtId="181" fontId="3" fillId="4" borderId="10" xfId="0" applyNumberFormat="1" applyFont="1" applyFill="1" applyBorder="1" applyAlignment="1">
      <alignment horizontal="center"/>
    </xf>
    <xf numFmtId="185" fontId="3" fillId="0" borderId="11" xfId="0" applyNumberFormat="1" applyFont="1" applyFill="1" applyBorder="1" applyAlignment="1">
      <alignment horizontal="left"/>
    </xf>
    <xf numFmtId="181" fontId="3" fillId="0" borderId="25" xfId="0" applyNumberFormat="1" applyFont="1" applyFill="1" applyBorder="1" applyAlignment="1">
      <alignment horizontal="center"/>
    </xf>
    <xf numFmtId="181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81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left"/>
    </xf>
    <xf numFmtId="181" fontId="2" fillId="0" borderId="28" xfId="0" applyNumberFormat="1" applyFont="1" applyFill="1" applyBorder="1" applyAlignment="1">
      <alignment horizontal="left"/>
    </xf>
    <xf numFmtId="181" fontId="2" fillId="0" borderId="29" xfId="0" applyNumberFormat="1" applyFont="1" applyFill="1" applyBorder="1" applyAlignment="1">
      <alignment horizontal="left"/>
    </xf>
    <xf numFmtId="181" fontId="7" fillId="0" borderId="29" xfId="0" applyNumberFormat="1" applyFont="1" applyFill="1" applyBorder="1" applyAlignment="1">
      <alignment horizontal="left"/>
    </xf>
    <xf numFmtId="181" fontId="2" fillId="0" borderId="30" xfId="0" applyNumberFormat="1" applyFont="1" applyFill="1" applyBorder="1" applyAlignment="1">
      <alignment horizontal="left"/>
    </xf>
    <xf numFmtId="181" fontId="2" fillId="0" borderId="31" xfId="0" applyNumberFormat="1" applyFont="1" applyFill="1" applyBorder="1" applyAlignment="1">
      <alignment horizontal="left"/>
    </xf>
    <xf numFmtId="181" fontId="2" fillId="0" borderId="32" xfId="0" applyNumberFormat="1" applyFont="1" applyFill="1" applyBorder="1" applyAlignment="1">
      <alignment horizontal="left"/>
    </xf>
    <xf numFmtId="181" fontId="2" fillId="0" borderId="32" xfId="0" applyNumberFormat="1" applyFont="1" applyFill="1" applyBorder="1" applyAlignment="1">
      <alignment horizontal="center"/>
    </xf>
    <xf numFmtId="181" fontId="2" fillId="0" borderId="33" xfId="0" applyNumberFormat="1" applyFont="1" applyFill="1" applyBorder="1" applyAlignment="1">
      <alignment horizontal="left"/>
    </xf>
    <xf numFmtId="181" fontId="2" fillId="0" borderId="34" xfId="0" applyNumberFormat="1" applyFont="1" applyFill="1" applyBorder="1" applyAlignment="1">
      <alignment horizontal="left"/>
    </xf>
    <xf numFmtId="181" fontId="2" fillId="0" borderId="35" xfId="0" applyNumberFormat="1" applyFont="1" applyFill="1" applyBorder="1" applyAlignment="1">
      <alignment horizontal="left"/>
    </xf>
    <xf numFmtId="181" fontId="2" fillId="0" borderId="36" xfId="0" applyNumberFormat="1" applyFont="1" applyFill="1" applyBorder="1" applyAlignment="1">
      <alignment horizontal="left"/>
    </xf>
    <xf numFmtId="181" fontId="2" fillId="0" borderId="36" xfId="0" applyNumberFormat="1" applyFont="1" applyFill="1" applyBorder="1" applyAlignment="1">
      <alignment horizontal="center"/>
    </xf>
    <xf numFmtId="181" fontId="2" fillId="0" borderId="37" xfId="0" applyNumberFormat="1" applyFont="1" applyFill="1" applyBorder="1" applyAlignment="1">
      <alignment horizontal="left"/>
    </xf>
    <xf numFmtId="181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81" fontId="2" fillId="0" borderId="40" xfId="0" applyNumberFormat="1" applyFont="1" applyFill="1" applyBorder="1" applyAlignment="1">
      <alignment horizontal="left" vertical="center"/>
    </xf>
    <xf numFmtId="181" fontId="2" fillId="0" borderId="41" xfId="0" applyNumberFormat="1" applyFont="1" applyFill="1" applyBorder="1" applyAlignment="1">
      <alignment horizontal="left" vertical="center"/>
    </xf>
    <xf numFmtId="181" fontId="5" fillId="4" borderId="15" xfId="0" applyNumberFormat="1" applyFont="1" applyFill="1" applyBorder="1" applyAlignment="1">
      <alignment horizontal="center"/>
    </xf>
    <xf numFmtId="181" fontId="5" fillId="4" borderId="10" xfId="0" applyNumberFormat="1" applyFont="1" applyFill="1" applyBorder="1" applyAlignment="1">
      <alignment horizontal="center"/>
    </xf>
    <xf numFmtId="181" fontId="3" fillId="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87" fontId="5" fillId="0" borderId="15" xfId="0" applyNumberFormat="1" applyFont="1" applyFill="1" applyBorder="1" applyAlignment="1">
      <alignment horizontal="center"/>
    </xf>
    <xf numFmtId="187" fontId="3" fillId="0" borderId="15" xfId="0" applyNumberFormat="1" applyFont="1" applyFill="1" applyBorder="1" applyAlignment="1">
      <alignment horizontal="center"/>
    </xf>
    <xf numFmtId="187" fontId="3" fillId="4" borderId="15" xfId="0" applyNumberFormat="1" applyFont="1" applyFill="1" applyBorder="1" applyAlignment="1">
      <alignment horizontal="center"/>
    </xf>
    <xf numFmtId="187" fontId="3" fillId="0" borderId="42" xfId="0" applyNumberFormat="1" applyFont="1" applyFill="1" applyBorder="1" applyAlignment="1">
      <alignment horizontal="center"/>
    </xf>
    <xf numFmtId="187" fontId="0" fillId="0" borderId="43" xfId="0" applyNumberFormat="1" applyBorder="1" applyAlignment="1">
      <alignment horizontal="left"/>
    </xf>
    <xf numFmtId="187" fontId="0" fillId="0" borderId="44" xfId="0" applyNumberFormat="1" applyBorder="1" applyAlignment="1">
      <alignment horizontal="center"/>
    </xf>
    <xf numFmtId="187" fontId="0" fillId="0" borderId="15" xfId="0" applyNumberFormat="1" applyBorder="1" applyAlignment="1">
      <alignment horizontal="center"/>
    </xf>
    <xf numFmtId="187" fontId="0" fillId="0" borderId="45" xfId="0" applyNumberFormat="1" applyBorder="1" applyAlignment="1">
      <alignment horizontal="center"/>
    </xf>
    <xf numFmtId="187" fontId="0" fillId="0" borderId="46" xfId="0" applyNumberFormat="1" applyBorder="1" applyAlignment="1">
      <alignment horizontal="center"/>
    </xf>
    <xf numFmtId="187" fontId="0" fillId="0" borderId="43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47" xfId="0" applyNumberFormat="1" applyBorder="1" applyAlignment="1">
      <alignment horizontal="left"/>
    </xf>
    <xf numFmtId="187" fontId="0" fillId="0" borderId="20" xfId="0" applyNumberFormat="1" applyBorder="1" applyAlignment="1">
      <alignment horizontal="center"/>
    </xf>
    <xf numFmtId="187" fontId="0" fillId="0" borderId="48" xfId="0" applyNumberFormat="1" applyBorder="1" applyAlignment="1">
      <alignment horizontal="center"/>
    </xf>
    <xf numFmtId="187" fontId="0" fillId="0" borderId="49" xfId="0" applyNumberFormat="1" applyBorder="1" applyAlignment="1">
      <alignment horizontal="left"/>
    </xf>
    <xf numFmtId="187" fontId="0" fillId="0" borderId="14" xfId="0" applyNumberFormat="1" applyBorder="1" applyAlignment="1">
      <alignment horizontal="center"/>
    </xf>
    <xf numFmtId="187" fontId="5" fillId="0" borderId="14" xfId="0" applyNumberFormat="1" applyFont="1" applyFill="1" applyBorder="1" applyAlignment="1">
      <alignment horizontal="center"/>
    </xf>
    <xf numFmtId="187" fontId="3" fillId="0" borderId="14" xfId="0" applyNumberFormat="1" applyFont="1" applyFill="1" applyBorder="1" applyAlignment="1">
      <alignment horizontal="center"/>
    </xf>
    <xf numFmtId="187" fontId="3" fillId="4" borderId="14" xfId="0" applyNumberFormat="1" applyFont="1" applyFill="1" applyBorder="1" applyAlignment="1">
      <alignment horizontal="center"/>
    </xf>
    <xf numFmtId="187" fontId="3" fillId="3" borderId="14" xfId="0" applyNumberFormat="1" applyFont="1" applyFill="1" applyBorder="1" applyAlignment="1">
      <alignment horizontal="center"/>
    </xf>
    <xf numFmtId="187" fontId="3" fillId="0" borderId="50" xfId="0" applyNumberFormat="1" applyFont="1" applyFill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87" fontId="5" fillId="0" borderId="55" xfId="0" applyNumberFormat="1" applyFont="1" applyFill="1" applyBorder="1" applyAlignment="1">
      <alignment horizontal="center"/>
    </xf>
    <xf numFmtId="187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23" xfId="0" applyNumberFormat="1" applyBorder="1" applyAlignment="1">
      <alignment horizontal="center"/>
    </xf>
    <xf numFmtId="187" fontId="0" fillId="0" borderId="59" xfId="0" applyNumberFormat="1" applyBorder="1" applyAlignment="1">
      <alignment horizontal="center"/>
    </xf>
    <xf numFmtId="187" fontId="5" fillId="0" borderId="60" xfId="0" applyNumberFormat="1" applyFont="1" applyFill="1" applyBorder="1" applyAlignment="1">
      <alignment horizontal="center"/>
    </xf>
    <xf numFmtId="187" fontId="3" fillId="4" borderId="20" xfId="0" applyNumberFormat="1" applyFont="1" applyFill="1" applyBorder="1" applyAlignment="1">
      <alignment horizontal="center"/>
    </xf>
    <xf numFmtId="187" fontId="3" fillId="0" borderId="20" xfId="0" applyNumberFormat="1" applyFont="1" applyFill="1" applyBorder="1" applyAlignment="1">
      <alignment horizontal="center"/>
    </xf>
    <xf numFmtId="187" fontId="5" fillId="4" borderId="20" xfId="0" applyNumberFormat="1" applyFont="1" applyFill="1" applyBorder="1" applyAlignment="1">
      <alignment horizontal="center"/>
    </xf>
    <xf numFmtId="187" fontId="5" fillId="0" borderId="20" xfId="0" applyNumberFormat="1" applyFont="1" applyFill="1" applyBorder="1" applyAlignment="1">
      <alignment horizontal="center"/>
    </xf>
    <xf numFmtId="187" fontId="3" fillId="3" borderId="20" xfId="0" applyNumberFormat="1" applyFont="1" applyFill="1" applyBorder="1" applyAlignment="1">
      <alignment horizontal="center"/>
    </xf>
    <xf numFmtId="187" fontId="3" fillId="0" borderId="61" xfId="0" applyNumberFormat="1" applyFont="1" applyFill="1" applyBorder="1" applyAlignment="1">
      <alignment horizontal="center"/>
    </xf>
    <xf numFmtId="187" fontId="0" fillId="0" borderId="62" xfId="0" applyNumberFormat="1" applyBorder="1" applyAlignment="1">
      <alignment horizontal="center"/>
    </xf>
    <xf numFmtId="187" fontId="0" fillId="0" borderId="63" xfId="0" applyNumberFormat="1" applyBorder="1" applyAlignment="1">
      <alignment horizontal="center"/>
    </xf>
    <xf numFmtId="187" fontId="0" fillId="0" borderId="64" xfId="0" applyNumberFormat="1" applyBorder="1" applyAlignment="1">
      <alignment horizontal="center"/>
    </xf>
    <xf numFmtId="187" fontId="10" fillId="0" borderId="64" xfId="0" applyNumberFormat="1" applyFont="1" applyBorder="1" applyAlignment="1">
      <alignment horizontal="center"/>
    </xf>
    <xf numFmtId="187" fontId="0" fillId="0" borderId="65" xfId="0" applyNumberFormat="1" applyBorder="1" applyAlignment="1">
      <alignment horizontal="center"/>
    </xf>
    <xf numFmtId="187" fontId="11" fillId="0" borderId="66" xfId="0" applyNumberFormat="1" applyFont="1" applyBorder="1" applyAlignment="1">
      <alignment horizontal="center"/>
    </xf>
    <xf numFmtId="187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0" fontId="1" fillId="0" borderId="0" xfId="19" applyFont="1">
      <alignment/>
      <protection/>
    </xf>
    <xf numFmtId="181" fontId="3" fillId="0" borderId="59" xfId="0" applyNumberFormat="1" applyFont="1" applyFill="1" applyBorder="1" applyAlignment="1">
      <alignment horizontal="center"/>
    </xf>
    <xf numFmtId="181" fontId="3" fillId="0" borderId="58" xfId="0" applyNumberFormat="1" applyFont="1" applyFill="1" applyBorder="1" applyAlignment="1">
      <alignment horizontal="center"/>
    </xf>
    <xf numFmtId="181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17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Lmag_hcmqap!$B$4:$F$4</c:f>
              <c:numCache>
                <c:ptCount val="5"/>
                <c:pt idx="0">
                  <c:v>0.48433185000000006</c:v>
                </c:pt>
                <c:pt idx="1">
                  <c:v>0.29708458000000004</c:v>
                </c:pt>
                <c:pt idx="2">
                  <c:v>-0.33072639</c:v>
                </c:pt>
                <c:pt idx="3">
                  <c:v>-0.77638847</c:v>
                </c:pt>
                <c:pt idx="4">
                  <c:v>-3.1087073000000003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Lmag_hcmqap!$B$17:$F$17</c:f>
              <c:numCache>
                <c:ptCount val="5"/>
                <c:pt idx="0">
                  <c:v>0.22521489600000005</c:v>
                </c:pt>
                <c:pt idx="1">
                  <c:v>-0.00805245</c:v>
                </c:pt>
                <c:pt idx="2">
                  <c:v>0.3668069</c:v>
                </c:pt>
                <c:pt idx="3">
                  <c:v>0.1866555</c:v>
                </c:pt>
                <c:pt idx="4">
                  <c:v>7.1333662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Lmag_hcmqap!$B$7:$F$7</c:f>
              <c:numCache>
                <c:ptCount val="5"/>
                <c:pt idx="0">
                  <c:v>4.222645999999999</c:v>
                </c:pt>
                <c:pt idx="1">
                  <c:v>5.3414454000000005</c:v>
                </c:pt>
                <c:pt idx="2">
                  <c:v>5.4858123</c:v>
                </c:pt>
                <c:pt idx="3">
                  <c:v>5.373289600000001</c:v>
                </c:pt>
                <c:pt idx="4">
                  <c:v>15.488092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00FF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Lmag_hcmqap!$B$20:$F$20</c:f>
              <c:numCache>
                <c:ptCount val="5"/>
                <c:pt idx="0">
                  <c:v>0.20648591499999996</c:v>
                </c:pt>
                <c:pt idx="1">
                  <c:v>-0.045274929000000005</c:v>
                </c:pt>
                <c:pt idx="2">
                  <c:v>-0.12585005300000002</c:v>
                </c:pt>
                <c:pt idx="3">
                  <c:v>0.0889705273</c:v>
                </c:pt>
                <c:pt idx="4">
                  <c:v>1.7145589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Lmag_hcmqap!$B$11:$F$11</c:f>
              <c:numCache>
                <c:ptCount val="5"/>
                <c:pt idx="0">
                  <c:v>-0.40431591000000006</c:v>
                </c:pt>
                <c:pt idx="1">
                  <c:v>-0.086434435</c:v>
                </c:pt>
                <c:pt idx="2">
                  <c:v>-0.08637576100000001</c:v>
                </c:pt>
                <c:pt idx="3">
                  <c:v>-0.112611368</c:v>
                </c:pt>
                <c:pt idx="4">
                  <c:v>-0.4166726100000001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Lmag_hcmqap!$B$24:$F$24</c:f>
              <c:numCache>
                <c:ptCount val="5"/>
                <c:pt idx="0">
                  <c:v>-0.00888736825</c:v>
                </c:pt>
                <c:pt idx="1">
                  <c:v>0.023257337999999995</c:v>
                </c:pt>
                <c:pt idx="2">
                  <c:v>-0.0050021832</c:v>
                </c:pt>
                <c:pt idx="3">
                  <c:v>0.03383332000000001</c:v>
                </c:pt>
                <c:pt idx="4">
                  <c:v>0.22824044</c:v>
                </c:pt>
              </c:numCache>
            </c:numRef>
          </c:val>
          <c:smooth val="0"/>
        </c:ser>
        <c:marker val="1"/>
        <c:axId val="6938995"/>
        <c:axId val="62450956"/>
      </c:lineChart>
      <c:catAx>
        <c:axId val="69389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2450956"/>
        <c:crosses val="autoZero"/>
        <c:auto val="1"/>
        <c:lblOffset val="100"/>
        <c:noMultiLvlLbl val="0"/>
      </c:catAx>
      <c:valAx>
        <c:axId val="62450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693899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114300</xdr:rowOff>
    </xdr:from>
    <xdr:to>
      <xdr:col>6</xdr:col>
      <xdr:colOff>485775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57150" y="5591175"/>
        <a:ext cx="51149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1</v>
      </c>
      <c r="F2" s="26"/>
      <c r="G2" s="26" t="s">
        <v>68</v>
      </c>
      <c r="H2" s="25">
        <v>1356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1356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76</v>
      </c>
      <c r="H4" s="25">
        <v>1356</v>
      </c>
      <c r="I4" s="27" t="s">
        <v>77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78</v>
      </c>
      <c r="H5" s="25">
        <v>1356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5</v>
      </c>
      <c r="F6" s="26"/>
      <c r="G6" s="26" t="s">
        <v>81</v>
      </c>
      <c r="H6" s="25">
        <v>1356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8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3.251094452E-05</v>
      </c>
      <c r="L2" s="54">
        <v>1.0387154878768768E-07</v>
      </c>
      <c r="M2" s="54">
        <v>0.00010546790499999997</v>
      </c>
      <c r="N2" s="55">
        <v>1.683869327922913E-07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-3.271594748E-05</v>
      </c>
      <c r="L3" s="54">
        <v>3.7953730667071226E-08</v>
      </c>
      <c r="M3" s="54">
        <v>1.3691435000000002E-05</v>
      </c>
      <c r="N3" s="55">
        <v>1.0124576401022526E-07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-0.002244579886494088</v>
      </c>
      <c r="L4" s="54">
        <v>1.8690193029418552E-05</v>
      </c>
      <c r="M4" s="54">
        <v>6.16803048163737E-08</v>
      </c>
      <c r="N4" s="55">
        <v>-4.1633094</v>
      </c>
    </row>
    <row r="5" spans="1:14" ht="15" customHeight="1" thickBot="1">
      <c r="A5" t="s">
        <v>18</v>
      </c>
      <c r="B5" s="58">
        <v>37648.659791666665</v>
      </c>
      <c r="D5" s="59"/>
      <c r="E5" s="60" t="s">
        <v>59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1356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73" t="s">
        <v>24</v>
      </c>
      <c r="J7" s="174"/>
      <c r="K7" s="173" t="s">
        <v>25</v>
      </c>
      <c r="L7" s="174"/>
      <c r="M7" s="173" t="s">
        <v>26</v>
      </c>
      <c r="N7" s="175"/>
    </row>
    <row r="8" spans="1:14" ht="15" customHeight="1">
      <c r="A8" s="56" t="s">
        <v>27</v>
      </c>
      <c r="B8" s="71" t="s">
        <v>28</v>
      </c>
      <c r="D8" s="76">
        <v>0.48433185000000006</v>
      </c>
      <c r="E8" s="77">
        <v>0.015225087875375977</v>
      </c>
      <c r="F8" s="77">
        <v>0.22521489600000005</v>
      </c>
      <c r="G8" s="77">
        <v>0.015784365481902964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0.339973583</v>
      </c>
      <c r="E9" s="79">
        <v>0.014933257145173191</v>
      </c>
      <c r="F9" s="79">
        <v>2.1474705</v>
      </c>
      <c r="G9" s="79">
        <v>0.02428519811120171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-0.64838912</v>
      </c>
      <c r="E10" s="79">
        <v>0.008925309826529877</v>
      </c>
      <c r="F10" s="79">
        <v>-1.9601403000000002</v>
      </c>
      <c r="G10" s="79">
        <v>0.007791736421341571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1</v>
      </c>
      <c r="D11" s="76">
        <v>4.222645999999999</v>
      </c>
      <c r="E11" s="77">
        <v>0.00829795224155414</v>
      </c>
      <c r="F11" s="77">
        <v>0.20648591499999996</v>
      </c>
      <c r="G11" s="77">
        <v>0.011891682408592992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-0.22058034</v>
      </c>
      <c r="E12" s="79">
        <v>0.007015588693715822</v>
      </c>
      <c r="F12" s="79">
        <v>-0.014880095</v>
      </c>
      <c r="G12" s="79">
        <v>0.0038531990560078814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20.965577</v>
      </c>
      <c r="D13" s="82">
        <v>0.10486911800000001</v>
      </c>
      <c r="E13" s="79">
        <v>0.005146835690494049</v>
      </c>
      <c r="F13" s="79">
        <v>0.027557320900000005</v>
      </c>
      <c r="G13" s="79">
        <v>0.007016426816023079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0.0713666701</v>
      </c>
      <c r="E14" s="79">
        <v>0.004184867608114802</v>
      </c>
      <c r="F14" s="85">
        <v>0.40479424999999997</v>
      </c>
      <c r="G14" s="79">
        <v>0.005235353882692783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-0.40431591000000006</v>
      </c>
      <c r="E15" s="77">
        <v>0.005633030084719747</v>
      </c>
      <c r="F15" s="77">
        <v>-0.00888736825</v>
      </c>
      <c r="G15" s="77">
        <v>0.0036954815936269306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12.5055</v>
      </c>
      <c r="D16" s="82">
        <v>-0.042661559</v>
      </c>
      <c r="E16" s="79">
        <v>0.003074169292399788</v>
      </c>
      <c r="F16" s="79">
        <v>-0.010272378000000002</v>
      </c>
      <c r="G16" s="79">
        <v>0.002832298241105775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-0.3709999918937683</v>
      </c>
      <c r="D17" s="82">
        <v>0.11230401600000002</v>
      </c>
      <c r="E17" s="79">
        <v>0.0051694638493588844</v>
      </c>
      <c r="F17" s="79">
        <v>-0.072590144</v>
      </c>
      <c r="G17" s="79">
        <v>0.003091710991738208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35.095001220703125</v>
      </c>
      <c r="D18" s="82">
        <v>0.045200412999999995</v>
      </c>
      <c r="E18" s="79">
        <v>0.001495951781273823</v>
      </c>
      <c r="F18" s="86">
        <v>0.16422087999999999</v>
      </c>
      <c r="G18" s="79">
        <v>0.002274039589057969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-0.4300000071525574</v>
      </c>
      <c r="D19" s="87">
        <v>-0.19199026000000002</v>
      </c>
      <c r="E19" s="79">
        <v>0.0023402714196007657</v>
      </c>
      <c r="F19" s="79">
        <v>-0.0097082704</v>
      </c>
      <c r="G19" s="79">
        <v>0.0017235263092745417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8">
        <v>0.2395738</v>
      </c>
      <c r="D20" s="89">
        <v>-0.0010096033</v>
      </c>
      <c r="E20" s="90">
        <v>0.0009331318584140096</v>
      </c>
      <c r="F20" s="90">
        <v>-0.0040152587</v>
      </c>
      <c r="G20" s="90">
        <v>0.0012425342322631848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0.8007822000000001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-0.23854025891348013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48</v>
      </c>
      <c r="F25" s="102"/>
      <c r="G25" s="103"/>
      <c r="H25" s="104">
        <v>-2.2446577</v>
      </c>
      <c r="I25" s="102" t="s">
        <v>49</v>
      </c>
      <c r="J25" s="103"/>
      <c r="K25" s="102"/>
      <c r="L25" s="105">
        <v>4.227691530186347</v>
      </c>
    </row>
    <row r="26" spans="1:12" ht="18" customHeight="1" thickBot="1">
      <c r="A26" s="56" t="s">
        <v>50</v>
      </c>
      <c r="B26" s="57" t="s">
        <v>51</v>
      </c>
      <c r="E26" s="106" t="s">
        <v>52</v>
      </c>
      <c r="F26" s="107"/>
      <c r="G26" s="108"/>
      <c r="H26" s="109">
        <v>0.5341339628826399</v>
      </c>
      <c r="I26" s="107" t="s">
        <v>53</v>
      </c>
      <c r="J26" s="108"/>
      <c r="K26" s="107"/>
      <c r="L26" s="110">
        <v>0.40441357592635196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HCMQAP017_003_pos1_aper2res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2.62420981E-05</v>
      </c>
      <c r="L2" s="54">
        <v>6.275900112775289E-08</v>
      </c>
      <c r="M2" s="54">
        <v>0.00017408631</v>
      </c>
      <c r="N2" s="55">
        <v>1.6327364880921666E-07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-3.0003935899999996E-05</v>
      </c>
      <c r="L3" s="54">
        <v>1.1167321817509085E-07</v>
      </c>
      <c r="M3" s="54">
        <v>1.153649E-05</v>
      </c>
      <c r="N3" s="55">
        <v>1.8006110185157551E-07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-0.0037568508117012556</v>
      </c>
      <c r="L4" s="54">
        <v>5.011090544595345E-05</v>
      </c>
      <c r="M4" s="54">
        <v>2.97271396729E-08</v>
      </c>
      <c r="N4" s="55">
        <v>-6.6688746</v>
      </c>
    </row>
    <row r="5" spans="1:14" ht="15" customHeight="1" thickBot="1">
      <c r="A5" t="s">
        <v>18</v>
      </c>
      <c r="B5" s="58">
        <v>37648.664502314816</v>
      </c>
      <c r="D5" s="59"/>
      <c r="E5" s="60" t="s">
        <v>72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1356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73" t="s">
        <v>24</v>
      </c>
      <c r="J7" s="174"/>
      <c r="K7" s="173" t="s">
        <v>25</v>
      </c>
      <c r="L7" s="174"/>
      <c r="M7" s="173" t="s">
        <v>26</v>
      </c>
      <c r="N7" s="175"/>
    </row>
    <row r="8" spans="1:14" ht="15" customHeight="1">
      <c r="A8" s="56" t="s">
        <v>27</v>
      </c>
      <c r="B8" s="71" t="s">
        <v>28</v>
      </c>
      <c r="D8" s="76">
        <v>0.29708458000000004</v>
      </c>
      <c r="E8" s="77">
        <v>0.009220430057138383</v>
      </c>
      <c r="F8" s="77">
        <v>-0.00805245</v>
      </c>
      <c r="G8" s="77">
        <v>0.007386269919654985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-0.35406663</v>
      </c>
      <c r="E9" s="79">
        <v>0.018304076880743383</v>
      </c>
      <c r="F9" s="79">
        <v>1.1499044</v>
      </c>
      <c r="G9" s="79">
        <v>0.009054618823568488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-0.3506408408</v>
      </c>
      <c r="E10" s="79">
        <v>0.0030963701862076554</v>
      </c>
      <c r="F10" s="86">
        <v>-2.5876399</v>
      </c>
      <c r="G10" s="79">
        <v>0.012593050029262911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2</v>
      </c>
      <c r="D11" s="76">
        <v>5.3414454000000005</v>
      </c>
      <c r="E11" s="77">
        <v>0.004085643038084171</v>
      </c>
      <c r="F11" s="77">
        <v>-0.045274929000000005</v>
      </c>
      <c r="G11" s="77">
        <v>0.00339811259125624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0.13850447000000002</v>
      </c>
      <c r="E12" s="79">
        <v>0.005676808742383068</v>
      </c>
      <c r="F12" s="79">
        <v>-0.07941299909999999</v>
      </c>
      <c r="G12" s="79">
        <v>0.0024263355512051214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21.00525</v>
      </c>
      <c r="D13" s="82">
        <v>0.075862293</v>
      </c>
      <c r="E13" s="79">
        <v>0.002759769789568805</v>
      </c>
      <c r="F13" s="79">
        <v>0.17054651999999998</v>
      </c>
      <c r="G13" s="79">
        <v>0.0062489850513985515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-0.0019020339999999997</v>
      </c>
      <c r="E14" s="79">
        <v>0.002076065477675018</v>
      </c>
      <c r="F14" s="79">
        <v>0.111533543</v>
      </c>
      <c r="G14" s="79">
        <v>0.0028368966938657875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-0.086434435</v>
      </c>
      <c r="E15" s="77">
        <v>0.0030391785571597667</v>
      </c>
      <c r="F15" s="77">
        <v>0.023257337999999995</v>
      </c>
      <c r="G15" s="77">
        <v>0.0012389029369269308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12.5055</v>
      </c>
      <c r="D16" s="82">
        <v>0.005244576599999999</v>
      </c>
      <c r="E16" s="79">
        <v>0.0035244072672154323</v>
      </c>
      <c r="F16" s="79">
        <v>-0.0255191546</v>
      </c>
      <c r="G16" s="79">
        <v>0.0024224258072508237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0.41999998688697815</v>
      </c>
      <c r="D17" s="82">
        <v>0.10808404199999999</v>
      </c>
      <c r="E17" s="79">
        <v>0.001417914598859111</v>
      </c>
      <c r="F17" s="79">
        <v>-0.026437024799999997</v>
      </c>
      <c r="G17" s="79">
        <v>0.0023207892292007775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8.647000312805176</v>
      </c>
      <c r="D18" s="82">
        <v>0.02534723</v>
      </c>
      <c r="E18" s="79">
        <v>0.00232873120739814</v>
      </c>
      <c r="F18" s="79">
        <v>0.14771947000000002</v>
      </c>
      <c r="G18" s="79">
        <v>0.0015703545241756765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0.2240000069141388</v>
      </c>
      <c r="D19" s="87">
        <v>-0.18254653</v>
      </c>
      <c r="E19" s="79">
        <v>0.0017580406612469244</v>
      </c>
      <c r="F19" s="79">
        <v>0.0046615347</v>
      </c>
      <c r="G19" s="79">
        <v>0.0007376777821729858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8">
        <v>0.108232</v>
      </c>
      <c r="D20" s="89">
        <v>0.0007819085080000001</v>
      </c>
      <c r="E20" s="90">
        <v>0.0010070245533775354</v>
      </c>
      <c r="F20" s="90">
        <v>0.00012587320000000007</v>
      </c>
      <c r="G20" s="90">
        <v>0.0006329888484671432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0.7891977000000001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-0.3820986914269526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48</v>
      </c>
      <c r="F25" s="102"/>
      <c r="G25" s="103"/>
      <c r="H25" s="104">
        <v>-3.7571849999999998</v>
      </c>
      <c r="I25" s="102" t="s">
        <v>49</v>
      </c>
      <c r="J25" s="103"/>
      <c r="K25" s="102"/>
      <c r="L25" s="105">
        <v>5.3416372752534516</v>
      </c>
    </row>
    <row r="26" spans="1:12" ht="18" customHeight="1" thickBot="1">
      <c r="A26" s="56" t="s">
        <v>50</v>
      </c>
      <c r="B26" s="57" t="s">
        <v>51</v>
      </c>
      <c r="E26" s="106" t="s">
        <v>52</v>
      </c>
      <c r="F26" s="107"/>
      <c r="G26" s="108"/>
      <c r="H26" s="109">
        <v>0.2971936904188562</v>
      </c>
      <c r="I26" s="107" t="s">
        <v>53</v>
      </c>
      <c r="J26" s="108"/>
      <c r="K26" s="107"/>
      <c r="L26" s="110">
        <v>0.08950874440307757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HCMQAP017_003_pos2_aper2res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5.102573E-05</v>
      </c>
      <c r="L2" s="54">
        <v>1.1596811471379944E-07</v>
      </c>
      <c r="M2" s="54">
        <v>0.00013725914</v>
      </c>
      <c r="N2" s="55">
        <v>9.000601871929488E-08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-2.8981436E-05</v>
      </c>
      <c r="L3" s="54">
        <v>2.0593963182019353E-07</v>
      </c>
      <c r="M3" s="54">
        <v>1.0757979999999998E-05</v>
      </c>
      <c r="N3" s="55">
        <v>4.254924911237951E-08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-0.0037558526295762736</v>
      </c>
      <c r="L4" s="54">
        <v>6.138934788285977E-05</v>
      </c>
      <c r="M4" s="54">
        <v>5.64310012821212E-08</v>
      </c>
      <c r="N4" s="55">
        <v>-8.171763899999998</v>
      </c>
    </row>
    <row r="5" spans="1:14" ht="15" customHeight="1" thickBot="1">
      <c r="A5" t="s">
        <v>18</v>
      </c>
      <c r="B5" s="58">
        <v>37648.66903935185</v>
      </c>
      <c r="D5" s="59"/>
      <c r="E5" s="60" t="s">
        <v>75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1356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73" t="s">
        <v>24</v>
      </c>
      <c r="J7" s="174"/>
      <c r="K7" s="173" t="s">
        <v>25</v>
      </c>
      <c r="L7" s="174"/>
      <c r="M7" s="173" t="s">
        <v>26</v>
      </c>
      <c r="N7" s="175"/>
    </row>
    <row r="8" spans="1:14" ht="15" customHeight="1">
      <c r="A8" s="56" t="s">
        <v>27</v>
      </c>
      <c r="B8" s="71" t="s">
        <v>28</v>
      </c>
      <c r="D8" s="76">
        <v>-0.33072639</v>
      </c>
      <c r="E8" s="77">
        <v>0.007970637058066235</v>
      </c>
      <c r="F8" s="77">
        <v>0.3668069</v>
      </c>
      <c r="G8" s="77">
        <v>0.011870266806310738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-0.280865262</v>
      </c>
      <c r="E9" s="79">
        <v>0.010944326662137563</v>
      </c>
      <c r="F9" s="79">
        <v>-0.34266089999999993</v>
      </c>
      <c r="G9" s="79">
        <v>0.010046772253716283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-0.6977240499999999</v>
      </c>
      <c r="E10" s="79">
        <v>0.006317808255008587</v>
      </c>
      <c r="F10" s="79">
        <v>-2.2402715</v>
      </c>
      <c r="G10" s="79">
        <v>0.004583286353610613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3</v>
      </c>
      <c r="D11" s="76">
        <v>5.4858123</v>
      </c>
      <c r="E11" s="77">
        <v>0.005833848837822437</v>
      </c>
      <c r="F11" s="77">
        <v>-0.12585005300000002</v>
      </c>
      <c r="G11" s="77">
        <v>0.005792997864201638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-0.061752351999999996</v>
      </c>
      <c r="E12" s="79">
        <v>0.00568227710430127</v>
      </c>
      <c r="F12" s="79">
        <v>-0.08522343539999999</v>
      </c>
      <c r="G12" s="79">
        <v>0.007127601843980456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21.084595</v>
      </c>
      <c r="D13" s="82">
        <v>0.05766228600000001</v>
      </c>
      <c r="E13" s="79">
        <v>0.003668210009561056</v>
      </c>
      <c r="F13" s="79">
        <v>0.0148858728</v>
      </c>
      <c r="G13" s="79">
        <v>0.0036794759578137326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-0.011384195</v>
      </c>
      <c r="E14" s="79">
        <v>0.0024402433737600836</v>
      </c>
      <c r="F14" s="79">
        <v>0.018577774</v>
      </c>
      <c r="G14" s="79">
        <v>0.004418305422475236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-0.08637576100000001</v>
      </c>
      <c r="E15" s="77">
        <v>0.0010118308741741567</v>
      </c>
      <c r="F15" s="77">
        <v>-0.0050021832</v>
      </c>
      <c r="G15" s="77">
        <v>0.00234973283682885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12.5055</v>
      </c>
      <c r="D16" s="82">
        <v>-0.005631955699999999</v>
      </c>
      <c r="E16" s="79">
        <v>0.0012946241406525936</v>
      </c>
      <c r="F16" s="79">
        <v>-0.0211744913</v>
      </c>
      <c r="G16" s="79">
        <v>0.0008622563113852567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-0.34299999475479126</v>
      </c>
      <c r="D17" s="82">
        <v>0.057694939</v>
      </c>
      <c r="E17" s="79">
        <v>0.0025089200169842894</v>
      </c>
      <c r="F17" s="79">
        <v>-0.040006190999999997</v>
      </c>
      <c r="G17" s="79">
        <v>0.001991721428908733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37.130001068115234</v>
      </c>
      <c r="D18" s="82">
        <v>0.045206360999999994</v>
      </c>
      <c r="E18" s="79">
        <v>0.0006528626825714059</v>
      </c>
      <c r="F18" s="79">
        <v>0.10876665</v>
      </c>
      <c r="G18" s="79">
        <v>0.0013865884245141886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-0.4320000112056732</v>
      </c>
      <c r="D19" s="87">
        <v>-0.18275619</v>
      </c>
      <c r="E19" s="79">
        <v>0.0008155132196381472</v>
      </c>
      <c r="F19" s="79">
        <v>0.0044898307</v>
      </c>
      <c r="G19" s="79">
        <v>0.0012824776739610165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8">
        <v>0.22074090000000002</v>
      </c>
      <c r="D20" s="89">
        <v>-0.0014000693600000002</v>
      </c>
      <c r="E20" s="90">
        <v>0.0008512324925904146</v>
      </c>
      <c r="F20" s="90">
        <v>-0.00023434010000000007</v>
      </c>
      <c r="G20" s="90">
        <v>0.0004831129025726182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0.6248799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-0.46820797812572607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48</v>
      </c>
      <c r="F25" s="102"/>
      <c r="G25" s="103"/>
      <c r="H25" s="104">
        <v>-3.7563543000000004</v>
      </c>
      <c r="I25" s="102" t="s">
        <v>49</v>
      </c>
      <c r="J25" s="103"/>
      <c r="K25" s="102"/>
      <c r="L25" s="105">
        <v>5.487255673528562</v>
      </c>
    </row>
    <row r="26" spans="1:12" ht="18" customHeight="1" thickBot="1">
      <c r="A26" s="56" t="s">
        <v>50</v>
      </c>
      <c r="B26" s="57" t="s">
        <v>51</v>
      </c>
      <c r="E26" s="106" t="s">
        <v>52</v>
      </c>
      <c r="F26" s="107"/>
      <c r="G26" s="108"/>
      <c r="H26" s="109">
        <v>0.49388991377638203</v>
      </c>
      <c r="I26" s="107" t="s">
        <v>53</v>
      </c>
      <c r="J26" s="108"/>
      <c r="K26" s="107"/>
      <c r="L26" s="110">
        <v>0.0865204826910685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HCMQAP017_003_pos3_aper2res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5.6989287E-05</v>
      </c>
      <c r="L2" s="54">
        <v>1.4189526970913774E-07</v>
      </c>
      <c r="M2" s="54">
        <v>0.00019301204</v>
      </c>
      <c r="N2" s="55">
        <v>6.891417406387981E-08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-2.9565872999999997E-05</v>
      </c>
      <c r="L3" s="54">
        <v>1.5146467365684874E-07</v>
      </c>
      <c r="M3" s="54">
        <v>1.1106259999999998E-05</v>
      </c>
      <c r="N3" s="55">
        <v>1.0250804553792708E-07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-0.003755251721400128</v>
      </c>
      <c r="L4" s="54">
        <v>6.775420664272626E-05</v>
      </c>
      <c r="M4" s="54">
        <v>5.153875513519129E-08</v>
      </c>
      <c r="N4" s="55">
        <v>-9.0202816</v>
      </c>
    </row>
    <row r="5" spans="1:14" ht="15" customHeight="1" thickBot="1">
      <c r="A5" t="s">
        <v>18</v>
      </c>
      <c r="B5" s="58">
        <v>37648.67364583333</v>
      </c>
      <c r="D5" s="59"/>
      <c r="E5" s="60" t="s">
        <v>75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1356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73" t="s">
        <v>24</v>
      </c>
      <c r="J7" s="174"/>
      <c r="K7" s="173" t="s">
        <v>25</v>
      </c>
      <c r="L7" s="174"/>
      <c r="M7" s="173" t="s">
        <v>26</v>
      </c>
      <c r="N7" s="175"/>
    </row>
    <row r="8" spans="1:14" ht="15" customHeight="1">
      <c r="A8" s="56" t="s">
        <v>27</v>
      </c>
      <c r="B8" s="71" t="s">
        <v>28</v>
      </c>
      <c r="D8" s="76">
        <v>-0.77638847</v>
      </c>
      <c r="E8" s="77">
        <v>0.014123354205307633</v>
      </c>
      <c r="F8" s="77">
        <v>0.1866555</v>
      </c>
      <c r="G8" s="77">
        <v>0.01760490377327223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-0.7189951399999999</v>
      </c>
      <c r="E9" s="79">
        <v>0.012853465119318163</v>
      </c>
      <c r="F9" s="79">
        <v>-0.74241411</v>
      </c>
      <c r="G9" s="79">
        <v>0.015055792492042004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-1.0130723700000002</v>
      </c>
      <c r="E10" s="79">
        <v>0.003225165209947256</v>
      </c>
      <c r="F10" s="86">
        <v>-2.9436994</v>
      </c>
      <c r="G10" s="79">
        <v>0.010973704271638839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4</v>
      </c>
      <c r="D11" s="76">
        <v>5.373289600000001</v>
      </c>
      <c r="E11" s="77">
        <v>0.0035425471801378457</v>
      </c>
      <c r="F11" s="77">
        <v>0.0889705273</v>
      </c>
      <c r="G11" s="77">
        <v>0.0027219142588031965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-0.22464531999999998</v>
      </c>
      <c r="E12" s="79">
        <v>0.004326681997049301</v>
      </c>
      <c r="F12" s="79">
        <v>-0.012359723999999999</v>
      </c>
      <c r="G12" s="79">
        <v>0.002558143926370058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21.185303</v>
      </c>
      <c r="D13" s="82">
        <v>0.013737679</v>
      </c>
      <c r="E13" s="79">
        <v>0.0029884509858660877</v>
      </c>
      <c r="F13" s="79">
        <v>-0.13163005</v>
      </c>
      <c r="G13" s="79">
        <v>0.0026290432668554012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-0.0030256669999999992</v>
      </c>
      <c r="E14" s="79">
        <v>0.0039152844855369065</v>
      </c>
      <c r="F14" s="79">
        <v>0.08112202800000001</v>
      </c>
      <c r="G14" s="79">
        <v>0.0027023242924906787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-0.112611368</v>
      </c>
      <c r="E15" s="77">
        <v>0.0020691481395777676</v>
      </c>
      <c r="F15" s="77">
        <v>0.03383332000000001</v>
      </c>
      <c r="G15" s="77">
        <v>0.0018577121270367584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12.5055</v>
      </c>
      <c r="D16" s="82">
        <v>-0.059065336999999996</v>
      </c>
      <c r="E16" s="79">
        <v>0.00034325803186048445</v>
      </c>
      <c r="F16" s="79">
        <v>-0.037539080999999995</v>
      </c>
      <c r="G16" s="79">
        <v>0.002113765059069813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0.44200000166893005</v>
      </c>
      <c r="D17" s="82">
        <v>0.11862323000000001</v>
      </c>
      <c r="E17" s="79">
        <v>0.0025091467574848442</v>
      </c>
      <c r="F17" s="79">
        <v>-0.091433747</v>
      </c>
      <c r="G17" s="79">
        <v>0.002465381741722335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7.629000186920166</v>
      </c>
      <c r="D18" s="82">
        <v>0.050915866</v>
      </c>
      <c r="E18" s="79">
        <v>0.0007935190425712287</v>
      </c>
      <c r="F18" s="86">
        <v>0.15364772</v>
      </c>
      <c r="G18" s="79">
        <v>0.0012239400318646801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0.33899998664855957</v>
      </c>
      <c r="D19" s="87">
        <v>-0.17742968</v>
      </c>
      <c r="E19" s="79">
        <v>0.0013546891117891726</v>
      </c>
      <c r="F19" s="79">
        <v>0.004845289399999999</v>
      </c>
      <c r="G19" s="79">
        <v>0.0009481330235523627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8">
        <v>0.24214629999999998</v>
      </c>
      <c r="D20" s="89">
        <v>-0.00030637027</v>
      </c>
      <c r="E20" s="90">
        <v>0.0012003739642726446</v>
      </c>
      <c r="F20" s="90">
        <v>-0.0007004978</v>
      </c>
      <c r="G20" s="90">
        <v>0.0009791427895745645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0.8781300000000002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-0.5168245022424951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48</v>
      </c>
      <c r="F25" s="102"/>
      <c r="G25" s="103"/>
      <c r="H25" s="104">
        <v>-3.7558628999999994</v>
      </c>
      <c r="I25" s="102" t="s">
        <v>49</v>
      </c>
      <c r="J25" s="103"/>
      <c r="K25" s="102"/>
      <c r="L25" s="105">
        <v>5.374026133188805</v>
      </c>
    </row>
    <row r="26" spans="1:12" ht="18" customHeight="1" thickBot="1">
      <c r="A26" s="56" t="s">
        <v>50</v>
      </c>
      <c r="B26" s="57" t="s">
        <v>51</v>
      </c>
      <c r="E26" s="106" t="s">
        <v>52</v>
      </c>
      <c r="F26" s="107"/>
      <c r="G26" s="108"/>
      <c r="H26" s="109">
        <v>0.7985106962522112</v>
      </c>
      <c r="I26" s="107" t="s">
        <v>53</v>
      </c>
      <c r="J26" s="108"/>
      <c r="K26" s="107"/>
      <c r="L26" s="110">
        <v>0.1175840709664954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HCMQAP017_003_pos4_aper2res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7.31168E-06</v>
      </c>
      <c r="L2" s="54">
        <v>1.565466788852637E-07</v>
      </c>
      <c r="M2" s="54">
        <v>0.00013852093</v>
      </c>
      <c r="N2" s="55">
        <v>1.0949118959280058E-07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-3.1809429999999996E-05</v>
      </c>
      <c r="L3" s="54">
        <v>1.6929706101964126E-07</v>
      </c>
      <c r="M3" s="54">
        <v>1.1298349999999997E-05</v>
      </c>
      <c r="N3" s="55">
        <v>1.1611631668289116E-07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-0.002097875330072743</v>
      </c>
      <c r="L4" s="54">
        <v>3.3179928171534066E-05</v>
      </c>
      <c r="M4" s="54">
        <v>6.129078635783236E-08</v>
      </c>
      <c r="N4" s="55">
        <v>-7.9073245</v>
      </c>
    </row>
    <row r="5" spans="1:14" ht="15" customHeight="1" thickBot="1">
      <c r="A5" t="s">
        <v>18</v>
      </c>
      <c r="B5" s="58">
        <v>37648.678148148145</v>
      </c>
      <c r="D5" s="59"/>
      <c r="E5" s="60" t="s">
        <v>80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1356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73" t="s">
        <v>24</v>
      </c>
      <c r="J7" s="174"/>
      <c r="K7" s="173" t="s">
        <v>25</v>
      </c>
      <c r="L7" s="174"/>
      <c r="M7" s="173" t="s">
        <v>26</v>
      </c>
      <c r="N7" s="175"/>
    </row>
    <row r="8" spans="1:14" ht="15" customHeight="1">
      <c r="A8" s="56" t="s">
        <v>27</v>
      </c>
      <c r="B8" s="71" t="s">
        <v>28</v>
      </c>
      <c r="D8" s="76">
        <v>-3.1087073000000003</v>
      </c>
      <c r="E8" s="77">
        <v>0.019879811886891963</v>
      </c>
      <c r="F8" s="115">
        <v>7.1333662</v>
      </c>
      <c r="G8" s="77">
        <v>0.01716782788115062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7">
        <v>-4.3547148</v>
      </c>
      <c r="E9" s="79">
        <v>0.021831261504176757</v>
      </c>
      <c r="F9" s="79">
        <v>-0.4971734</v>
      </c>
      <c r="G9" s="79">
        <v>0.01842592902219492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0.048135100000000056</v>
      </c>
      <c r="E10" s="79">
        <v>0.01806746923727837</v>
      </c>
      <c r="F10" s="86">
        <v>-11.572663</v>
      </c>
      <c r="G10" s="79">
        <v>0.005881216371039085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5</v>
      </c>
      <c r="D11" s="116">
        <v>15.488092</v>
      </c>
      <c r="E11" s="77">
        <v>0.012830450731935578</v>
      </c>
      <c r="F11" s="77">
        <v>1.7145589</v>
      </c>
      <c r="G11" s="77">
        <v>0.015531526233408857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-0.32407494000000003</v>
      </c>
      <c r="E12" s="79">
        <v>0.0070639487499818505</v>
      </c>
      <c r="F12" s="79">
        <v>0.44916982</v>
      </c>
      <c r="G12" s="79">
        <v>0.005028883074161153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21.261597</v>
      </c>
      <c r="D13" s="82">
        <v>0.0432591421</v>
      </c>
      <c r="E13" s="79">
        <v>0.006364053578738691</v>
      </c>
      <c r="F13" s="79">
        <v>-0.20259977</v>
      </c>
      <c r="G13" s="79">
        <v>0.0030392591433771924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0.20889840999999998</v>
      </c>
      <c r="E14" s="79">
        <v>0.00568773617253836</v>
      </c>
      <c r="F14" s="79">
        <v>0.36965726</v>
      </c>
      <c r="G14" s="79">
        <v>0.0032523700266727275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-0.4166726100000001</v>
      </c>
      <c r="E15" s="77">
        <v>0.0033818196763494525</v>
      </c>
      <c r="F15" s="77">
        <v>0.22824044</v>
      </c>
      <c r="G15" s="77">
        <v>0.005257469362384638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12.5055</v>
      </c>
      <c r="D16" s="82">
        <v>0.009587410000000001</v>
      </c>
      <c r="E16" s="79">
        <v>0.0014861459386783006</v>
      </c>
      <c r="F16" s="79">
        <v>-0.04582009099999999</v>
      </c>
      <c r="G16" s="79">
        <v>0.004291011049935004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-0.33899998664855957</v>
      </c>
      <c r="D17" s="117">
        <v>0.14978788</v>
      </c>
      <c r="E17" s="79">
        <v>0.0020171023242753494</v>
      </c>
      <c r="F17" s="79">
        <v>0.018061536189999998</v>
      </c>
      <c r="G17" s="79">
        <v>0.0036454320231329588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33.06100082397461</v>
      </c>
      <c r="D18" s="82">
        <v>-0.021382542999999997</v>
      </c>
      <c r="E18" s="79">
        <v>0.0029667221142038245</v>
      </c>
      <c r="F18" s="86">
        <v>0.15515235</v>
      </c>
      <c r="G18" s="79">
        <v>0.0017772572506532332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-0.4440000057220459</v>
      </c>
      <c r="D19" s="82">
        <v>-0.13986774999999999</v>
      </c>
      <c r="E19" s="79">
        <v>0.0016794003706694358</v>
      </c>
      <c r="F19" s="79">
        <v>-0.020894153000000002</v>
      </c>
      <c r="G19" s="79">
        <v>0.0011756934074604543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8">
        <v>0.0414667</v>
      </c>
      <c r="D20" s="89">
        <v>-0.00085685178</v>
      </c>
      <c r="E20" s="90">
        <v>0.0013791328770199145</v>
      </c>
      <c r="F20" s="90">
        <v>0.000549552348</v>
      </c>
      <c r="G20" s="90">
        <v>0.0009655875826455673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1.1231489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-0.45305670377102036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48</v>
      </c>
      <c r="F25" s="102"/>
      <c r="G25" s="103"/>
      <c r="H25" s="104">
        <v>-2.0981376999999997</v>
      </c>
      <c r="I25" s="102" t="s">
        <v>49</v>
      </c>
      <c r="J25" s="103"/>
      <c r="K25" s="102"/>
      <c r="L25" s="105">
        <v>15.582705349907416</v>
      </c>
    </row>
    <row r="26" spans="1:12" ht="18" customHeight="1" thickBot="1">
      <c r="A26" s="56" t="s">
        <v>50</v>
      </c>
      <c r="B26" s="57" t="s">
        <v>51</v>
      </c>
      <c r="E26" s="106" t="s">
        <v>52</v>
      </c>
      <c r="F26" s="107"/>
      <c r="G26" s="108"/>
      <c r="H26" s="109">
        <v>7.781322151175579</v>
      </c>
      <c r="I26" s="107" t="s">
        <v>53</v>
      </c>
      <c r="J26" s="108"/>
      <c r="K26" s="107"/>
      <c r="L26" s="110">
        <v>0.4750892151750088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HCMQAP017_003_pos5_aper2res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B1" sqref="B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42" t="s">
        <v>120</v>
      </c>
      <c r="B1" s="133" t="s">
        <v>68</v>
      </c>
      <c r="C1" s="123" t="s">
        <v>73</v>
      </c>
      <c r="D1" s="123" t="s">
        <v>76</v>
      </c>
      <c r="E1" s="123" t="s">
        <v>78</v>
      </c>
      <c r="F1" s="130" t="s">
        <v>81</v>
      </c>
      <c r="G1" s="167" t="s">
        <v>121</v>
      </c>
    </row>
    <row r="2" spans="1:7" ht="13.5" thickBot="1">
      <c r="A2" s="143" t="s">
        <v>90</v>
      </c>
      <c r="B2" s="134">
        <v>-2.2446577</v>
      </c>
      <c r="C2" s="125">
        <v>-3.7571849999999998</v>
      </c>
      <c r="D2" s="125">
        <v>-3.7563543000000004</v>
      </c>
      <c r="E2" s="125">
        <v>-3.7558628999999994</v>
      </c>
      <c r="F2" s="131">
        <v>-2.0981376999999997</v>
      </c>
      <c r="G2" s="168">
        <v>3.116648098753632</v>
      </c>
    </row>
    <row r="3" spans="1:7" ht="14.25" thickBot="1" thickTop="1">
      <c r="A3" s="151" t="s">
        <v>89</v>
      </c>
      <c r="B3" s="152" t="s">
        <v>84</v>
      </c>
      <c r="C3" s="153" t="s">
        <v>85</v>
      </c>
      <c r="D3" s="153" t="s">
        <v>86</v>
      </c>
      <c r="E3" s="153" t="s">
        <v>87</v>
      </c>
      <c r="F3" s="154" t="s">
        <v>88</v>
      </c>
      <c r="G3" s="162" t="s">
        <v>122</v>
      </c>
    </row>
    <row r="4" spans="1:7" ht="12.75">
      <c r="A4" s="148" t="s">
        <v>91</v>
      </c>
      <c r="B4" s="149">
        <v>0.48433185000000006</v>
      </c>
      <c r="C4" s="150">
        <v>0.29708458000000004</v>
      </c>
      <c r="D4" s="150">
        <v>-0.33072639</v>
      </c>
      <c r="E4" s="150">
        <v>-0.77638847</v>
      </c>
      <c r="F4" s="155">
        <v>-3.1087073000000003</v>
      </c>
      <c r="G4" s="163">
        <v>-0.5430029394382573</v>
      </c>
    </row>
    <row r="5" spans="1:7" ht="12.75">
      <c r="A5" s="143" t="s">
        <v>93</v>
      </c>
      <c r="B5" s="136">
        <v>0.339973583</v>
      </c>
      <c r="C5" s="120">
        <v>-0.35406663</v>
      </c>
      <c r="D5" s="120">
        <v>-0.280865262</v>
      </c>
      <c r="E5" s="120">
        <v>-0.7189951399999999</v>
      </c>
      <c r="F5" s="156">
        <v>-4.3547148</v>
      </c>
      <c r="G5" s="164">
        <v>-0.8621103675518175</v>
      </c>
    </row>
    <row r="6" spans="1:7" ht="12.75">
      <c r="A6" s="143" t="s">
        <v>95</v>
      </c>
      <c r="B6" s="136">
        <v>-0.64838912</v>
      </c>
      <c r="C6" s="120">
        <v>-0.3506408408</v>
      </c>
      <c r="D6" s="120">
        <v>-0.6977240499999999</v>
      </c>
      <c r="E6" s="120">
        <v>-1.0130723700000002</v>
      </c>
      <c r="F6" s="157">
        <v>0.048135100000000056</v>
      </c>
      <c r="G6" s="164">
        <v>-0.5827302451751629</v>
      </c>
    </row>
    <row r="7" spans="1:7" ht="12.75">
      <c r="A7" s="143" t="s">
        <v>97</v>
      </c>
      <c r="B7" s="135">
        <v>4.222645999999999</v>
      </c>
      <c r="C7" s="119">
        <v>5.3414454000000005</v>
      </c>
      <c r="D7" s="119">
        <v>5.4858123</v>
      </c>
      <c r="E7" s="119">
        <v>5.373289600000001</v>
      </c>
      <c r="F7" s="158">
        <v>15.488092</v>
      </c>
      <c r="G7" s="165">
        <v>6.5866023116076455</v>
      </c>
    </row>
    <row r="8" spans="1:7" ht="12.75">
      <c r="A8" s="143" t="s">
        <v>99</v>
      </c>
      <c r="B8" s="136">
        <v>-0.22058034</v>
      </c>
      <c r="C8" s="120">
        <v>0.13850447000000002</v>
      </c>
      <c r="D8" s="120">
        <v>-0.061752351999999996</v>
      </c>
      <c r="E8" s="120">
        <v>-0.22464531999999998</v>
      </c>
      <c r="F8" s="157">
        <v>-0.32407494000000003</v>
      </c>
      <c r="G8" s="164">
        <v>-0.11083609566848215</v>
      </c>
    </row>
    <row r="9" spans="1:7" ht="12.75">
      <c r="A9" s="143" t="s">
        <v>101</v>
      </c>
      <c r="B9" s="136">
        <v>0.10486911800000001</v>
      </c>
      <c r="C9" s="120">
        <v>0.075862293</v>
      </c>
      <c r="D9" s="120">
        <v>0.05766228600000001</v>
      </c>
      <c r="E9" s="120">
        <v>0.013737679</v>
      </c>
      <c r="F9" s="157">
        <v>0.0432591421</v>
      </c>
      <c r="G9" s="164">
        <v>0.05632675276271931</v>
      </c>
    </row>
    <row r="10" spans="1:7" ht="12.75">
      <c r="A10" s="143" t="s">
        <v>103</v>
      </c>
      <c r="B10" s="136">
        <v>0.0713666701</v>
      </c>
      <c r="C10" s="120">
        <v>-0.0019020339999999997</v>
      </c>
      <c r="D10" s="120">
        <v>-0.011384195</v>
      </c>
      <c r="E10" s="120">
        <v>-0.0030256669999999992</v>
      </c>
      <c r="F10" s="157">
        <v>0.20889840999999998</v>
      </c>
      <c r="G10" s="164">
        <v>0.034410147432847565</v>
      </c>
    </row>
    <row r="11" spans="1:7" ht="12.75">
      <c r="A11" s="143" t="s">
        <v>105</v>
      </c>
      <c r="B11" s="135">
        <v>-0.40431591000000006</v>
      </c>
      <c r="C11" s="119">
        <v>-0.086434435</v>
      </c>
      <c r="D11" s="119">
        <v>-0.08637576100000001</v>
      </c>
      <c r="E11" s="119">
        <v>-0.112611368</v>
      </c>
      <c r="F11" s="159">
        <v>-0.4166726100000001</v>
      </c>
      <c r="G11" s="164">
        <v>-0.1828024720437467</v>
      </c>
    </row>
    <row r="12" spans="1:7" ht="12.75">
      <c r="A12" s="143" t="s">
        <v>107</v>
      </c>
      <c r="B12" s="136">
        <v>-0.042661559</v>
      </c>
      <c r="C12" s="120">
        <v>0.005244576599999999</v>
      </c>
      <c r="D12" s="120">
        <v>-0.005631955699999999</v>
      </c>
      <c r="E12" s="120">
        <v>-0.059065336999999996</v>
      </c>
      <c r="F12" s="157">
        <v>0.009587410000000001</v>
      </c>
      <c r="G12" s="164">
        <v>-0.019147655095623953</v>
      </c>
    </row>
    <row r="13" spans="1:7" ht="12.75">
      <c r="A13" s="143" t="s">
        <v>109</v>
      </c>
      <c r="B13" s="136">
        <v>0.11230401600000002</v>
      </c>
      <c r="C13" s="120">
        <v>0.10808404199999999</v>
      </c>
      <c r="D13" s="120">
        <v>0.057694939</v>
      </c>
      <c r="E13" s="120">
        <v>0.11862323000000001</v>
      </c>
      <c r="F13" s="160">
        <v>0.14978788</v>
      </c>
      <c r="G13" s="165">
        <v>0.10470701667676971</v>
      </c>
    </row>
    <row r="14" spans="1:7" ht="12.75">
      <c r="A14" s="143" t="s">
        <v>111</v>
      </c>
      <c r="B14" s="136">
        <v>0.045200412999999995</v>
      </c>
      <c r="C14" s="120">
        <v>0.02534723</v>
      </c>
      <c r="D14" s="120">
        <v>0.045206360999999994</v>
      </c>
      <c r="E14" s="120">
        <v>0.050915866</v>
      </c>
      <c r="F14" s="157">
        <v>-0.021382542999999997</v>
      </c>
      <c r="G14" s="164">
        <v>0.03285087094346556</v>
      </c>
    </row>
    <row r="15" spans="1:7" ht="12.75">
      <c r="A15" s="143" t="s">
        <v>113</v>
      </c>
      <c r="B15" s="137">
        <v>-0.19199026000000002</v>
      </c>
      <c r="C15" s="121">
        <v>-0.18254653</v>
      </c>
      <c r="D15" s="121">
        <v>-0.18275619</v>
      </c>
      <c r="E15" s="121">
        <v>-0.17742968</v>
      </c>
      <c r="F15" s="157">
        <v>-0.13986774999999999</v>
      </c>
      <c r="G15" s="164">
        <v>-0.176988142378509</v>
      </c>
    </row>
    <row r="16" spans="1:7" ht="12.75">
      <c r="A16" s="143" t="s">
        <v>115</v>
      </c>
      <c r="B16" s="136">
        <v>-0.0010096033</v>
      </c>
      <c r="C16" s="120">
        <v>0.0007819085080000001</v>
      </c>
      <c r="D16" s="120">
        <v>-0.0014000693600000002</v>
      </c>
      <c r="E16" s="120">
        <v>-0.00030637027</v>
      </c>
      <c r="F16" s="157">
        <v>-0.00085685178</v>
      </c>
      <c r="G16" s="164">
        <v>-0.0004827041913741066</v>
      </c>
    </row>
    <row r="17" spans="1:7" ht="12.75">
      <c r="A17" s="143" t="s">
        <v>92</v>
      </c>
      <c r="B17" s="135">
        <v>0.22521489600000005</v>
      </c>
      <c r="C17" s="119">
        <v>-0.00805245</v>
      </c>
      <c r="D17" s="119">
        <v>0.3668069</v>
      </c>
      <c r="E17" s="119">
        <v>0.1866555</v>
      </c>
      <c r="F17" s="158">
        <v>7.1333662</v>
      </c>
      <c r="G17" s="164">
        <v>1.122261577181755</v>
      </c>
    </row>
    <row r="18" spans="1:7" ht="12.75">
      <c r="A18" s="143" t="s">
        <v>94</v>
      </c>
      <c r="B18" s="136">
        <v>2.1474705</v>
      </c>
      <c r="C18" s="120">
        <v>1.1499044</v>
      </c>
      <c r="D18" s="120">
        <v>-0.34266089999999993</v>
      </c>
      <c r="E18" s="120">
        <v>-0.74241411</v>
      </c>
      <c r="F18" s="157">
        <v>-0.4971734</v>
      </c>
      <c r="G18" s="164">
        <v>0.2576216525175341</v>
      </c>
    </row>
    <row r="19" spans="1:7" ht="12.75">
      <c r="A19" s="143" t="s">
        <v>96</v>
      </c>
      <c r="B19" s="136">
        <v>-1.9601403000000002</v>
      </c>
      <c r="C19" s="121">
        <v>-2.5876399</v>
      </c>
      <c r="D19" s="120">
        <v>-2.2402715</v>
      </c>
      <c r="E19" s="121">
        <v>-2.9436994</v>
      </c>
      <c r="F19" s="156">
        <v>-11.572663</v>
      </c>
      <c r="G19" s="165">
        <v>-3.7070060663501097</v>
      </c>
    </row>
    <row r="20" spans="1:7" ht="12.75">
      <c r="A20" s="143" t="s">
        <v>98</v>
      </c>
      <c r="B20" s="135">
        <v>0.20648591499999996</v>
      </c>
      <c r="C20" s="119">
        <v>-0.045274929000000005</v>
      </c>
      <c r="D20" s="119">
        <v>-0.12585005300000002</v>
      </c>
      <c r="E20" s="119">
        <v>0.0889705273</v>
      </c>
      <c r="F20" s="159">
        <v>1.7145589</v>
      </c>
      <c r="G20" s="164">
        <v>0.2403369719602889</v>
      </c>
    </row>
    <row r="21" spans="1:7" ht="12.75">
      <c r="A21" s="143" t="s">
        <v>100</v>
      </c>
      <c r="B21" s="136">
        <v>-0.014880095</v>
      </c>
      <c r="C21" s="120">
        <v>-0.07941299909999999</v>
      </c>
      <c r="D21" s="120">
        <v>-0.08522343539999999</v>
      </c>
      <c r="E21" s="120">
        <v>-0.012359723999999999</v>
      </c>
      <c r="F21" s="157">
        <v>0.44916982</v>
      </c>
      <c r="G21" s="164">
        <v>0.015635161916654</v>
      </c>
    </row>
    <row r="22" spans="1:7" ht="12.75">
      <c r="A22" s="143" t="s">
        <v>102</v>
      </c>
      <c r="B22" s="136">
        <v>0.027557320900000005</v>
      </c>
      <c r="C22" s="120">
        <v>0.17054651999999998</v>
      </c>
      <c r="D22" s="120">
        <v>0.0148858728</v>
      </c>
      <c r="E22" s="120">
        <v>-0.13163005</v>
      </c>
      <c r="F22" s="157">
        <v>-0.20259977</v>
      </c>
      <c r="G22" s="164">
        <v>-0.010307225753482975</v>
      </c>
    </row>
    <row r="23" spans="1:7" ht="12.75">
      <c r="A23" s="143" t="s">
        <v>104</v>
      </c>
      <c r="B23" s="138">
        <v>0.40479424999999997</v>
      </c>
      <c r="C23" s="120">
        <v>0.111533543</v>
      </c>
      <c r="D23" s="120">
        <v>0.018577774</v>
      </c>
      <c r="E23" s="120">
        <v>0.08112202800000001</v>
      </c>
      <c r="F23" s="157">
        <v>0.36965726</v>
      </c>
      <c r="G23" s="164">
        <v>0.15870516747793864</v>
      </c>
    </row>
    <row r="24" spans="1:7" ht="12.75">
      <c r="A24" s="143" t="s">
        <v>106</v>
      </c>
      <c r="B24" s="135">
        <v>-0.00888736825</v>
      </c>
      <c r="C24" s="119">
        <v>0.023257337999999995</v>
      </c>
      <c r="D24" s="119">
        <v>-0.0050021832</v>
      </c>
      <c r="E24" s="119">
        <v>0.03383332000000001</v>
      </c>
      <c r="F24" s="159">
        <v>0.22824044</v>
      </c>
      <c r="G24" s="164">
        <v>0.04192851317268366</v>
      </c>
    </row>
    <row r="25" spans="1:7" ht="12.75">
      <c r="A25" s="143" t="s">
        <v>108</v>
      </c>
      <c r="B25" s="136">
        <v>-0.010272378000000002</v>
      </c>
      <c r="C25" s="120">
        <v>-0.0255191546</v>
      </c>
      <c r="D25" s="120">
        <v>-0.0211744913</v>
      </c>
      <c r="E25" s="120">
        <v>-0.037539080999999995</v>
      </c>
      <c r="F25" s="157">
        <v>-0.04582009099999999</v>
      </c>
      <c r="G25" s="164">
        <v>-0.02790161653272982</v>
      </c>
    </row>
    <row r="26" spans="1:7" ht="12.75">
      <c r="A26" s="143" t="s">
        <v>110</v>
      </c>
      <c r="B26" s="136">
        <v>-0.072590144</v>
      </c>
      <c r="C26" s="120">
        <v>-0.026437024799999997</v>
      </c>
      <c r="D26" s="120">
        <v>-0.040006190999999997</v>
      </c>
      <c r="E26" s="120">
        <v>-0.091433747</v>
      </c>
      <c r="F26" s="157">
        <v>0.018061536189999998</v>
      </c>
      <c r="G26" s="164">
        <v>-0.045993734696997496</v>
      </c>
    </row>
    <row r="27" spans="1:7" ht="12.75">
      <c r="A27" s="143" t="s">
        <v>112</v>
      </c>
      <c r="B27" s="137">
        <v>0.16422087999999999</v>
      </c>
      <c r="C27" s="120">
        <v>0.14771947000000002</v>
      </c>
      <c r="D27" s="120">
        <v>0.10876665</v>
      </c>
      <c r="E27" s="121">
        <v>0.15364772</v>
      </c>
      <c r="F27" s="156">
        <v>0.15515235</v>
      </c>
      <c r="G27" s="165">
        <v>0.14314486252114844</v>
      </c>
    </row>
    <row r="28" spans="1:7" ht="12.75">
      <c r="A28" s="143" t="s">
        <v>114</v>
      </c>
      <c r="B28" s="136">
        <v>-0.0097082704</v>
      </c>
      <c r="C28" s="120">
        <v>0.0046615347</v>
      </c>
      <c r="D28" s="120">
        <v>0.0044898307</v>
      </c>
      <c r="E28" s="120">
        <v>0.004845289399999999</v>
      </c>
      <c r="F28" s="157">
        <v>-0.020894153000000002</v>
      </c>
      <c r="G28" s="164">
        <v>-0.0008360557914441468</v>
      </c>
    </row>
    <row r="29" spans="1:7" ht="13.5" thickBot="1">
      <c r="A29" s="144" t="s">
        <v>116</v>
      </c>
      <c r="B29" s="139">
        <v>-0.0040152587</v>
      </c>
      <c r="C29" s="122">
        <v>0.00012587320000000007</v>
      </c>
      <c r="D29" s="122">
        <v>-0.00023434010000000007</v>
      </c>
      <c r="E29" s="122">
        <v>-0.0007004978</v>
      </c>
      <c r="F29" s="161">
        <v>0.000549552348</v>
      </c>
      <c r="G29" s="166">
        <v>-0.0006980538153636821</v>
      </c>
    </row>
    <row r="30" spans="1:7" ht="13.5" thickTop="1">
      <c r="A30" s="145" t="s">
        <v>117</v>
      </c>
      <c r="B30" s="140">
        <v>-0.23854025891348013</v>
      </c>
      <c r="C30" s="128">
        <v>-0.3820986914269526</v>
      </c>
      <c r="D30" s="128">
        <v>-0.46820797812572607</v>
      </c>
      <c r="E30" s="128">
        <v>-0.5168245022424951</v>
      </c>
      <c r="F30" s="124">
        <v>-0.45305670377102036</v>
      </c>
      <c r="G30" s="167" t="s">
        <v>128</v>
      </c>
    </row>
    <row r="31" spans="1:7" ht="13.5" thickBot="1">
      <c r="A31" s="146" t="s">
        <v>118</v>
      </c>
      <c r="B31" s="134">
        <v>20.965577</v>
      </c>
      <c r="C31" s="125">
        <v>21.00525</v>
      </c>
      <c r="D31" s="125">
        <v>21.084595</v>
      </c>
      <c r="E31" s="125">
        <v>21.185303</v>
      </c>
      <c r="F31" s="126">
        <v>21.261597</v>
      </c>
      <c r="G31" s="169">
        <v>-209.83</v>
      </c>
    </row>
    <row r="32" spans="1:7" ht="15.75" thickBot="1" thickTop="1">
      <c r="A32" s="147" t="s">
        <v>119</v>
      </c>
      <c r="B32" s="141">
        <v>-0.40049999952316284</v>
      </c>
      <c r="C32" s="129">
        <v>0.32199999690055847</v>
      </c>
      <c r="D32" s="129">
        <v>-0.38750000298023224</v>
      </c>
      <c r="E32" s="129">
        <v>0.3904999941587448</v>
      </c>
      <c r="F32" s="127">
        <v>-0.39149999618530273</v>
      </c>
      <c r="G32" s="132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31.33203125" style="170" bestFit="1" customWidth="1"/>
    <col min="2" max="2" width="15.66015625" style="170" bestFit="1" customWidth="1"/>
    <col min="3" max="3" width="14.83203125" style="170" bestFit="1" customWidth="1"/>
    <col min="4" max="4" width="16" style="170" bestFit="1" customWidth="1"/>
    <col min="5" max="5" width="21.33203125" style="170" bestFit="1" customWidth="1"/>
    <col min="6" max="7" width="14.83203125" style="170" bestFit="1" customWidth="1"/>
    <col min="8" max="8" width="14.16015625" style="170" bestFit="1" customWidth="1"/>
    <col min="9" max="9" width="14.83203125" style="170" bestFit="1" customWidth="1"/>
    <col min="10" max="10" width="6.33203125" style="170" bestFit="1" customWidth="1"/>
    <col min="11" max="11" width="15" style="170" bestFit="1" customWidth="1"/>
    <col min="12" max="16384" width="10.66015625" style="170" customWidth="1"/>
  </cols>
  <sheetData>
    <row r="1" spans="1:5" ht="12.75">
      <c r="A1" s="170" t="s">
        <v>129</v>
      </c>
      <c r="B1" s="170" t="s">
        <v>130</v>
      </c>
      <c r="C1" s="172" t="s">
        <v>187</v>
      </c>
      <c r="D1" s="170" t="s">
        <v>131</v>
      </c>
      <c r="E1" s="170" t="s">
        <v>132</v>
      </c>
    </row>
    <row r="3" spans="1:8" ht="12.75">
      <c r="A3" s="170" t="s">
        <v>133</v>
      </c>
      <c r="B3" s="170" t="s">
        <v>84</v>
      </c>
      <c r="C3" s="170" t="s">
        <v>85</v>
      </c>
      <c r="D3" s="170" t="s">
        <v>86</v>
      </c>
      <c r="E3" s="170" t="s">
        <v>87</v>
      </c>
      <c r="F3" s="170" t="s">
        <v>88</v>
      </c>
      <c r="G3" s="170" t="s">
        <v>134</v>
      </c>
      <c r="H3"/>
    </row>
    <row r="4" spans="1:8" ht="12.75">
      <c r="A4" s="170" t="s">
        <v>135</v>
      </c>
      <c r="B4" s="170">
        <v>0.002244</v>
      </c>
      <c r="C4" s="170">
        <v>0.003756</v>
      </c>
      <c r="D4" s="170">
        <v>0.003755</v>
      </c>
      <c r="E4" s="170">
        <v>0.003754</v>
      </c>
      <c r="F4" s="170">
        <v>0.002097</v>
      </c>
      <c r="G4" s="170">
        <v>0.011702</v>
      </c>
      <c r="H4"/>
    </row>
    <row r="5" spans="1:8" ht="12.75">
      <c r="A5" s="170" t="s">
        <v>136</v>
      </c>
      <c r="B5" s="170">
        <v>2.960511</v>
      </c>
      <c r="C5" s="170">
        <v>1.074389</v>
      </c>
      <c r="D5" s="170">
        <v>-1.053014</v>
      </c>
      <c r="E5" s="170">
        <v>-1.299824</v>
      </c>
      <c r="F5" s="170">
        <v>-0.908049</v>
      </c>
      <c r="G5" s="170">
        <v>-7.364857</v>
      </c>
      <c r="H5"/>
    </row>
    <row r="6" spans="1:8" ht="12.75">
      <c r="A6" s="170" t="s">
        <v>137</v>
      </c>
      <c r="B6" s="171">
        <v>-246.6141</v>
      </c>
      <c r="C6" s="171">
        <v>-173.1876</v>
      </c>
      <c r="D6" s="171">
        <v>-242.2103</v>
      </c>
      <c r="E6" s="171">
        <v>-256.9776</v>
      </c>
      <c r="F6" s="171">
        <v>-139.0591</v>
      </c>
      <c r="G6" s="171">
        <v>960.3175</v>
      </c>
      <c r="H6"/>
    </row>
    <row r="7" spans="1:8" ht="12.75">
      <c r="A7" s="170" t="s">
        <v>138</v>
      </c>
      <c r="B7" s="171">
        <v>10000</v>
      </c>
      <c r="C7" s="171">
        <v>10000</v>
      </c>
      <c r="D7" s="171">
        <v>10000</v>
      </c>
      <c r="E7" s="171">
        <v>10000</v>
      </c>
      <c r="F7" s="171">
        <v>10000</v>
      </c>
      <c r="G7" s="171">
        <v>10000</v>
      </c>
      <c r="H7"/>
    </row>
    <row r="8" spans="1:8" ht="12.75">
      <c r="A8" s="170" t="s">
        <v>91</v>
      </c>
      <c r="B8" s="171">
        <v>0.5047538</v>
      </c>
      <c r="C8" s="171">
        <v>0.3137068</v>
      </c>
      <c r="D8" s="171">
        <v>-0.336353</v>
      </c>
      <c r="E8" s="171">
        <v>-0.7682405</v>
      </c>
      <c r="F8" s="171">
        <v>-2.956219</v>
      </c>
      <c r="G8" s="171">
        <v>1.094949</v>
      </c>
      <c r="H8"/>
    </row>
    <row r="9" spans="1:8" ht="12.75">
      <c r="A9" s="170" t="s">
        <v>93</v>
      </c>
      <c r="B9" s="171">
        <v>0.2839627</v>
      </c>
      <c r="C9" s="171">
        <v>-0.3767594</v>
      </c>
      <c r="D9" s="171">
        <v>-0.4036536</v>
      </c>
      <c r="E9" s="171">
        <v>-0.7035318</v>
      </c>
      <c r="F9" s="171">
        <v>-3.591687</v>
      </c>
      <c r="G9" s="171">
        <v>0.7989369</v>
      </c>
      <c r="H9"/>
    </row>
    <row r="10" spans="1:8" ht="12.75">
      <c r="A10" s="170" t="s">
        <v>95</v>
      </c>
      <c r="B10" s="171">
        <v>-0.5486254</v>
      </c>
      <c r="C10" s="171">
        <v>-0.4501323</v>
      </c>
      <c r="D10" s="171">
        <v>-0.656567</v>
      </c>
      <c r="E10" s="171">
        <v>-0.9337628</v>
      </c>
      <c r="F10" s="171">
        <v>-0.7638115</v>
      </c>
      <c r="G10" s="171">
        <v>3.586268</v>
      </c>
      <c r="H10"/>
    </row>
    <row r="11" spans="1:8" ht="12.75">
      <c r="A11" s="170" t="s">
        <v>97</v>
      </c>
      <c r="B11" s="171">
        <v>4.21476</v>
      </c>
      <c r="C11" s="171">
        <v>5.339013</v>
      </c>
      <c r="D11" s="171">
        <v>5.478865</v>
      </c>
      <c r="E11" s="171">
        <v>5.370866</v>
      </c>
      <c r="F11" s="171">
        <v>15.46297</v>
      </c>
      <c r="G11" s="171">
        <v>6.579334</v>
      </c>
      <c r="H11"/>
    </row>
    <row r="12" spans="1:8" ht="12.75">
      <c r="A12" s="170" t="s">
        <v>99</v>
      </c>
      <c r="B12" s="171">
        <v>-0.2200769</v>
      </c>
      <c r="C12" s="171">
        <v>0.1376074</v>
      </c>
      <c r="D12" s="171">
        <v>-0.06123767</v>
      </c>
      <c r="E12" s="171">
        <v>-0.2228348</v>
      </c>
      <c r="F12" s="171">
        <v>-0.3007705</v>
      </c>
      <c r="G12" s="171">
        <v>0.01584972</v>
      </c>
      <c r="H12"/>
    </row>
    <row r="13" spans="1:8" ht="12.75">
      <c r="A13" s="170" t="s">
        <v>101</v>
      </c>
      <c r="B13" s="171">
        <v>0.1145781</v>
      </c>
      <c r="C13" s="171">
        <v>0.07716989</v>
      </c>
      <c r="D13" s="171">
        <v>0.06129496</v>
      </c>
      <c r="E13" s="171">
        <v>0.01139567</v>
      </c>
      <c r="F13" s="171">
        <v>-0.01676447</v>
      </c>
      <c r="G13" s="171">
        <v>-0.05028085</v>
      </c>
      <c r="H13"/>
    </row>
    <row r="14" spans="1:8" ht="12.75">
      <c r="A14" s="170" t="s">
        <v>103</v>
      </c>
      <c r="B14" s="171">
        <v>0.05222785</v>
      </c>
      <c r="C14" s="171">
        <v>0.003682596</v>
      </c>
      <c r="D14" s="171">
        <v>-0.01003219</v>
      </c>
      <c r="E14" s="171">
        <v>-0.003912633</v>
      </c>
      <c r="F14" s="171">
        <v>0.2066665</v>
      </c>
      <c r="G14" s="171">
        <v>-0.1486283</v>
      </c>
      <c r="H14"/>
    </row>
    <row r="15" spans="1:8" ht="12.75">
      <c r="A15" s="170" t="s">
        <v>105</v>
      </c>
      <c r="B15" s="171">
        <v>-0.4096967</v>
      </c>
      <c r="C15" s="171">
        <v>-0.08863212</v>
      </c>
      <c r="D15" s="171">
        <v>-0.09053879</v>
      </c>
      <c r="E15" s="171">
        <v>-0.1140719</v>
      </c>
      <c r="F15" s="171">
        <v>-0.4118921</v>
      </c>
      <c r="G15" s="171">
        <v>-0.1848186</v>
      </c>
      <c r="H15"/>
    </row>
    <row r="16" spans="1:8" ht="12.75">
      <c r="A16" s="170" t="s">
        <v>107</v>
      </c>
      <c r="B16" s="171">
        <v>-0.03929913</v>
      </c>
      <c r="C16" s="171">
        <v>-0.0002612678</v>
      </c>
      <c r="D16" s="171">
        <v>-0.009865755</v>
      </c>
      <c r="E16" s="171">
        <v>-0.05152445</v>
      </c>
      <c r="F16" s="171">
        <v>-0.003874775</v>
      </c>
      <c r="G16" s="171">
        <v>-0.0279348</v>
      </c>
      <c r="H16"/>
    </row>
    <row r="17" spans="1:8" ht="12.75">
      <c r="A17" s="170" t="s">
        <v>109</v>
      </c>
      <c r="B17" s="171">
        <v>0.117147</v>
      </c>
      <c r="C17" s="171">
        <v>0.1095784</v>
      </c>
      <c r="D17" s="171">
        <v>0.07327102</v>
      </c>
      <c r="E17" s="171">
        <v>0.1125774</v>
      </c>
      <c r="F17" s="171">
        <v>0.1184258</v>
      </c>
      <c r="G17" s="171">
        <v>-0.1038437</v>
      </c>
      <c r="H17"/>
    </row>
    <row r="18" spans="1:8" ht="12.75">
      <c r="A18" s="170" t="s">
        <v>111</v>
      </c>
      <c r="B18" s="171">
        <v>0.03559334</v>
      </c>
      <c r="C18" s="171">
        <v>0.02592257</v>
      </c>
      <c r="D18" s="171">
        <v>0.04487487</v>
      </c>
      <c r="E18" s="171">
        <v>0.05037646</v>
      </c>
      <c r="F18" s="171">
        <v>-0.01404862</v>
      </c>
      <c r="G18" s="171">
        <v>-0.1437019</v>
      </c>
      <c r="H18"/>
    </row>
    <row r="19" spans="1:8" ht="12.75">
      <c r="A19" s="170" t="s">
        <v>113</v>
      </c>
      <c r="B19" s="171">
        <v>-0.1914337</v>
      </c>
      <c r="C19" s="171">
        <v>-0.1826005</v>
      </c>
      <c r="D19" s="171">
        <v>-0.1826875</v>
      </c>
      <c r="E19" s="171">
        <v>-0.1773369</v>
      </c>
      <c r="F19" s="171">
        <v>-0.1400888</v>
      </c>
      <c r="G19" s="171">
        <v>-0.1769115</v>
      </c>
      <c r="H19"/>
    </row>
    <row r="20" spans="1:8" ht="12.75">
      <c r="A20" s="170" t="s">
        <v>115</v>
      </c>
      <c r="B20" s="171">
        <v>-0.0008099833</v>
      </c>
      <c r="C20" s="171">
        <v>0.0007838896</v>
      </c>
      <c r="D20" s="171">
        <v>-0.001394022</v>
      </c>
      <c r="E20" s="171">
        <v>-0.0002973557</v>
      </c>
      <c r="F20" s="171">
        <v>-0.0008297203</v>
      </c>
      <c r="G20" s="171">
        <v>-0.0006909237</v>
      </c>
      <c r="H20"/>
    </row>
    <row r="21" spans="1:8" ht="12.75">
      <c r="A21" s="170" t="s">
        <v>139</v>
      </c>
      <c r="B21" s="171">
        <v>-951.7047</v>
      </c>
      <c r="C21" s="171">
        <v>-944.278</v>
      </c>
      <c r="D21" s="171">
        <v>-846.3063</v>
      </c>
      <c r="E21" s="171">
        <v>-994.9475</v>
      </c>
      <c r="F21" s="171">
        <v>-1140.362</v>
      </c>
      <c r="G21" s="171">
        <v>-215.9182</v>
      </c>
      <c r="H21"/>
    </row>
    <row r="22" spans="1:8" ht="12.75">
      <c r="A22" s="170" t="s">
        <v>140</v>
      </c>
      <c r="B22" s="171">
        <v>59.21092</v>
      </c>
      <c r="C22" s="171">
        <v>21.48781</v>
      </c>
      <c r="D22" s="171">
        <v>-21.06031</v>
      </c>
      <c r="E22" s="171">
        <v>-25.99653</v>
      </c>
      <c r="F22" s="171">
        <v>-18.16101</v>
      </c>
      <c r="G22" s="171">
        <v>0</v>
      </c>
      <c r="H22"/>
    </row>
    <row r="23" spans="1:8" ht="12.75">
      <c r="A23" s="170" t="s">
        <v>92</v>
      </c>
      <c r="B23" s="171">
        <v>0.2506245</v>
      </c>
      <c r="C23" s="171">
        <v>-0.02169155</v>
      </c>
      <c r="D23" s="171">
        <v>0.3743609</v>
      </c>
      <c r="E23" s="171">
        <v>0.1712056</v>
      </c>
      <c r="F23" s="171">
        <v>6.941135</v>
      </c>
      <c r="G23" s="171">
        <v>0.515005</v>
      </c>
      <c r="H23"/>
    </row>
    <row r="24" spans="1:8" ht="12.75">
      <c r="A24" s="170" t="s">
        <v>94</v>
      </c>
      <c r="B24" s="171">
        <v>2.134085</v>
      </c>
      <c r="C24" s="171">
        <v>1.197675</v>
      </c>
      <c r="D24" s="171">
        <v>-0.3306285</v>
      </c>
      <c r="E24" s="171">
        <v>-0.7934884</v>
      </c>
      <c r="F24" s="171">
        <v>-0.1404511</v>
      </c>
      <c r="G24" s="171">
        <v>-0.30572</v>
      </c>
      <c r="H24"/>
    </row>
    <row r="25" spans="1:8" ht="12.75">
      <c r="A25" s="170" t="s">
        <v>96</v>
      </c>
      <c r="B25" s="171">
        <v>-1.974142</v>
      </c>
      <c r="C25" s="171">
        <v>-2.626627</v>
      </c>
      <c r="D25" s="171">
        <v>-2.544091</v>
      </c>
      <c r="E25" s="171">
        <v>-2.836175</v>
      </c>
      <c r="F25" s="171">
        <v>-10.23742</v>
      </c>
      <c r="G25" s="171">
        <v>-0.6723973</v>
      </c>
      <c r="H25"/>
    </row>
    <row r="26" spans="1:8" ht="12.75">
      <c r="A26" s="170" t="s">
        <v>98</v>
      </c>
      <c r="B26" s="171">
        <v>0.2899592</v>
      </c>
      <c r="C26" s="171">
        <v>-0.005839176</v>
      </c>
      <c r="D26" s="171">
        <v>-0.1539308</v>
      </c>
      <c r="E26" s="171">
        <v>0.04718518</v>
      </c>
      <c r="F26" s="171">
        <v>1.577484</v>
      </c>
      <c r="G26" s="171">
        <v>0.2267645</v>
      </c>
      <c r="H26"/>
    </row>
    <row r="27" spans="1:8" ht="12.75">
      <c r="A27" s="170" t="s">
        <v>100</v>
      </c>
      <c r="B27" s="171">
        <v>-0.0196312</v>
      </c>
      <c r="C27" s="171">
        <v>-0.08192848</v>
      </c>
      <c r="D27" s="171">
        <v>-0.08747623</v>
      </c>
      <c r="E27" s="171">
        <v>-0.01188172</v>
      </c>
      <c r="F27" s="171">
        <v>0.463522</v>
      </c>
      <c r="G27" s="171">
        <v>0.1072903</v>
      </c>
      <c r="H27"/>
    </row>
    <row r="28" spans="1:8" ht="12.75">
      <c r="A28" s="170" t="s">
        <v>102</v>
      </c>
      <c r="B28" s="171">
        <v>0.03615405</v>
      </c>
      <c r="C28" s="171">
        <v>0.1659663</v>
      </c>
      <c r="D28" s="171">
        <v>0.01486738</v>
      </c>
      <c r="E28" s="171">
        <v>-0.1309361</v>
      </c>
      <c r="F28" s="171">
        <v>-0.199475</v>
      </c>
      <c r="G28" s="171">
        <v>0.009591384</v>
      </c>
      <c r="H28"/>
    </row>
    <row r="29" spans="1:8" ht="12.75">
      <c r="A29" s="170" t="s">
        <v>104</v>
      </c>
      <c r="B29" s="171">
        <v>0.4091228</v>
      </c>
      <c r="C29" s="171">
        <v>0.1103456</v>
      </c>
      <c r="D29" s="171">
        <v>0.02652833</v>
      </c>
      <c r="E29" s="171">
        <v>0.07748666</v>
      </c>
      <c r="F29" s="171">
        <v>0.2844331</v>
      </c>
      <c r="G29" s="171">
        <v>0.03281072</v>
      </c>
      <c r="H29"/>
    </row>
    <row r="30" spans="1:8" ht="12.75">
      <c r="A30" s="170" t="s">
        <v>106</v>
      </c>
      <c r="B30" s="171">
        <v>-0.0236834</v>
      </c>
      <c r="C30" s="171">
        <v>0.02197213</v>
      </c>
      <c r="D30" s="171">
        <v>-0.004682532</v>
      </c>
      <c r="E30" s="171">
        <v>0.03077188</v>
      </c>
      <c r="F30" s="171">
        <v>0.23539</v>
      </c>
      <c r="G30" s="171">
        <v>0.03978789</v>
      </c>
      <c r="H30"/>
    </row>
    <row r="31" spans="1:8" ht="12.75">
      <c r="A31" s="170" t="s">
        <v>108</v>
      </c>
      <c r="B31" s="171">
        <v>-0.0165719</v>
      </c>
      <c r="C31" s="171">
        <v>-0.02699253</v>
      </c>
      <c r="D31" s="171">
        <v>-0.03090756</v>
      </c>
      <c r="E31" s="171">
        <v>-0.03647831</v>
      </c>
      <c r="F31" s="171">
        <v>-0.02115622</v>
      </c>
      <c r="G31" s="171">
        <v>0.02100158</v>
      </c>
      <c r="H31"/>
    </row>
    <row r="32" spans="1:8" ht="12.75">
      <c r="A32" s="170" t="s">
        <v>110</v>
      </c>
      <c r="B32" s="171">
        <v>-0.06062362</v>
      </c>
      <c r="C32" s="171">
        <v>-0.03218433</v>
      </c>
      <c r="D32" s="171">
        <v>-0.0434106</v>
      </c>
      <c r="E32" s="171">
        <v>-0.08356097</v>
      </c>
      <c r="F32" s="171">
        <v>-0.0007619168</v>
      </c>
      <c r="G32" s="171">
        <v>0.04710591</v>
      </c>
      <c r="H32"/>
    </row>
    <row r="33" spans="1:8" ht="12.75">
      <c r="A33" s="170" t="s">
        <v>112</v>
      </c>
      <c r="B33" s="171">
        <v>0.16644</v>
      </c>
      <c r="C33" s="171">
        <v>0.1493476</v>
      </c>
      <c r="D33" s="171">
        <v>0.1166454</v>
      </c>
      <c r="E33" s="171">
        <v>0.1504486</v>
      </c>
      <c r="F33" s="171">
        <v>0.1456166</v>
      </c>
      <c r="G33" s="171">
        <v>0.03237645</v>
      </c>
      <c r="H33"/>
    </row>
    <row r="34" spans="1:8" ht="12.75">
      <c r="A34" s="170" t="s">
        <v>114</v>
      </c>
      <c r="B34" s="171">
        <v>-0.01759508</v>
      </c>
      <c r="C34" s="171">
        <v>0.001945262</v>
      </c>
      <c r="D34" s="171">
        <v>0.007209229</v>
      </c>
      <c r="E34" s="171">
        <v>0.008087563</v>
      </c>
      <c r="F34" s="171">
        <v>-0.01912631</v>
      </c>
      <c r="G34" s="171">
        <v>-0.0009615744</v>
      </c>
      <c r="H34"/>
    </row>
    <row r="35" spans="1:8" ht="12.75">
      <c r="A35" s="170" t="s">
        <v>116</v>
      </c>
      <c r="B35" s="171">
        <v>-0.00405417</v>
      </c>
      <c r="C35" s="171">
        <v>0.0001390369</v>
      </c>
      <c r="D35" s="171">
        <v>-0.0002111831</v>
      </c>
      <c r="E35" s="171">
        <v>-0.0006917973</v>
      </c>
      <c r="F35" s="171">
        <v>0.0005636792</v>
      </c>
      <c r="G35" s="171">
        <v>0.00044622</v>
      </c>
      <c r="H35"/>
    </row>
    <row r="36" spans="1:6" ht="12.75">
      <c r="A36" s="170" t="s">
        <v>141</v>
      </c>
      <c r="B36" s="171">
        <v>21.2616</v>
      </c>
      <c r="C36" s="171">
        <v>21.25244</v>
      </c>
      <c r="D36" s="171">
        <v>21.25855</v>
      </c>
      <c r="E36" s="171">
        <v>21.25244</v>
      </c>
      <c r="F36" s="171">
        <v>21.25244</v>
      </c>
    </row>
    <row r="37" spans="1:6" ht="12.75">
      <c r="A37" s="170" t="s">
        <v>142</v>
      </c>
      <c r="B37" s="171">
        <v>-0.4104614</v>
      </c>
      <c r="C37" s="171">
        <v>-0.3840129</v>
      </c>
      <c r="D37" s="171">
        <v>-0.3718058</v>
      </c>
      <c r="E37" s="171">
        <v>-0.3641764</v>
      </c>
      <c r="F37" s="171">
        <v>-0.3570557</v>
      </c>
    </row>
    <row r="38" spans="1:7" ht="12.75">
      <c r="A38" s="170" t="s">
        <v>143</v>
      </c>
      <c r="B38" s="171">
        <v>0.0004288087</v>
      </c>
      <c r="C38" s="171">
        <v>0.0002978669</v>
      </c>
      <c r="D38" s="171">
        <v>0.0004087256</v>
      </c>
      <c r="E38" s="171">
        <v>0.000432462</v>
      </c>
      <c r="F38" s="171">
        <v>0.000232879</v>
      </c>
      <c r="G38" s="171">
        <v>0.0001775115</v>
      </c>
    </row>
    <row r="39" spans="1:7" ht="12.75">
      <c r="A39" s="170" t="s">
        <v>144</v>
      </c>
      <c r="B39" s="171">
        <v>0.001615359</v>
      </c>
      <c r="C39" s="171">
        <v>0.001604633</v>
      </c>
      <c r="D39" s="171">
        <v>0.001439581</v>
      </c>
      <c r="E39" s="171">
        <v>0.001692535</v>
      </c>
      <c r="F39" s="171">
        <v>0.001939038</v>
      </c>
      <c r="G39" s="171">
        <v>0.0008175807</v>
      </c>
    </row>
    <row r="40" spans="2:5" ht="12.75">
      <c r="B40" s="170" t="s">
        <v>145</v>
      </c>
      <c r="C40" s="170">
        <v>0.003755</v>
      </c>
      <c r="D40" s="170" t="s">
        <v>146</v>
      </c>
      <c r="E40" s="170">
        <v>3.116648</v>
      </c>
    </row>
    <row r="42" ht="12.75">
      <c r="A42" s="170" t="s">
        <v>147</v>
      </c>
    </row>
    <row r="50" spans="1:8" ht="12.75">
      <c r="A50" s="170" t="s">
        <v>148</v>
      </c>
      <c r="B50" s="170">
        <f>-0.017/(B7*B7+B22*B22)*(B21*B22+B6*B7)</f>
        <v>0.0004288086591009162</v>
      </c>
      <c r="C50" s="170">
        <f>-0.017/(C7*C7+C22*C22)*(C21*C22+C6*C7)</f>
        <v>0.0002978669239337312</v>
      </c>
      <c r="D50" s="170">
        <f>-0.017/(D7*D7+D22*D22)*(D21*D22+D6*D7)</f>
        <v>0.0004087257067360608</v>
      </c>
      <c r="E50" s="170">
        <f>-0.017/(E7*E7+E22*E22)*(E21*E22+E6*E7)</f>
        <v>0.00043246191630725824</v>
      </c>
      <c r="F50" s="170">
        <f>-0.017/(F7*F7+F22*F22)*(F21*F22+F6*F7)</f>
        <v>0.0002328789805466715</v>
      </c>
      <c r="G50" s="170">
        <f>(B50*B$4+C50*C$4+D50*D$4+E50*E$4+F50*F$4)/SUM(B$4:F$4)</f>
        <v>0.0003670132693922386</v>
      </c>
      <c r="H50"/>
    </row>
    <row r="51" spans="1:8" ht="12.75">
      <c r="A51" s="170" t="s">
        <v>149</v>
      </c>
      <c r="B51" s="170">
        <f>-0.017/(B7*B7+B22*B22)*(B21*B7-B6*B22)</f>
        <v>0.0016153589744790668</v>
      </c>
      <c r="C51" s="170">
        <f>-0.017/(C7*C7+C22*C22)*(C21*C7-C6*C22)</f>
        <v>0.001604632549213323</v>
      </c>
      <c r="D51" s="170">
        <f>-0.017/(D7*D7+D22*D22)*(D21*D7-D6*D22)</f>
        <v>0.0014395814990088831</v>
      </c>
      <c r="E51" s="170">
        <f>-0.017/(E7*E7+E22*E22)*(E21*E7-E6*E22)</f>
        <v>0.001692535000918114</v>
      </c>
      <c r="F51" s="170">
        <f>-0.017/(F7*F7+F22*F22)*(F21*F7-F6*F22)</f>
        <v>0.0019390383317494499</v>
      </c>
      <c r="G51" s="170">
        <f>(B51*B$4+C51*C$4+D51*D$4+E51*E$4+F51*F$4)/SUM(B$4:F$4)</f>
        <v>0.0016325409264052171</v>
      </c>
      <c r="H51"/>
    </row>
    <row r="58" ht="12.75">
      <c r="A58" s="170" t="s">
        <v>150</v>
      </c>
    </row>
    <row r="60" spans="2:6" ht="12.75">
      <c r="B60" s="170" t="s">
        <v>84</v>
      </c>
      <c r="C60" s="170" t="s">
        <v>85</v>
      </c>
      <c r="D60" s="170" t="s">
        <v>86</v>
      </c>
      <c r="E60" s="170" t="s">
        <v>87</v>
      </c>
      <c r="F60" s="170" t="s">
        <v>88</v>
      </c>
    </row>
    <row r="61" spans="1:6" ht="12.75">
      <c r="A61" s="170" t="s">
        <v>152</v>
      </c>
      <c r="B61" s="170">
        <f>B6+(1/0.017)*(B7*B50-B22*B51)</f>
        <v>0</v>
      </c>
      <c r="C61" s="170">
        <f>C6+(1/0.017)*(C7*C50-C22*C51)</f>
        <v>0</v>
      </c>
      <c r="D61" s="170">
        <f>D6+(1/0.017)*(D7*D50-D22*D51)</f>
        <v>0</v>
      </c>
      <c r="E61" s="170">
        <f>E6+(1/0.017)*(E7*E50-E22*E51)</f>
        <v>0</v>
      </c>
      <c r="F61" s="170">
        <f>F6+(1/0.017)*(F7*F50-F22*F51)</f>
        <v>0</v>
      </c>
    </row>
    <row r="62" spans="1:6" ht="12.75">
      <c r="A62" s="170" t="s">
        <v>155</v>
      </c>
      <c r="B62" s="170">
        <f>B7+(2/0.017)*(B8*B50-B23*B51)</f>
        <v>9999.977834619394</v>
      </c>
      <c r="C62" s="170">
        <f>C7+(2/0.017)*(C8*C50-C23*C51)</f>
        <v>10000.01508821726</v>
      </c>
      <c r="D62" s="170">
        <f>D7+(2/0.017)*(D8*D50-D23*D51)</f>
        <v>9999.920423630208</v>
      </c>
      <c r="E62" s="170">
        <f>E7+(2/0.017)*(E8*E50-E23*E51)</f>
        <v>9999.926822796568</v>
      </c>
      <c r="F62" s="170">
        <f>F7+(2/0.017)*(F8*F50-F23*F51)</f>
        <v>9998.335580223784</v>
      </c>
    </row>
    <row r="63" spans="1:6" ht="12.75">
      <c r="A63" s="170" t="s">
        <v>156</v>
      </c>
      <c r="B63" s="170">
        <f>B8+(3/0.017)*(B9*B50-B24*B51)</f>
        <v>-0.08210755748755583</v>
      </c>
      <c r="C63" s="170">
        <f>C8+(3/0.017)*(C9*C50-C24*C51)</f>
        <v>-0.045243632691797375</v>
      </c>
      <c r="D63" s="170">
        <f>D8+(3/0.017)*(D9*D50-D24*D51)</f>
        <v>-0.2814736349337935</v>
      </c>
      <c r="E63" s="170">
        <f>E8+(3/0.017)*(E9*E50-E24*E51)</f>
        <v>-0.5849305859862204</v>
      </c>
      <c r="F63" s="170">
        <f>F8+(3/0.017)*(F9*F50-F24*F51)</f>
        <v>-3.055764001241122</v>
      </c>
    </row>
    <row r="64" spans="1:6" ht="12.75">
      <c r="A64" s="170" t="s">
        <v>157</v>
      </c>
      <c r="B64" s="170">
        <f>B9+(4/0.017)*(B10*B50-B25*B51)</f>
        <v>0.9789492116407883</v>
      </c>
      <c r="C64" s="170">
        <f>C9+(4/0.017)*(C10*C50-C25*C51)</f>
        <v>0.58340334241843</v>
      </c>
      <c r="D64" s="170">
        <f>D9+(4/0.017)*(D10*D50-D25*D51)</f>
        <v>0.3949512292471607</v>
      </c>
      <c r="E64" s="170">
        <f>E9+(4/0.017)*(E10*E50-E25*E51)</f>
        <v>0.33094081326223546</v>
      </c>
      <c r="F64" s="170">
        <f>F9+(4/0.017)*(F10*F50-F25*F51)</f>
        <v>1.0372245658279122</v>
      </c>
    </row>
    <row r="65" spans="1:6" ht="12.75">
      <c r="A65" s="170" t="s">
        <v>158</v>
      </c>
      <c r="B65" s="170">
        <f>B10+(5/0.017)*(B11*B50-B26*B51)</f>
        <v>-0.15482028585899804</v>
      </c>
      <c r="C65" s="170">
        <f>C10+(5/0.017)*(C11*C50-C26*C51)</f>
        <v>0.020363320888937442</v>
      </c>
      <c r="D65" s="170">
        <f>D10+(5/0.017)*(D11*D50-D26*D51)</f>
        <v>0.06724150030708942</v>
      </c>
      <c r="E65" s="170">
        <f>E10+(5/0.017)*(E11*E50-E26*E51)</f>
        <v>-0.2741062017897419</v>
      </c>
      <c r="F65" s="170">
        <f>F10+(5/0.017)*(F11*F50-F26*F51)</f>
        <v>-0.6043412805581425</v>
      </c>
    </row>
    <row r="66" spans="1:6" ht="12.75">
      <c r="A66" s="170" t="s">
        <v>159</v>
      </c>
      <c r="B66" s="170">
        <f>B11+(6/0.017)*(B12*B50-B27*B51)</f>
        <v>4.1926449016629554</v>
      </c>
      <c r="C66" s="170">
        <f>C11+(6/0.017)*(C12*C50-C27*C51)</f>
        <v>5.399879046587326</v>
      </c>
      <c r="D66" s="170">
        <f>D11+(6/0.017)*(D12*D50-D27*D51)</f>
        <v>5.514476677304033</v>
      </c>
      <c r="E66" s="170">
        <f>E11+(6/0.017)*(E12*E50-E27*E51)</f>
        <v>5.343951645532882</v>
      </c>
      <c r="F66" s="170">
        <f>F11+(6/0.017)*(F12*F50-F27*F51)</f>
        <v>15.121029981284348</v>
      </c>
    </row>
    <row r="67" spans="1:6" ht="12.75">
      <c r="A67" s="170" t="s">
        <v>160</v>
      </c>
      <c r="B67" s="170">
        <f>B12+(7/0.017)*(B13*B50-B28*B51)</f>
        <v>-0.22389383023267878</v>
      </c>
      <c r="C67" s="170">
        <f>C12+(7/0.017)*(C13*C50-C28*C51)</f>
        <v>0.037413283230276984</v>
      </c>
      <c r="D67" s="170">
        <f>D12+(7/0.017)*(D13*D50-D28*D51)</f>
        <v>-0.05973472031703722</v>
      </c>
      <c r="E67" s="170">
        <f>E12+(7/0.017)*(E13*E50-E28*E51)</f>
        <v>-0.1295527483566685</v>
      </c>
      <c r="F67" s="170">
        <f>F12+(7/0.017)*(F13*F50-F28*F51)</f>
        <v>-0.14311173236476388</v>
      </c>
    </row>
    <row r="68" spans="1:6" ht="12.75">
      <c r="A68" s="170" t="s">
        <v>161</v>
      </c>
      <c r="B68" s="170">
        <f>B13+(8/0.017)*(B14*B50-B29*B51)</f>
        <v>-0.18588516226719082</v>
      </c>
      <c r="C68" s="170">
        <f>C13+(8/0.017)*(C14*C50-C29*C51)</f>
        <v>-0.005638212531700229</v>
      </c>
      <c r="D68" s="170">
        <f>D13+(8/0.017)*(D14*D50-D29*D51)</f>
        <v>0.041393733169193994</v>
      </c>
      <c r="E68" s="170">
        <f>E13+(8/0.017)*(E14*E50-E29*E51)</f>
        <v>-0.05111771772669581</v>
      </c>
      <c r="F68" s="170">
        <f>F13+(8/0.017)*(F14*F50-F29*F51)</f>
        <v>-0.25365783465184744</v>
      </c>
    </row>
    <row r="69" spans="1:6" ht="12.75">
      <c r="A69" s="170" t="s">
        <v>162</v>
      </c>
      <c r="B69" s="170">
        <f>B14+(9/0.017)*(B15*B50-B30*B51)</f>
        <v>-0.02052619108588443</v>
      </c>
      <c r="C69" s="170">
        <f>C14+(9/0.017)*(C15*C50-C30*C51)</f>
        <v>-0.02895975383982628</v>
      </c>
      <c r="D69" s="170">
        <f>D14+(9/0.017)*(D15*D50-D30*D51)</f>
        <v>-0.026054648849796854</v>
      </c>
      <c r="E69" s="170">
        <f>E14+(9/0.017)*(E15*E50-E30*E51)</f>
        <v>-0.05760252286669166</v>
      </c>
      <c r="F69" s="170">
        <f>F14+(9/0.017)*(F15*F50-F30*F51)</f>
        <v>-0.0857547474872691</v>
      </c>
    </row>
    <row r="70" spans="1:6" ht="12.75">
      <c r="A70" s="170" t="s">
        <v>163</v>
      </c>
      <c r="B70" s="170">
        <f>B15+(10/0.017)*(B16*B50-B31*B51)</f>
        <v>-0.4038627234411547</v>
      </c>
      <c r="C70" s="170">
        <f>C15+(10/0.017)*(C16*C50-C31*C51)</f>
        <v>-0.06319960871311284</v>
      </c>
      <c r="D70" s="170">
        <f>D15+(10/0.017)*(D16*D50-D31*D51)</f>
        <v>-0.06673787007608989</v>
      </c>
      <c r="E70" s="170">
        <f>E15+(10/0.017)*(E16*E50-E31*E51)</f>
        <v>-0.09086104466725663</v>
      </c>
      <c r="F70" s="170">
        <f>F15+(10/0.017)*(F16*F50-F31*F51)</f>
        <v>-0.3882918835981902</v>
      </c>
    </row>
    <row r="71" spans="1:6" ht="12.75">
      <c r="A71" s="170" t="s">
        <v>164</v>
      </c>
      <c r="B71" s="170">
        <f>B16+(11/0.017)*(B17*B50-B32*B51)</f>
        <v>0.056570759577714125</v>
      </c>
      <c r="C71" s="170">
        <f>C16+(11/0.017)*(C17*C50-C32*C51)</f>
        <v>0.05427531153719004</v>
      </c>
      <c r="D71" s="170">
        <f>D16+(11/0.017)*(D17*D50-D32*D51)</f>
        <v>0.04994891009353633</v>
      </c>
      <c r="E71" s="170">
        <f>E16+(11/0.017)*(E17*E50-E32*E51)</f>
        <v>0.07149133531165465</v>
      </c>
      <c r="F71" s="170">
        <f>F16+(11/0.017)*(F17*F50-F32*F51)</f>
        <v>0.014926337941618045</v>
      </c>
    </row>
    <row r="72" spans="1:6" ht="12.75">
      <c r="A72" s="170" t="s">
        <v>165</v>
      </c>
      <c r="B72" s="170">
        <f>B17+(12/0.017)*(B18*B50-B33*B51)</f>
        <v>-0.06186308139809846</v>
      </c>
      <c r="C72" s="170">
        <f>C17+(12/0.017)*(C18*C50-C33*C51)</f>
        <v>-0.05413445453214226</v>
      </c>
      <c r="D72" s="170">
        <f>D17+(12/0.017)*(D18*D50-D33*D51)</f>
        <v>-0.03231418952638958</v>
      </c>
      <c r="E72" s="170">
        <f>E17+(12/0.017)*(E18*E50-E33*E51)</f>
        <v>-0.05178986181935505</v>
      </c>
      <c r="F72" s="170">
        <f>F17+(12/0.017)*(F18*F50-F33*F51)</f>
        <v>-0.08319382172426909</v>
      </c>
    </row>
    <row r="73" spans="1:6" ht="12.75">
      <c r="A73" s="170" t="s">
        <v>166</v>
      </c>
      <c r="B73" s="170">
        <f>B18+(13/0.017)*(B19*B50-B34*B51)</f>
        <v>-0.005445410096920532</v>
      </c>
      <c r="C73" s="170">
        <f>C18+(13/0.017)*(C19*C50-C34*C51)</f>
        <v>-0.01805725585613048</v>
      </c>
      <c r="D73" s="170">
        <f>D18+(13/0.017)*(D19*D50-D34*D51)</f>
        <v>-0.02016133900695362</v>
      </c>
      <c r="E73" s="170">
        <f>E18+(13/0.017)*(E19*E50-E34*E51)</f>
        <v>-0.018737611042532118</v>
      </c>
      <c r="F73" s="170">
        <f>F18+(13/0.017)*(F19*F50-F34*F51)</f>
        <v>-0.01063580547271109</v>
      </c>
    </row>
    <row r="74" spans="1:6" ht="12.75">
      <c r="A74" s="170" t="s">
        <v>167</v>
      </c>
      <c r="B74" s="170">
        <f>B19+(14/0.017)*(B20*B50-B35*B51)</f>
        <v>-0.1863264900840498</v>
      </c>
      <c r="C74" s="170">
        <f>C19+(14/0.017)*(C20*C50-C35*C51)</f>
        <v>-0.18259194217176264</v>
      </c>
      <c r="D74" s="170">
        <f>D19+(14/0.017)*(D20*D50-D35*D51)</f>
        <v>-0.18290635898875834</v>
      </c>
      <c r="E74" s="170">
        <f>E19+(14/0.017)*(E20*E50-E35*E51)</f>
        <v>-0.17647853848286985</v>
      </c>
      <c r="F74" s="170">
        <f>F19+(14/0.017)*(F20*F50-F35*F51)</f>
        <v>-0.1411480399944105</v>
      </c>
    </row>
    <row r="75" spans="1:6" ht="12.75">
      <c r="A75" s="170" t="s">
        <v>168</v>
      </c>
      <c r="B75" s="171">
        <f>B20</f>
        <v>-0.0008099833</v>
      </c>
      <c r="C75" s="171">
        <f>C20</f>
        <v>0.0007838896</v>
      </c>
      <c r="D75" s="171">
        <f>D20</f>
        <v>-0.001394022</v>
      </c>
      <c r="E75" s="171">
        <f>E20</f>
        <v>-0.0002973557</v>
      </c>
      <c r="F75" s="171">
        <f>F20</f>
        <v>-0.0008297203</v>
      </c>
    </row>
    <row r="78" ht="12.75">
      <c r="A78" s="170" t="s">
        <v>150</v>
      </c>
    </row>
    <row r="80" spans="2:6" ht="12.75">
      <c r="B80" s="170" t="s">
        <v>84</v>
      </c>
      <c r="C80" s="170" t="s">
        <v>85</v>
      </c>
      <c r="D80" s="170" t="s">
        <v>86</v>
      </c>
      <c r="E80" s="170" t="s">
        <v>87</v>
      </c>
      <c r="F80" s="170" t="s">
        <v>88</v>
      </c>
    </row>
    <row r="81" spans="1:6" ht="12.75">
      <c r="A81" s="170" t="s">
        <v>169</v>
      </c>
      <c r="B81" s="170">
        <f>B21+(1/0.017)*(B7*B51+B22*B50)</f>
        <v>0</v>
      </c>
      <c r="C81" s="170">
        <f>C21+(1/0.017)*(C7*C51+C22*C50)</f>
        <v>0</v>
      </c>
      <c r="D81" s="170">
        <f>D21+(1/0.017)*(D7*D51+D22*D50)</f>
        <v>0</v>
      </c>
      <c r="E81" s="170">
        <f>E21+(1/0.017)*(E7*E51+E22*E50)</f>
        <v>0</v>
      </c>
      <c r="F81" s="170">
        <f>F21+(1/0.017)*(F7*F51+F22*F50)</f>
        <v>0</v>
      </c>
    </row>
    <row r="82" spans="1:6" ht="12.75">
      <c r="A82" s="170" t="s">
        <v>170</v>
      </c>
      <c r="B82" s="170">
        <f>B22+(2/0.017)*(B8*B51+B23*B50)</f>
        <v>59.319488063119444</v>
      </c>
      <c r="C82" s="170">
        <f>C22+(2/0.017)*(C8*C51+C23*C50)</f>
        <v>21.546271523166553</v>
      </c>
      <c r="D82" s="170">
        <f>D22+(2/0.017)*(D8*D51+D23*D50)</f>
        <v>-21.099274309706978</v>
      </c>
      <c r="E82" s="170">
        <f>E22+(2/0.017)*(E8*E51+E23*E50)</f>
        <v>-26.14079282747227</v>
      </c>
      <c r="F82" s="170">
        <f>F22+(2/0.017)*(F8*F51+F23*F50)</f>
        <v>-18.645219119459906</v>
      </c>
    </row>
    <row r="83" spans="1:6" ht="12.75">
      <c r="A83" s="170" t="s">
        <v>171</v>
      </c>
      <c r="B83" s="170">
        <f>B23+(3/0.017)*(B9*B51+B24*B50)</f>
        <v>0.49306258643288564</v>
      </c>
      <c r="C83" s="170">
        <f>C23+(3/0.017)*(C9*C51+C24*C50)</f>
        <v>-0.0654231902952501</v>
      </c>
      <c r="D83" s="170">
        <f>D23+(3/0.017)*(D9*D51+D24*D50)</f>
        <v>0.24796761378272075</v>
      </c>
      <c r="E83" s="170">
        <f>E23+(3/0.017)*(E9*E51+E24*E50)</f>
        <v>-0.0994836429042063</v>
      </c>
      <c r="F83" s="170">
        <f>F23+(3/0.017)*(F9*F51+F24*F50)</f>
        <v>5.706347903947498</v>
      </c>
    </row>
    <row r="84" spans="1:6" ht="12.75">
      <c r="A84" s="170" t="s">
        <v>172</v>
      </c>
      <c r="B84" s="170">
        <f>B24+(4/0.017)*(B10*B51+B25*B50)</f>
        <v>1.7263776711971837</v>
      </c>
      <c r="C84" s="170">
        <f>C24+(4/0.017)*(C10*C51+C25*C50)</f>
        <v>0.8436321188603434</v>
      </c>
      <c r="D84" s="170">
        <f>D24+(4/0.017)*(D10*D51+D25*D50)</f>
        <v>-0.7976913465966158</v>
      </c>
      <c r="E84" s="170">
        <f>E24+(4/0.017)*(E10*E51+E25*E50)</f>
        <v>-1.4539504934207148</v>
      </c>
      <c r="F84" s="170">
        <f>F24+(4/0.017)*(F10*F51+F25*F50)</f>
        <v>-1.0498957375903883</v>
      </c>
    </row>
    <row r="85" spans="1:6" ht="12.75">
      <c r="A85" s="170" t="s">
        <v>173</v>
      </c>
      <c r="B85" s="170">
        <f>B25+(5/0.017)*(B11*B51+B26*B50)</f>
        <v>0.06488370794746068</v>
      </c>
      <c r="C85" s="170">
        <f>C25+(5/0.017)*(C11*C51+C26*C50)</f>
        <v>-0.10738736968245854</v>
      </c>
      <c r="D85" s="170">
        <f>D25+(5/0.017)*(D11*D51+D26*D50)</f>
        <v>-0.24280946630915912</v>
      </c>
      <c r="E85" s="170">
        <f>E25+(5/0.017)*(E11*E51+E26*E50)</f>
        <v>-0.15653250482200853</v>
      </c>
      <c r="F85" s="170">
        <f>F25+(5/0.017)*(F11*F51+F26*F50)</f>
        <v>-1.310756935752801</v>
      </c>
    </row>
    <row r="86" spans="1:6" ht="12.75">
      <c r="A86" s="170" t="s">
        <v>174</v>
      </c>
      <c r="B86" s="170">
        <f>B26+(6/0.017)*(B12*B51+B27*B50)</f>
        <v>0.16151641504503267</v>
      </c>
      <c r="C86" s="170">
        <f>C26+(6/0.017)*(C12*C51+C27*C50)</f>
        <v>0.06348042237615924</v>
      </c>
      <c r="D86" s="170">
        <f>D26+(6/0.017)*(D12*D51+D27*D50)</f>
        <v>-0.19766388260132972</v>
      </c>
      <c r="E86" s="170">
        <f>E26+(6/0.017)*(E12*E51+E27*E50)</f>
        <v>-0.08774214581981671</v>
      </c>
      <c r="F86" s="170">
        <f>F26+(6/0.017)*(F12*F51+F27*F50)</f>
        <v>1.4097448243275905</v>
      </c>
    </row>
    <row r="87" spans="1:6" ht="12.75">
      <c r="A87" s="170" t="s">
        <v>175</v>
      </c>
      <c r="B87" s="170">
        <f>B27+(7/0.017)*(B13*B51+B28*B50)</f>
        <v>0.06296383074748778</v>
      </c>
      <c r="C87" s="170">
        <f>C27+(7/0.017)*(C13*C51+C28*C50)</f>
        <v>-0.010583990588463418</v>
      </c>
      <c r="D87" s="170">
        <f>D27+(7/0.017)*(D13*D51+D28*D50)</f>
        <v>-0.048640324377992844</v>
      </c>
      <c r="E87" s="170">
        <f>E27+(7/0.017)*(E13*E51+E28*E50)</f>
        <v>-0.027255904982423758</v>
      </c>
      <c r="F87" s="170">
        <f>F27+(7/0.017)*(F13*F51+F28*F50)</f>
        <v>0.4310088592881131</v>
      </c>
    </row>
    <row r="88" spans="1:6" ht="12.75">
      <c r="A88" s="170" t="s">
        <v>176</v>
      </c>
      <c r="B88" s="170">
        <f>B28+(8/0.017)*(B14*B51+B29*B50)</f>
        <v>0.15841387376040417</v>
      </c>
      <c r="C88" s="170">
        <f>C28+(8/0.017)*(C14*C51+C29*C50)</f>
        <v>0.18421454369356458</v>
      </c>
      <c r="D88" s="170">
        <f>D28+(8/0.017)*(D14*D51+D29*D50)</f>
        <v>0.01317357073375789</v>
      </c>
      <c r="E88" s="170">
        <f>E28+(8/0.017)*(E14*E51+E29*E50)</f>
        <v>-0.11828303591830507</v>
      </c>
      <c r="F88" s="170">
        <f>F28+(8/0.017)*(F14*F51+F29*F50)</f>
        <v>0.020276885058930383</v>
      </c>
    </row>
    <row r="89" spans="1:6" ht="12.75">
      <c r="A89" s="170" t="s">
        <v>177</v>
      </c>
      <c r="B89" s="170">
        <f>B29+(9/0.017)*(B15*B51+B30*B50)</f>
        <v>0.053377741564254344</v>
      </c>
      <c r="C89" s="170">
        <f>C29+(9/0.017)*(C15*C51+C30*C50)</f>
        <v>0.038516486768136377</v>
      </c>
      <c r="D89" s="170">
        <f>D29+(9/0.017)*(D15*D51+D30*D50)</f>
        <v>-0.04348734906170483</v>
      </c>
      <c r="E89" s="170">
        <f>E29+(9/0.017)*(E15*E51+E30*E50)</f>
        <v>-0.017681996153087423</v>
      </c>
      <c r="F89" s="170">
        <f>F29+(9/0.017)*(F15*F51+F30*F50)</f>
        <v>-0.10937364617206285</v>
      </c>
    </row>
    <row r="90" spans="1:6" ht="12.75">
      <c r="A90" s="170" t="s">
        <v>178</v>
      </c>
      <c r="B90" s="170">
        <f>B30+(10/0.017)*(B16*B51+B31*B50)</f>
        <v>-0.06520597444263176</v>
      </c>
      <c r="C90" s="170">
        <f>C30+(10/0.017)*(C16*C51+C31*C50)</f>
        <v>0.01699600017868805</v>
      </c>
      <c r="D90" s="170">
        <f>D30+(10/0.017)*(D16*D51+D31*D50)</f>
        <v>-0.02046798651543623</v>
      </c>
      <c r="E90" s="170">
        <f>E30+(10/0.017)*(E16*E51+E31*E50)</f>
        <v>-0.02980601110253267</v>
      </c>
      <c r="F90" s="170">
        <f>F30+(10/0.017)*(F16*F51+F31*F50)</f>
        <v>0.22807224929545553</v>
      </c>
    </row>
    <row r="91" spans="1:6" ht="12.75">
      <c r="A91" s="170" t="s">
        <v>179</v>
      </c>
      <c r="B91" s="170">
        <f>B31+(11/0.017)*(B17*B51+B32*B50)</f>
        <v>0.0890530276702243</v>
      </c>
      <c r="C91" s="170">
        <f>C31+(11/0.017)*(C17*C51+C32*C50)</f>
        <v>0.08057868291189646</v>
      </c>
      <c r="D91" s="170">
        <f>D31+(11/0.017)*(D17*D51+D32*D50)</f>
        <v>0.025863166061612215</v>
      </c>
      <c r="E91" s="170">
        <f>E31+(11/0.017)*(E17*E51+E32*E50)</f>
        <v>0.06343032403378358</v>
      </c>
      <c r="F91" s="170">
        <f>F31+(11/0.017)*(F17*F51+F32*F50)</f>
        <v>0.1273144884626432</v>
      </c>
    </row>
    <row r="92" spans="1:6" ht="12.75">
      <c r="A92" s="170" t="s">
        <v>180</v>
      </c>
      <c r="B92" s="170">
        <f>B32+(12/0.017)*(B18*B51+B33*B50)</f>
        <v>0.03034127488572322</v>
      </c>
      <c r="C92" s="170">
        <f>C32+(12/0.017)*(C18*C51+C33*C50)</f>
        <v>0.028579371028338435</v>
      </c>
      <c r="D92" s="170">
        <f>D32+(12/0.017)*(D18*D51+D33*D50)</f>
        <v>0.035843757299957126</v>
      </c>
      <c r="E92" s="170">
        <f>E32+(12/0.017)*(E18*E51+E33*E50)</f>
        <v>0.022552355859361523</v>
      </c>
      <c r="F92" s="170">
        <f>F32+(12/0.017)*(F18*F51+F33*F50)</f>
        <v>0.0039464827321109355</v>
      </c>
    </row>
    <row r="93" spans="1:6" ht="12.75">
      <c r="A93" s="170" t="s">
        <v>181</v>
      </c>
      <c r="B93" s="170">
        <f>B33+(13/0.017)*(B19*B51+B34*B50)</f>
        <v>-0.07580281668623448</v>
      </c>
      <c r="C93" s="170">
        <f>C33+(13/0.017)*(C19*C51+C34*C50)</f>
        <v>-0.0742732585722205</v>
      </c>
      <c r="D93" s="170">
        <f>D33+(13/0.017)*(D19*D51+D34*D50)</f>
        <v>-0.08221403073339985</v>
      </c>
      <c r="E93" s="170">
        <f>E33+(13/0.017)*(E19*E51+E34*E50)</f>
        <v>-0.07640243022023749</v>
      </c>
      <c r="F93" s="170">
        <f>F33+(13/0.017)*(F19*F51+F34*F50)</f>
        <v>-0.06551232306480145</v>
      </c>
    </row>
    <row r="94" spans="1:6" ht="12.75">
      <c r="A94" s="170" t="s">
        <v>182</v>
      </c>
      <c r="B94" s="170">
        <f>B34+(14/0.017)*(B20*B51+B35*B50)</f>
        <v>-0.020104272818835568</v>
      </c>
      <c r="C94" s="170">
        <f>C34+(14/0.017)*(C20*C51+C35*C50)</f>
        <v>0.0030152484501250183</v>
      </c>
      <c r="D94" s="170">
        <f>D34+(14/0.017)*(D20*D51+D35*D50)</f>
        <v>0.005485479624062705</v>
      </c>
      <c r="E94" s="170">
        <f>E34+(14/0.017)*(E20*E51+E35*E50)</f>
        <v>0.007426712833860371</v>
      </c>
      <c r="F94" s="170">
        <f>F34+(14/0.017)*(F20*F51+F35*F50)</f>
        <v>-0.020343149176724123</v>
      </c>
    </row>
    <row r="95" spans="1:6" ht="12.75">
      <c r="A95" s="170" t="s">
        <v>183</v>
      </c>
      <c r="B95" s="171">
        <f>B35</f>
        <v>-0.00405417</v>
      </c>
      <c r="C95" s="171">
        <f>C35</f>
        <v>0.0001390369</v>
      </c>
      <c r="D95" s="171">
        <f>D35</f>
        <v>-0.0002111831</v>
      </c>
      <c r="E95" s="171">
        <f>E35</f>
        <v>-0.0006917973</v>
      </c>
      <c r="F95" s="171">
        <f>F35</f>
        <v>0.0005636792</v>
      </c>
    </row>
    <row r="98" ht="12.75">
      <c r="A98" s="170" t="s">
        <v>151</v>
      </c>
    </row>
    <row r="100" spans="2:11" ht="12.75">
      <c r="B100" s="170" t="s">
        <v>84</v>
      </c>
      <c r="C100" s="170" t="s">
        <v>85</v>
      </c>
      <c r="D100" s="170" t="s">
        <v>86</v>
      </c>
      <c r="E100" s="170" t="s">
        <v>87</v>
      </c>
      <c r="F100" s="170" t="s">
        <v>88</v>
      </c>
      <c r="G100" s="170" t="s">
        <v>153</v>
      </c>
      <c r="H100" s="170" t="s">
        <v>154</v>
      </c>
      <c r="I100" s="170" t="s">
        <v>188</v>
      </c>
      <c r="K100" s="170" t="s">
        <v>184</v>
      </c>
    </row>
    <row r="101" spans="1:9" ht="12.75">
      <c r="A101" s="170" t="s">
        <v>152</v>
      </c>
      <c r="B101" s="170">
        <f>B61*10000/B62</f>
        <v>0</v>
      </c>
      <c r="C101" s="170">
        <f>C61*10000/C62</f>
        <v>0</v>
      </c>
      <c r="D101" s="170">
        <f>D61*10000/D62</f>
        <v>0</v>
      </c>
      <c r="E101" s="170">
        <f>E61*10000/E62</f>
        <v>0</v>
      </c>
      <c r="F101" s="170">
        <f>F61*10000/F62</f>
        <v>0</v>
      </c>
      <c r="G101" s="170">
        <f>AVERAGE(C101:E101)</f>
        <v>0</v>
      </c>
      <c r="H101" s="170">
        <f>STDEV(C101:E101)</f>
        <v>0</v>
      </c>
      <c r="I101" s="170">
        <f>(B101*B4+C101*C4+D101*D4+E101*E4+F101*F4)/SUM(B4:F4)</f>
        <v>0</v>
      </c>
    </row>
    <row r="102" spans="1:9" ht="12.75">
      <c r="A102" s="170" t="s">
        <v>155</v>
      </c>
      <c r="B102" s="170">
        <f>B62*10000/B62</f>
        <v>10000</v>
      </c>
      <c r="C102" s="170">
        <f>C62*10000/C62</f>
        <v>10000</v>
      </c>
      <c r="D102" s="170">
        <f>D62*10000/D62</f>
        <v>10000</v>
      </c>
      <c r="E102" s="170">
        <f>E62*10000/E62</f>
        <v>10000</v>
      </c>
      <c r="F102" s="170">
        <f>F62*10000/F62</f>
        <v>10000</v>
      </c>
      <c r="G102" s="170">
        <f>AVERAGE(C102:E102)</f>
        <v>10000</v>
      </c>
      <c r="H102" s="170">
        <f>STDEV(C102:E102)</f>
        <v>0</v>
      </c>
      <c r="I102" s="170">
        <f>(B102*B4+C102*C4+D102*D4+E102*E4+F102*F4)/SUM(B4:F4)</f>
        <v>10000</v>
      </c>
    </row>
    <row r="103" spans="1:11" ht="12.75">
      <c r="A103" s="170" t="s">
        <v>156</v>
      </c>
      <c r="B103" s="170">
        <f>B63*10000/B62</f>
        <v>-0.08210773948248545</v>
      </c>
      <c r="C103" s="170">
        <f>C63*10000/C62</f>
        <v>-0.045243564427324405</v>
      </c>
      <c r="D103" s="170">
        <f>D63*10000/D62</f>
        <v>-0.28147587481662373</v>
      </c>
      <c r="E103" s="170">
        <f>E63*10000/E62</f>
        <v>-0.5849348663759916</v>
      </c>
      <c r="F103" s="170">
        <f>F63*10000/F62</f>
        <v>-3.056272693312348</v>
      </c>
      <c r="G103" s="170">
        <f>AVERAGE(C103:E103)</f>
        <v>-0.3038847685399799</v>
      </c>
      <c r="H103" s="170">
        <f>STDEV(C103:E103)</f>
        <v>0.2705425922811237</v>
      </c>
      <c r="I103" s="170">
        <f>(B103*B4+C103*C4+D103*D4+E103*E4+F103*F4)/SUM(B4:F4)</f>
        <v>-0.6418028855296435</v>
      </c>
      <c r="K103" s="170">
        <f>(LN(H103)+LN(H123))/2-LN(K114*K115^3)</f>
        <v>-5.35857230148649</v>
      </c>
    </row>
    <row r="104" spans="1:11" ht="12.75">
      <c r="A104" s="170" t="s">
        <v>157</v>
      </c>
      <c r="B104" s="170">
        <f>B64*10000/B62</f>
        <v>0.9789513815237848</v>
      </c>
      <c r="C104" s="170">
        <f>C64*10000/C62</f>
        <v>0.58340246216812</v>
      </c>
      <c r="D104" s="170">
        <f>D64*10000/D62</f>
        <v>0.3949543721506776</v>
      </c>
      <c r="E104" s="170">
        <f>E64*10000/E62</f>
        <v>0.33094323501227874</v>
      </c>
      <c r="F104" s="170">
        <f>F64*10000/F62</f>
        <v>1.0373972322748313</v>
      </c>
      <c r="G104" s="170">
        <f>AVERAGE(C104:E104)</f>
        <v>0.43643335644369213</v>
      </c>
      <c r="H104" s="170">
        <f>STDEV(C104:E104)</f>
        <v>0.13124136142053794</v>
      </c>
      <c r="I104" s="170">
        <f>(B104*B4+C104*C4+D104*D4+E104*E4+F104*F4)/SUM(B4:F4)</f>
        <v>0.5952110160057056</v>
      </c>
      <c r="K104" s="170">
        <f>(LN(H104)+LN(H124))/2-LN(K114*K115^4)</f>
        <v>-4.2183719942572315</v>
      </c>
    </row>
    <row r="105" spans="1:11" ht="12.75">
      <c r="A105" s="170" t="s">
        <v>158</v>
      </c>
      <c r="B105" s="170">
        <f>B65*10000/B62</f>
        <v>-0.15482062902481483</v>
      </c>
      <c r="C105" s="170">
        <f>C65*10000/C62</f>
        <v>0.020363290164362828</v>
      </c>
      <c r="D105" s="170">
        <f>D65*10000/D62</f>
        <v>0.06724203539479683</v>
      </c>
      <c r="E105" s="170">
        <f>E65*10000/E62</f>
        <v>-0.27410820763694915</v>
      </c>
      <c r="F105" s="170">
        <f>F65*10000/F62</f>
        <v>-0.6044418850608494</v>
      </c>
      <c r="G105" s="170">
        <f>AVERAGE(C105:E105)</f>
        <v>-0.06216762735926317</v>
      </c>
      <c r="H105" s="170">
        <f>STDEV(C105:E105)</f>
        <v>0.18503651359914527</v>
      </c>
      <c r="I105" s="170">
        <f>(B105*B4+C105*C4+D105*D4+E105*E4+F105*F4)/SUM(B4:F4)</f>
        <v>-0.14833756088738842</v>
      </c>
      <c r="K105" s="170">
        <f>(LN(H105)+LN(H125))/2-LN(K114*K115^5)</f>
        <v>-4.8795835000885</v>
      </c>
    </row>
    <row r="106" spans="1:11" ht="12.75">
      <c r="A106" s="170" t="s">
        <v>159</v>
      </c>
      <c r="B106" s="170">
        <f>B66*10000/B62</f>
        <v>4.192654194840553</v>
      </c>
      <c r="C106" s="170">
        <f>C66*10000/C62</f>
        <v>5.399870899144796</v>
      </c>
      <c r="D106" s="170">
        <f>D66*10000/D62</f>
        <v>5.514520559856762</v>
      </c>
      <c r="E106" s="170">
        <f>E66*10000/E62</f>
        <v>5.343990751362718</v>
      </c>
      <c r="F106" s="170">
        <f>F66*10000/F62</f>
        <v>15.123547174384706</v>
      </c>
      <c r="G106" s="170">
        <f>AVERAGE(C106:E106)</f>
        <v>5.419460736788092</v>
      </c>
      <c r="H106" s="170">
        <f>STDEV(C106:E106)</f>
        <v>0.08693632842740376</v>
      </c>
      <c r="I106" s="170">
        <f>(B106*B4+C106*C4+D106*D4+E106*E4+F106*F4)/SUM(B4:F4)</f>
        <v>6.5470124002289225</v>
      </c>
      <c r="K106" s="170">
        <f>(LN(H106)+LN(H126))/2-LN(K114*K115^6)</f>
        <v>-4.341737733966598</v>
      </c>
    </row>
    <row r="107" spans="1:11" ht="12.75">
      <c r="A107" s="170" t="s">
        <v>160</v>
      </c>
      <c r="B107" s="170">
        <f>B67*10000/B62</f>
        <v>-0.22389432650297503</v>
      </c>
      <c r="C107" s="170">
        <f>C67*10000/C62</f>
        <v>0.037413226780387575</v>
      </c>
      <c r="D107" s="170">
        <f>D67*10000/D62</f>
        <v>-0.05973519566803922</v>
      </c>
      <c r="E107" s="170">
        <f>E67*10000/E62</f>
        <v>-0.12955369639438813</v>
      </c>
      <c r="F107" s="170">
        <f>F67*10000/F62</f>
        <v>-0.1431355561297941</v>
      </c>
      <c r="G107" s="170">
        <f>AVERAGE(C107:E107)</f>
        <v>-0.05062522176067993</v>
      </c>
      <c r="H107" s="170">
        <f>STDEV(C107:E107)</f>
        <v>0.08385542365916136</v>
      </c>
      <c r="I107" s="170">
        <f>(B107*B4+C107*C4+D107*D4+E107*E4+F107*F4)/SUM(B4:F4)</f>
        <v>-0.08795977739893238</v>
      </c>
      <c r="K107" s="170">
        <f>(LN(H107)+LN(H127))/2-LN(K114*K115^7)</f>
        <v>-4.732267261927409</v>
      </c>
    </row>
    <row r="108" spans="1:9" ht="12.75">
      <c r="A108" s="170" t="s">
        <v>161</v>
      </c>
      <c r="B108" s="170">
        <f>B68*10000/B62</f>
        <v>-0.18588557428964114</v>
      </c>
      <c r="C108" s="170">
        <f>C68*10000/C62</f>
        <v>-0.005638204024655501</v>
      </c>
      <c r="D108" s="170">
        <f>D68*10000/D62</f>
        <v>0.04139406256811701</v>
      </c>
      <c r="E108" s="170">
        <f>E68*10000/E62</f>
        <v>-0.05111809179459604</v>
      </c>
      <c r="F108" s="170">
        <f>F68*10000/F62</f>
        <v>-0.25370006099172165</v>
      </c>
      <c r="G108" s="170">
        <f>AVERAGE(C108:E108)</f>
        <v>-0.005120744417044844</v>
      </c>
      <c r="H108" s="170">
        <f>STDEV(C108:E108)</f>
        <v>0.04625824790825678</v>
      </c>
      <c r="I108" s="170">
        <f>(B108*B4+C108*C4+D108*D4+E108*E4+F108*F4)/SUM(B4:F4)</f>
        <v>-0.06451210832858101</v>
      </c>
    </row>
    <row r="109" spans="1:9" ht="12.75">
      <c r="A109" s="170" t="s">
        <v>162</v>
      </c>
      <c r="B109" s="170">
        <f>B69*10000/B62</f>
        <v>-0.020526236583069058</v>
      </c>
      <c r="C109" s="170">
        <f>C69*10000/C62</f>
        <v>-0.028959710144786432</v>
      </c>
      <c r="D109" s="170">
        <f>D69*10000/D62</f>
        <v>-0.02605485618488392</v>
      </c>
      <c r="E109" s="170">
        <f>E69*10000/E62</f>
        <v>-0.05760294438892965</v>
      </c>
      <c r="F109" s="170">
        <f>F69*10000/F62</f>
        <v>-0.08576902305308473</v>
      </c>
      <c r="G109" s="170">
        <f>AVERAGE(C109:E109)</f>
        <v>-0.03753917023953333</v>
      </c>
      <c r="H109" s="170">
        <f>STDEV(C109:E109)</f>
        <v>0.017436336168202848</v>
      </c>
      <c r="I109" s="170">
        <f>(B109*B4+C109*C4+D109*D4+E109*E4+F109*F4)/SUM(B4:F4)</f>
        <v>-0.04157174328776268</v>
      </c>
    </row>
    <row r="110" spans="1:11" ht="12.75">
      <c r="A110" s="170" t="s">
        <v>163</v>
      </c>
      <c r="B110" s="170">
        <f>B70*10000/B62</f>
        <v>-0.4038636186202366</v>
      </c>
      <c r="C110" s="170">
        <f>C70*10000/C62</f>
        <v>-0.063199513356314</v>
      </c>
      <c r="D110" s="170">
        <f>D70*10000/D62</f>
        <v>-0.06673840115605886</v>
      </c>
      <c r="E110" s="170">
        <f>E70*10000/E62</f>
        <v>-0.09086170956783715</v>
      </c>
      <c r="F110" s="170">
        <f>F70*10000/F62</f>
        <v>-0.38835652242580504</v>
      </c>
      <c r="G110" s="170">
        <f>AVERAGE(C110:E110)</f>
        <v>-0.07359987469340333</v>
      </c>
      <c r="H110" s="170">
        <f>STDEV(C110:E110)</f>
        <v>0.015053542411637257</v>
      </c>
      <c r="I110" s="170">
        <f>(B110*B4+C110*C4+D110*D4+E110*E4+F110*F4)/SUM(B4:F4)</f>
        <v>-0.16338129654848785</v>
      </c>
      <c r="K110" s="170">
        <f>EXP(AVERAGE(K103:K107))</f>
        <v>0.009039905498438517</v>
      </c>
    </row>
    <row r="111" spans="1:9" ht="12.75">
      <c r="A111" s="170" t="s">
        <v>164</v>
      </c>
      <c r="B111" s="170">
        <f>B71*10000/B62</f>
        <v>0.05657088496923378</v>
      </c>
      <c r="C111" s="170">
        <f>C71*10000/C62</f>
        <v>0.05427522964554437</v>
      </c>
      <c r="D111" s="170">
        <f>D71*10000/D62</f>
        <v>0.04994930757199335</v>
      </c>
      <c r="E111" s="170">
        <f>E71*10000/E62</f>
        <v>0.07149185846908175</v>
      </c>
      <c r="F111" s="170">
        <f>F71*10000/F62</f>
        <v>0.014928822724395855</v>
      </c>
      <c r="G111" s="170">
        <f>AVERAGE(C111:E111)</f>
        <v>0.058572131895539815</v>
      </c>
      <c r="H111" s="170">
        <f>STDEV(C111:E111)</f>
        <v>0.011395959876110605</v>
      </c>
      <c r="I111" s="170">
        <f>(B111*B4+C111*C4+D111*D4+E111*E4+F111*F4)/SUM(B4:F4)</f>
        <v>0.0524188553311836</v>
      </c>
    </row>
    <row r="112" spans="1:9" ht="12.75">
      <c r="A112" s="170" t="s">
        <v>165</v>
      </c>
      <c r="B112" s="170">
        <f>B72*10000/B62</f>
        <v>-0.06186321852027686</v>
      </c>
      <c r="C112" s="170">
        <f>C72*10000/C62</f>
        <v>-0.05413437285302438</v>
      </c>
      <c r="D112" s="170">
        <f>D72*10000/D62</f>
        <v>-0.03231444667302538</v>
      </c>
      <c r="E112" s="170">
        <f>E72*10000/E62</f>
        <v>-0.05179024080585378</v>
      </c>
      <c r="F112" s="170">
        <f>F72*10000/F62</f>
        <v>-0.08320767097357923</v>
      </c>
      <c r="G112" s="170">
        <f>AVERAGE(C112:E112)</f>
        <v>-0.04607968677730118</v>
      </c>
      <c r="H112" s="170">
        <f>STDEV(C112:E112)</f>
        <v>0.011978527251290715</v>
      </c>
      <c r="I112" s="170">
        <f>(B112*B4+C112*C4+D112*D4+E112*E4+F112*F4)/SUM(B4:F4)</f>
        <v>-0.05333830347747289</v>
      </c>
    </row>
    <row r="113" spans="1:9" ht="12.75">
      <c r="A113" s="170" t="s">
        <v>166</v>
      </c>
      <c r="B113" s="170">
        <f>B73*10000/B62</f>
        <v>-0.005445422166906021</v>
      </c>
      <c r="C113" s="170">
        <f>C73*10000/C62</f>
        <v>-0.018057228610991637</v>
      </c>
      <c r="D113" s="170">
        <f>D73*10000/D62</f>
        <v>-0.02016149944484716</v>
      </c>
      <c r="E113" s="170">
        <f>E73*10000/E62</f>
        <v>-0.018737748160133016</v>
      </c>
      <c r="F113" s="170">
        <f>F73*10000/F62</f>
        <v>-0.010637576011899613</v>
      </c>
      <c r="G113" s="170">
        <f>AVERAGE(C113:E113)</f>
        <v>-0.018985492071990604</v>
      </c>
      <c r="H113" s="170">
        <f>STDEV(C113:E113)</f>
        <v>0.0010737884893919003</v>
      </c>
      <c r="I113" s="170">
        <f>(B113*B4+C113*C4+D113*D4+E113*E4+F113*F4)/SUM(B4:F4)</f>
        <v>-0.015916789177938973</v>
      </c>
    </row>
    <row r="114" spans="1:11" ht="12.75">
      <c r="A114" s="170" t="s">
        <v>167</v>
      </c>
      <c r="B114" s="170">
        <f>B74*10000/B62</f>
        <v>-0.1863269030847222</v>
      </c>
      <c r="C114" s="170">
        <f>C74*10000/C62</f>
        <v>-0.18259166667348897</v>
      </c>
      <c r="D114" s="170">
        <f>D74*10000/D62</f>
        <v>-0.18290781450274682</v>
      </c>
      <c r="E114" s="170">
        <f>E74*10000/E62</f>
        <v>-0.17647982991291136</v>
      </c>
      <c r="F114" s="170">
        <f>F74*10000/F62</f>
        <v>-0.14117153686419007</v>
      </c>
      <c r="G114" s="170">
        <f>AVERAGE(C114:E114)</f>
        <v>-0.18065977036304903</v>
      </c>
      <c r="H114" s="170">
        <f>STDEV(C114:E114)</f>
        <v>0.003623384327878945</v>
      </c>
      <c r="I114" s="170">
        <f>(B114*B4+C114*C4+D114*D4+E114*E4+F114*F4)/SUM(B4:F4)</f>
        <v>-0.17616895478039415</v>
      </c>
      <c r="J114" s="170" t="s">
        <v>185</v>
      </c>
      <c r="K114" s="170">
        <v>285</v>
      </c>
    </row>
    <row r="115" spans="1:11" ht="12.75">
      <c r="A115" s="170" t="s">
        <v>168</v>
      </c>
      <c r="B115" s="170">
        <f>B75*10000/B62</f>
        <v>-0.0008099850953627924</v>
      </c>
      <c r="C115" s="170">
        <f>C75*10000/C62</f>
        <v>0.0007838884172521252</v>
      </c>
      <c r="D115" s="170">
        <f>D75*10000/D62</f>
        <v>-0.0013940330932092927</v>
      </c>
      <c r="E115" s="170">
        <f>E75*10000/E62</f>
        <v>-0.0002973578759817783</v>
      </c>
      <c r="F115" s="170">
        <f>F75*10000/F62</f>
        <v>-0.0008298584232771162</v>
      </c>
      <c r="G115" s="170">
        <f>AVERAGE(C115:E115)</f>
        <v>-0.0003025008506463153</v>
      </c>
      <c r="H115" s="170">
        <f>STDEV(C115:E115)</f>
        <v>0.001088969863712461</v>
      </c>
      <c r="I115" s="170">
        <f>(B115*B4+C115*C4+D115*D4+E115*E4+F115*F4)/SUM(B4:F4)</f>
        <v>-0.0004462649304013666</v>
      </c>
      <c r="J115" s="170" t="s">
        <v>186</v>
      </c>
      <c r="K115" s="170">
        <v>0.5536</v>
      </c>
    </row>
    <row r="118" ht="12.75">
      <c r="A118" s="170" t="s">
        <v>151</v>
      </c>
    </row>
    <row r="120" spans="2:9" ht="12.75">
      <c r="B120" s="170" t="s">
        <v>84</v>
      </c>
      <c r="C120" s="170" t="s">
        <v>85</v>
      </c>
      <c r="D120" s="170" t="s">
        <v>86</v>
      </c>
      <c r="E120" s="170" t="s">
        <v>87</v>
      </c>
      <c r="F120" s="170" t="s">
        <v>88</v>
      </c>
      <c r="G120" s="170" t="s">
        <v>153</v>
      </c>
      <c r="H120" s="170" t="s">
        <v>154</v>
      </c>
      <c r="I120" s="170" t="s">
        <v>188</v>
      </c>
    </row>
    <row r="121" spans="1:9" ht="12.75">
      <c r="A121" s="170" t="s">
        <v>169</v>
      </c>
      <c r="B121" s="170">
        <f>B81*10000/B62</f>
        <v>0</v>
      </c>
      <c r="C121" s="170">
        <f>C81*10000/C62</f>
        <v>0</v>
      </c>
      <c r="D121" s="170">
        <f>D81*10000/D62</f>
        <v>0</v>
      </c>
      <c r="E121" s="170">
        <f>E81*10000/E62</f>
        <v>0</v>
      </c>
      <c r="F121" s="170">
        <f>F81*10000/F62</f>
        <v>0</v>
      </c>
      <c r="G121" s="170">
        <f>AVERAGE(C121:E121)</f>
        <v>0</v>
      </c>
      <c r="H121" s="170">
        <f>STDEV(C121:E121)</f>
        <v>0</v>
      </c>
      <c r="I121" s="170">
        <f>(B121*B4+C121*C4+D121*D4+E121*E4+F121*F4)/SUM(B4:F4)</f>
        <v>0</v>
      </c>
    </row>
    <row r="122" spans="1:9" ht="12.75">
      <c r="A122" s="170" t="s">
        <v>170</v>
      </c>
      <c r="B122" s="170">
        <f>B82*10000/B62</f>
        <v>59.31961954731391</v>
      </c>
      <c r="C122" s="170">
        <f>C82*10000/C62</f>
        <v>21.546239013733015</v>
      </c>
      <c r="D122" s="170">
        <f>D82*10000/D62</f>
        <v>-21.09944221140856</v>
      </c>
      <c r="E122" s="170">
        <f>E82*10000/E62</f>
        <v>-26.14098411988356</v>
      </c>
      <c r="F122" s="170">
        <f>F82*10000/F62</f>
        <v>-18.64832298321656</v>
      </c>
      <c r="G122" s="170">
        <f>AVERAGE(C122:E122)</f>
        <v>-8.564729105853035</v>
      </c>
      <c r="H122" s="170">
        <f>STDEV(C122:E122)</f>
        <v>26.198417643586282</v>
      </c>
      <c r="I122" s="170">
        <f>(B122*B4+C122*C4+D122*D4+E122*E4+F122*F4)/SUM(B4:F4)</f>
        <v>-0.15547181762998344</v>
      </c>
    </row>
    <row r="123" spans="1:9" ht="12.75">
      <c r="A123" s="170" t="s">
        <v>171</v>
      </c>
      <c r="B123" s="170">
        <f>B83*10000/B62</f>
        <v>0.49306367932729717</v>
      </c>
      <c r="C123" s="170">
        <f>C83*10000/C62</f>
        <v>-0.06542309158346812</v>
      </c>
      <c r="D123" s="170">
        <f>D83*10000/D62</f>
        <v>0.24796958703467625</v>
      </c>
      <c r="E123" s="170">
        <f>E83*10000/E62</f>
        <v>-0.0994843709030111</v>
      </c>
      <c r="F123" s="170">
        <f>F83*10000/F62</f>
        <v>5.707297837886512</v>
      </c>
      <c r="G123" s="170">
        <f>AVERAGE(C123:E123)</f>
        <v>0.02768737484939901</v>
      </c>
      <c r="H123" s="170">
        <f>STDEV(C123:E123)</f>
        <v>0.19152867263454476</v>
      </c>
      <c r="I123" s="170">
        <f>(B123*B4+C123*C4+D123*D4+E123*E4+F123*F4)/SUM(B4:F4)</f>
        <v>0.8577835961435517</v>
      </c>
    </row>
    <row r="124" spans="1:9" ht="12.75">
      <c r="A124" s="170" t="s">
        <v>172</v>
      </c>
      <c r="B124" s="170">
        <f>B84*10000/B62</f>
        <v>1.7263814977874807</v>
      </c>
      <c r="C124" s="170">
        <f>C84*10000/C62</f>
        <v>0.8436308459717942</v>
      </c>
      <c r="D124" s="170">
        <f>D84*10000/D62</f>
        <v>-0.7976976943852868</v>
      </c>
      <c r="E124" s="170">
        <f>E84*10000/E62</f>
        <v>-1.4539611331016769</v>
      </c>
      <c r="F124" s="170">
        <f>F84*10000/F62</f>
        <v>-1.0500705134032813</v>
      </c>
      <c r="G124" s="170">
        <f>AVERAGE(C124:E124)</f>
        <v>-0.4693426605050565</v>
      </c>
      <c r="H124" s="170">
        <f>STDEV(C124:E124)</f>
        <v>1.1834673619418292</v>
      </c>
      <c r="I124" s="170">
        <f>(B124*B4+C124*C4+D124*D4+E124*E4+F124*F4)/SUM(B4:F4)</f>
        <v>-0.23150360529168032</v>
      </c>
    </row>
    <row r="125" spans="1:9" ht="12.75">
      <c r="A125" s="170" t="s">
        <v>173</v>
      </c>
      <c r="B125" s="170">
        <f>B85*10000/B62</f>
        <v>0.06488385176498764</v>
      </c>
      <c r="C125" s="170">
        <f>C85*10000/C62</f>
        <v>-0.10738720765430655</v>
      </c>
      <c r="D125" s="170">
        <f>D85*10000/D62</f>
        <v>-0.24281139851412287</v>
      </c>
      <c r="E125" s="170">
        <f>E85*10000/E62</f>
        <v>-0.15653365029148567</v>
      </c>
      <c r="F125" s="170">
        <f>F85*10000/F62</f>
        <v>-1.310975137047224</v>
      </c>
      <c r="G125" s="170">
        <f>AVERAGE(C125:E125)</f>
        <v>-0.168910752153305</v>
      </c>
      <c r="H125" s="170">
        <f>STDEV(C125:E125)</f>
        <v>0.06855525038523597</v>
      </c>
      <c r="I125" s="170">
        <f>(B125*B4+C125*C4+D125*D4+E125*E4+F125*F4)/SUM(B4:F4)</f>
        <v>-0.2887508634878726</v>
      </c>
    </row>
    <row r="126" spans="1:9" ht="12.75">
      <c r="A126" s="170" t="s">
        <v>174</v>
      </c>
      <c r="B126" s="170">
        <f>B86*10000/B62</f>
        <v>0.16151677305310755</v>
      </c>
      <c r="C126" s="170">
        <f>C86*10000/C62</f>
        <v>0.0634803265956633</v>
      </c>
      <c r="D126" s="170">
        <f>D86*10000/D62</f>
        <v>-0.1976654555512683</v>
      </c>
      <c r="E126" s="170">
        <f>E86*10000/E62</f>
        <v>-0.08774278789700067</v>
      </c>
      <c r="F126" s="170">
        <f>F86*10000/F62</f>
        <v>1.4099795041046597</v>
      </c>
      <c r="G126" s="170">
        <f>AVERAGE(C126:E126)</f>
        <v>-0.07397597228420189</v>
      </c>
      <c r="H126" s="170">
        <f>STDEV(C126:E126)</f>
        <v>0.13111606992421168</v>
      </c>
      <c r="I126" s="170">
        <f>(B126*B4+C126*C4+D126*D4+E126*E4+F126*F4)/SUM(B4:F4)</f>
        <v>0.15929658811813424</v>
      </c>
    </row>
    <row r="127" spans="1:9" ht="12.75">
      <c r="A127" s="170" t="s">
        <v>175</v>
      </c>
      <c r="B127" s="170">
        <f>B87*10000/B62</f>
        <v>0.06296397030952441</v>
      </c>
      <c r="C127" s="170">
        <f>C87*10000/C62</f>
        <v>-0.010583974619132564</v>
      </c>
      <c r="D127" s="170">
        <f>D87*10000/D62</f>
        <v>-0.04864071144311692</v>
      </c>
      <c r="E127" s="170">
        <f>E87*10000/E62</f>
        <v>-0.02725610443497366</v>
      </c>
      <c r="F127" s="170">
        <f>F87*10000/F62</f>
        <v>0.43108060919722224</v>
      </c>
      <c r="G127" s="170">
        <f>AVERAGE(C127:E127)</f>
        <v>-0.028826930165741046</v>
      </c>
      <c r="H127" s="170">
        <f>STDEV(C127:E127)</f>
        <v>0.019076934358796562</v>
      </c>
      <c r="I127" s="170">
        <f>(B127*B4+C127*C4+D127*D4+E127*E4+F127*F4)/SUM(B4:F4)</f>
        <v>0.04617124764025956</v>
      </c>
    </row>
    <row r="128" spans="1:9" ht="12.75">
      <c r="A128" s="170" t="s">
        <v>176</v>
      </c>
      <c r="B128" s="170">
        <f>B88*10000/B62</f>
        <v>0.15841422489156295</v>
      </c>
      <c r="C128" s="170">
        <f>C88*10000/C62</f>
        <v>0.18421426574707817</v>
      </c>
      <c r="D128" s="170">
        <f>D88*10000/D62</f>
        <v>0.013173675565085719</v>
      </c>
      <c r="E128" s="170">
        <f>E88*10000/E62</f>
        <v>-0.11828390148681725</v>
      </c>
      <c r="F128" s="170">
        <f>F88*10000/F62</f>
        <v>0.020280260545602277</v>
      </c>
      <c r="G128" s="170">
        <f>AVERAGE(C128:E128)</f>
        <v>0.026368013275115548</v>
      </c>
      <c r="H128" s="170">
        <f>STDEV(C128:E128)</f>
        <v>0.15168010154819642</v>
      </c>
      <c r="I128" s="170">
        <f>(B128*B4+C128*C4+D128*D4+E128*E4+F128*F4)/SUM(B4:F4)</f>
        <v>0.04455641386211749</v>
      </c>
    </row>
    <row r="129" spans="1:9" ht="12.75">
      <c r="A129" s="170" t="s">
        <v>177</v>
      </c>
      <c r="B129" s="170">
        <f>B89*10000/B62</f>
        <v>0.05337785987831236</v>
      </c>
      <c r="C129" s="170">
        <f>C89*10000/C62</f>
        <v>0.03851642865371201</v>
      </c>
      <c r="D129" s="170">
        <f>D89*10000/D62</f>
        <v>-0.04348769512099566</v>
      </c>
      <c r="E129" s="170">
        <f>E89*10000/E62</f>
        <v>-0.017682125545937243</v>
      </c>
      <c r="F129" s="170">
        <f>F89*10000/F62</f>
        <v>-0.10939185356850649</v>
      </c>
      <c r="G129" s="170">
        <f>AVERAGE(C129:E129)</f>
        <v>-0.0075511306710736295</v>
      </c>
      <c r="H129" s="170">
        <f>STDEV(C129:E129)</f>
        <v>0.04193026200586253</v>
      </c>
      <c r="I129" s="170">
        <f>(B129*B4+C129*C4+D129*D4+E129*E4+F129*F4)/SUM(B4:F4)</f>
        <v>-0.012470978330236448</v>
      </c>
    </row>
    <row r="130" spans="1:9" ht="12.75">
      <c r="A130" s="170" t="s">
        <v>178</v>
      </c>
      <c r="B130" s="170">
        <f>B90*10000/B62</f>
        <v>-0.06520611897447624</v>
      </c>
      <c r="C130" s="170">
        <f>C90*10000/C62</f>
        <v>0.01699597453479242</v>
      </c>
      <c r="D130" s="170">
        <f>D90*10000/D62</f>
        <v>-0.020468149393538738</v>
      </c>
      <c r="E130" s="170">
        <f>E90*10000/E62</f>
        <v>-0.02980622921618256</v>
      </c>
      <c r="F130" s="170">
        <f>F90*10000/F62</f>
        <v>0.22811021641099063</v>
      </c>
      <c r="G130" s="170">
        <f>AVERAGE(C130:E130)</f>
        <v>-0.011092801358309626</v>
      </c>
      <c r="H130" s="170">
        <f>STDEV(C130:E130)</f>
        <v>0.024769627209007404</v>
      </c>
      <c r="I130" s="170">
        <f>(B130*B4+C130*C4+D130*D4+E130*E4+F130*F4)/SUM(B4:F4)</f>
        <v>0.01327124104431089</v>
      </c>
    </row>
    <row r="131" spans="1:9" ht="12.75">
      <c r="A131" s="170" t="s">
        <v>179</v>
      </c>
      <c r="B131" s="170">
        <f>B91*10000/B62</f>
        <v>0.08905322506008706</v>
      </c>
      <c r="C131" s="170">
        <f>C91*10000/C62</f>
        <v>0.08057856133321248</v>
      </c>
      <c r="D131" s="170">
        <f>D91*10000/D62</f>
        <v>0.025863371872936636</v>
      </c>
      <c r="E131" s="170">
        <f>E91*10000/E62</f>
        <v>0.06343078820255281</v>
      </c>
      <c r="F131" s="170">
        <f>F91*10000/F62</f>
        <v>0.12733568246545454</v>
      </c>
      <c r="G131" s="170">
        <f>AVERAGE(C131:E131)</f>
        <v>0.0566242404695673</v>
      </c>
      <c r="H131" s="170">
        <f>STDEV(C131:E131)</f>
        <v>0.027985439222022727</v>
      </c>
      <c r="I131" s="170">
        <f>(B131*B4+C131*C4+D131*D4+E131*E4+F131*F4)/SUM(B4:F4)</f>
        <v>0.07078992565857362</v>
      </c>
    </row>
    <row r="132" spans="1:9" ht="12.75">
      <c r="A132" s="170" t="s">
        <v>180</v>
      </c>
      <c r="B132" s="170">
        <f>B92*10000/B62</f>
        <v>0.03034134213846288</v>
      </c>
      <c r="C132" s="170">
        <f>C92*10000/C62</f>
        <v>0.028579327907227576</v>
      </c>
      <c r="D132" s="170">
        <f>D92*10000/D62</f>
        <v>0.035844042533835475</v>
      </c>
      <c r="E132" s="170">
        <f>E92*10000/E62</f>
        <v>0.02255252089240245</v>
      </c>
      <c r="F132" s="170">
        <f>F92*10000/F62</f>
        <v>0.00394713970184886</v>
      </c>
      <c r="G132" s="170">
        <f>AVERAGE(C132:E132)</f>
        <v>0.028991963777821834</v>
      </c>
      <c r="H132" s="170">
        <f>STDEV(C132:E132)</f>
        <v>0.006655361609818536</v>
      </c>
      <c r="I132" s="170">
        <f>(B132*B4+C132*C4+D132*D4+E132*E4+F132*F4)/SUM(B4:F4)</f>
        <v>0.02582107026000676</v>
      </c>
    </row>
    <row r="133" spans="1:9" ht="12.75">
      <c r="A133" s="170" t="s">
        <v>181</v>
      </c>
      <c r="B133" s="170">
        <f>B93*10000/B62</f>
        <v>-0.07580298470643519</v>
      </c>
      <c r="C133" s="170">
        <f>C93*10000/C62</f>
        <v>-0.0742731465072834</v>
      </c>
      <c r="D133" s="170">
        <f>D93*10000/D62</f>
        <v>-0.08221468496801718</v>
      </c>
      <c r="E133" s="170">
        <f>E93*10000/E62</f>
        <v>-0.07640298931594669</v>
      </c>
      <c r="F133" s="170">
        <f>F93*10000/F62</f>
        <v>-0.0655232288805965</v>
      </c>
      <c r="G133" s="170">
        <f>AVERAGE(C133:E133)</f>
        <v>-0.07763027359708242</v>
      </c>
      <c r="H133" s="170">
        <f>STDEV(C133:E133)</f>
        <v>0.004110556934391206</v>
      </c>
      <c r="I133" s="170">
        <f>(B133*B4+C133*C4+D133*D4+E133*E4+F133*F4)/SUM(B4:F4)</f>
        <v>-0.07574054920365092</v>
      </c>
    </row>
    <row r="134" spans="1:9" ht="12.75">
      <c r="A134" s="170" t="s">
        <v>182</v>
      </c>
      <c r="B134" s="170">
        <f>B94*10000/B62</f>
        <v>-0.020104317380820226</v>
      </c>
      <c r="C134" s="170">
        <f>C94*10000/C62</f>
        <v>0.0030152439006595117</v>
      </c>
      <c r="D134" s="170">
        <f>D94*10000/D62</f>
        <v>0.005485523275865574</v>
      </c>
      <c r="E134" s="170">
        <f>E94*10000/E62</f>
        <v>0.007426767180865655</v>
      </c>
      <c r="F134" s="170">
        <f>F94*10000/F62</f>
        <v>-0.02034653569436284</v>
      </c>
      <c r="G134" s="170">
        <f>AVERAGE(C134:E134)</f>
        <v>0.005309178119130248</v>
      </c>
      <c r="H134" s="170">
        <f>STDEV(C134:E134)</f>
        <v>0.0022110422030522598</v>
      </c>
      <c r="I134" s="170">
        <f>(B134*B4+C134*C4+D134*D4+E134*E4+F134*F4)/SUM(B4:F4)</f>
        <v>-0.0017927267438752682</v>
      </c>
    </row>
    <row r="135" spans="1:9" ht="12.75">
      <c r="A135" s="170" t="s">
        <v>183</v>
      </c>
      <c r="B135" s="170">
        <f>B95*10000/B62</f>
        <v>-0.004054178986242028</v>
      </c>
      <c r="C135" s="170">
        <f>C95*10000/C62</f>
        <v>0.0001390366902184211</v>
      </c>
      <c r="D135" s="170">
        <f>D95*10000/D62</f>
        <v>-0.000211184780531819</v>
      </c>
      <c r="E135" s="170">
        <f>E95*10000/E62</f>
        <v>-0.000691802362416221</v>
      </c>
      <c r="F135" s="170">
        <f>F95*10000/F62</f>
        <v>0.0005637730354989582</v>
      </c>
      <c r="G135" s="170">
        <f>AVERAGE(C135:E135)</f>
        <v>-0.00025465015090987296</v>
      </c>
      <c r="H135" s="170">
        <f>STDEV(C135:E135)</f>
        <v>0.0004171214591246576</v>
      </c>
      <c r="I135" s="170">
        <f>(B135*B4+C135*C4+D135*D4+E135*E4+F135*F4)/SUM(B4:F4)</f>
        <v>-0.0006909617262996845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2001-11-15T13:19:38Z</cp:lastPrinted>
  <dcterms:created xsi:type="dcterms:W3CDTF">1999-06-17T15:15:05Z</dcterms:created>
  <dcterms:modified xsi:type="dcterms:W3CDTF">2003-09-26T12:31:27Z</dcterms:modified>
  <cp:category/>
  <cp:version/>
  <cp:contentType/>
  <cp:contentStatus/>
</cp:coreProperties>
</file>