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6150" windowHeight="2175" tabRatio="1000" firstSheet="2" activeTab="7"/>
  </bookViews>
  <sheets>
    <sheet name="Sommaire" sheetId="1" r:id="rId1"/>
    <sheet name="HCMQAP019_003_pos1_" sheetId="2" r:id="rId2"/>
    <sheet name="HCMQAP019_003_pos2_" sheetId="3" r:id="rId3"/>
    <sheet name="HCMQAP019_003_pos3_" sheetId="4" r:id="rId4"/>
    <sheet name="HCMQAP019_003_pos4_" sheetId="5" r:id="rId5"/>
    <sheet name="HCMQAP019_003_pos5_" sheetId="6" r:id="rId6"/>
    <sheet name="Lmag_hcmqap" sheetId="7" r:id="rId7"/>
    <sheet name="Result_HCMQAP" sheetId="8" r:id="rId8"/>
  </sheets>
  <definedNames>
    <definedName name="_xlnm.Print_Area" localSheetId="1">'HCMQAP019_003_pos1_'!$A$1:$N$28</definedName>
    <definedName name="_xlnm.Print_Area" localSheetId="2">'HCMQAP019_003_pos2_'!$A$1:$N$28</definedName>
    <definedName name="_xlnm.Print_Area" localSheetId="3">'HCMQAP019_003_pos3_'!$A$1:$N$28</definedName>
    <definedName name="_xlnm.Print_Area" localSheetId="4">'HCMQAP019_003_pos4_'!$A$1:$N$28</definedName>
    <definedName name="_xlnm.Print_Area" localSheetId="5">'HCMQAP019_003_pos5_'!$A$1:$N$28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<sst xmlns="http://schemas.openxmlformats.org/spreadsheetml/2006/main" count="505" uniqueCount="188">
  <si>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</si>
  <si>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</si>
  <si>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</si>
  <si>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</si>
  <si>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</si>
  <si>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</si>
  <si>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</si>
  <si>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</si>
  <si>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</si>
  <si>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</si>
  <si>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</si>
  <si>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</si>
  <si>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</si>
  <si>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</si>
  <si>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</si>
  <si>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hcmqap019_003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</si>
  <si>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</si>
  <si>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</si>
  <si>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</si>
  <si>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</si>
  <si>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</si>
  <si>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</si>
  <si>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</si>
  <si>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</si>
  <si>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</si>
  <si>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</si>
  <si>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</si>
  <si>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</si>
  <si>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</si>
  <si>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</si>
  <si>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</si>
  <si>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</si>
  <si>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</si>
  <si>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</si>
  <si>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</si>
  <si>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</si>
  <si>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</si>
  <si>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</si>
  <si>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</si>
  <si>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</si>
  <si>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</si>
  <si>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</si>
  <si>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</si>
  <si>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</si>
  <si>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</si>
  <si>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</si>
  <si>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</si>
  <si>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</si>
  <si>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</si>
  <si>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</si>
  <si>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</si>
  <si>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</si>
  <si>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</si>
  <si>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</si>
  <si>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</si>
  <si>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</si>
  <si>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</si>
  <si>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</si>
  <si>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</si>
  <si>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-2.248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</si>
  <si>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</si>
  <si>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</si>
  <si>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</si>
  <si>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</si>
  <si>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</si>
  <si>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</si>
  <si>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</si>
  <si>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</si>
  <si>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HCMQAP019_003_pos1_</t>
  </si>
  <si>
    <t>±12.5</t>
  </si>
  <si>
    <t>THCMQAP019_003_pos1_.xls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</si>
  <si>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-3.756 mT)</t>
    </r>
  </si>
  <si>
    <t>HCMQAP019_003_pos2_</t>
  </si>
  <si>
    <t>THCMQAP019_003_pos2_.xls</t>
  </si>
  <si>
    <t>HCMQAP019_003_pos3_</t>
  </si>
  <si>
    <t>THCMQAP019_003_pos3_.xls</t>
  </si>
  <si>
    <t>HCMQAP019_003_pos4_</t>
  </si>
  <si>
    <t>THCMQAP019_003_pos4_.xls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</si>
  <si>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-2.094 mT)</t>
    </r>
  </si>
  <si>
    <t>HCMQAP019_003_pos5_</t>
  </si>
  <si>
    <t>THCMQAP019_003_pos5_.xls</t>
  </si>
  <si>
    <t>Sommaire : Valeurs intégrales calculées avec les fichiers: HCMQAP019_003_pos1_+HCMQAP019_003_pos2_+HCMQAP019_003_pos3_+HCMQAP019_003_pos4_+HCMQAP019_003_pos5_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</si>
  <si>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</si>
  <si>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</si>
  <si>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</si>
  <si>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</si>
  <si>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</si>
  <si>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</si>
  <si>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</si>
  <si>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</si>
  <si>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</si>
  <si>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</si>
  <si>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</si>
  <si>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</si>
  <si>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</si>
  <si>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</si>
  <si>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</si>
  <si>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</si>
  <si>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</si>
  <si>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</si>
  <si>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</si>
  <si>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</si>
  <si>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</si>
  <si>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</si>
  <si>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</si>
  <si>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</si>
  <si>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</si>
  <si>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</si>
  <si>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</si>
  <si>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</si>
  <si>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</si>
  <si>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</si>
  <si>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</si>
  <si>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</si>
  <si>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</si>
  <si>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</si>
  <si>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</si>
  <si>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</si>
  <si>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</si>
  <si>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</si>
  <si>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</si>
  <si>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</si>
  <si>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</si>
  <si>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</si>
  <si>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</si>
  <si>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=-3.756</t>
    </r>
  </si>
  <si>
    <t>Gradient (T/m)</t>
  </si>
  <si>
    <t>HCMQAP019_003_pos1_2</t>
  </si>
  <si>
    <t xml:space="preserve"> Wed 05/02/2003       15:39:46</t>
  </si>
  <si>
    <t>LISSNER</t>
  </si>
  <si>
    <t>HCMQAP019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</si>
  <si>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</si>
  <si>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</si>
  <si>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</si>
  <si>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</si>
  <si>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</si>
  <si>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</si>
  <si>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</si>
  <si>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</si>
  <si>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</si>
  <si>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</si>
  <si>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</si>
  <si>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</si>
  <si>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</si>
  <si>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</si>
  <si>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</si>
  <si>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</si>
  <si>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Conclusion : NOT-ACCEPTED</t>
  </si>
  <si>
    <t>Dx corrected</t>
  </si>
  <si>
    <t>Dy corrected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</si>
  <si>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</si>
  <si>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</si>
  <si>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</si>
  <si>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</si>
  <si>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</si>
  <si>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</si>
  <si>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</si>
  <si>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</si>
  <si>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</si>
  <si>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</si>
  <si>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</si>
  <si>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</si>
  <si>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</si>
  <si>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</si>
  <si>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</si>
  <si>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</si>
  <si>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</si>
  <si>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</si>
  <si>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</si>
  <si>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</si>
  <si>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</si>
  <si>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</si>
  <si>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</si>
  <si>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</si>
  <si>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</si>
  <si>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</si>
  <si>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</si>
  <si>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</si>
  <si>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</si>
  <si>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</si>
  <si>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</si>
  <si>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</si>
  <si>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</si>
  <si>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</si>
  <si>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</si>
  <si>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</si>
  <si>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</si>
  <si>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Integrals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</si>
</sst>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d/mm/yy\ h:mm:ss"/>
    <numFmt numFmtId="181" formatCode="0.0##"/>
    <numFmt numFmtId="182" formatCode="0.00E+0"/>
    <numFmt numFmtId="183" formatCode="0.0###"/>
    <numFmt numFmtId="184" formatCode="dd/mm/yy\ h:mm"/>
    <numFmt numFmtId="185" formatCode="0.0#"/>
    <numFmt numFmtId="186" formatCode="0.#"/>
    <numFmt numFmtId="187" formatCode="0.000"/>
    <numFmt numFmtId="188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0.75"/>
      <name val="Arial"/>
      <family val="0"/>
    </font>
    <font>
      <sz val="10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8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81" fontId="3" fillId="0" borderId="2" xfId="0" applyNumberFormat="1" applyFont="1" applyFill="1" applyBorder="1" applyAlignment="1">
      <alignment horizontal="left" vertical="top" wrapText="1"/>
    </xf>
    <xf numFmtId="181" fontId="3" fillId="0" borderId="3" xfId="0" applyNumberFormat="1" applyFont="1" applyFill="1" applyBorder="1" applyAlignment="1">
      <alignment horizontal="left"/>
    </xf>
    <xf numFmtId="181" fontId="3" fillId="0" borderId="3" xfId="0" applyNumberFormat="1" applyFont="1" applyFill="1" applyBorder="1" applyAlignment="1">
      <alignment horizontal="center"/>
    </xf>
    <xf numFmtId="181" fontId="3" fillId="0" borderId="3" xfId="0" applyNumberFormat="1" applyFont="1" applyFill="1" applyBorder="1" applyAlignment="1">
      <alignment horizontal="right"/>
    </xf>
    <xf numFmtId="181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right" vertical="top" wrapText="1"/>
    </xf>
    <xf numFmtId="181" fontId="2" fillId="0" borderId="3" xfId="0" applyNumberFormat="1" applyFont="1" applyFill="1" applyBorder="1" applyAlignment="1">
      <alignment horizontal="right" vertical="center"/>
    </xf>
    <xf numFmtId="186" fontId="3" fillId="0" borderId="2" xfId="0" applyNumberFormat="1" applyFont="1" applyFill="1" applyBorder="1" applyAlignment="1">
      <alignment horizontal="center" vertical="top" wrapText="1"/>
    </xf>
    <xf numFmtId="186" fontId="3" fillId="0" borderId="3" xfId="0" applyNumberFormat="1" applyFont="1" applyFill="1" applyBorder="1" applyAlignment="1">
      <alignment horizontal="center"/>
    </xf>
    <xf numFmtId="186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86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left"/>
    </xf>
    <xf numFmtId="181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81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81" fontId="2" fillId="2" borderId="3" xfId="0" applyNumberFormat="1" applyFont="1" applyFill="1" applyBorder="1" applyAlignment="1">
      <alignment horizontal="center"/>
    </xf>
    <xf numFmtId="181" fontId="2" fillId="2" borderId="3" xfId="0" applyNumberFormat="1" applyFont="1" applyFill="1" applyBorder="1" applyAlignment="1">
      <alignment horizontal="left"/>
    </xf>
    <xf numFmtId="181" fontId="2" fillId="2" borderId="3" xfId="0" applyNumberFormat="1" applyFont="1" applyFill="1" applyBorder="1" applyAlignment="1">
      <alignment horizontal="right"/>
    </xf>
    <xf numFmtId="181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8" fontId="3" fillId="0" borderId="2" xfId="0" applyNumberFormat="1" applyFont="1" applyFill="1" applyBorder="1" applyAlignment="1">
      <alignment horizontal="left" vertical="top"/>
    </xf>
    <xf numFmtId="188" fontId="3" fillId="2" borderId="3" xfId="0" applyNumberFormat="1" applyFont="1" applyFill="1" applyBorder="1" applyAlignment="1">
      <alignment horizontal="left"/>
    </xf>
    <xf numFmtId="188" fontId="4" fillId="2" borderId="3" xfId="0" applyNumberFormat="1" applyFont="1" applyFill="1" applyBorder="1" applyAlignment="1">
      <alignment horizontal="left"/>
    </xf>
    <xf numFmtId="188" fontId="2" fillId="0" borderId="3" xfId="0" applyNumberFormat="1" applyFont="1" applyFill="1" applyBorder="1" applyAlignment="1">
      <alignment horizontal="left" vertical="center"/>
    </xf>
    <xf numFmtId="188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81" fontId="3" fillId="0" borderId="7" xfId="0" applyNumberFormat="1" applyFont="1" applyFill="1" applyBorder="1" applyAlignment="1">
      <alignment horizontal="left"/>
    </xf>
    <xf numFmtId="181" fontId="3" fillId="0" borderId="8" xfId="0" applyNumberFormat="1" applyFont="1" applyFill="1" applyBorder="1" applyAlignment="1">
      <alignment horizontal="center"/>
    </xf>
    <xf numFmtId="181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81" fontId="3" fillId="0" borderId="12" xfId="0" applyNumberFormat="1" applyFont="1" applyFill="1" applyBorder="1" applyAlignment="1">
      <alignment horizontal="left"/>
    </xf>
    <xf numFmtId="181" fontId="3" fillId="0" borderId="13" xfId="0" applyNumberFormat="1" applyFont="1" applyFill="1" applyBorder="1" applyAlignment="1">
      <alignment horizontal="center"/>
    </xf>
    <xf numFmtId="181" fontId="3" fillId="0" borderId="14" xfId="0" applyNumberFormat="1" applyFont="1" applyFill="1" applyBorder="1" applyAlignment="1">
      <alignment horizontal="center"/>
    </xf>
    <xf numFmtId="182" fontId="3" fillId="0" borderId="15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84" fontId="3" fillId="0" borderId="11" xfId="0" applyNumberFormat="1" applyFont="1" applyFill="1" applyBorder="1" applyAlignment="1">
      <alignment horizontal="left"/>
    </xf>
    <xf numFmtId="181" fontId="3" fillId="0" borderId="16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center"/>
    </xf>
    <xf numFmtId="181" fontId="3" fillId="0" borderId="18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5" fillId="0" borderId="13" xfId="0" applyNumberFormat="1" applyFont="1" applyFill="1" applyBorder="1" applyAlignment="1">
      <alignment horizontal="left"/>
    </xf>
    <xf numFmtId="181" fontId="5" fillId="0" borderId="13" xfId="0" applyNumberFormat="1" applyFont="1" applyFill="1" applyBorder="1" applyAlignment="1">
      <alignment horizontal="center"/>
    </xf>
    <xf numFmtId="181" fontId="5" fillId="0" borderId="14" xfId="0" applyNumberFormat="1" applyFont="1" applyFill="1" applyBorder="1" applyAlignment="1">
      <alignment horizontal="center"/>
    </xf>
    <xf numFmtId="181" fontId="5" fillId="0" borderId="19" xfId="0" applyNumberFormat="1" applyFont="1" applyFill="1" applyBorder="1" applyAlignment="1">
      <alignment horizontal="center"/>
    </xf>
    <xf numFmtId="181" fontId="5" fillId="0" borderId="20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left"/>
    </xf>
    <xf numFmtId="181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81" fontId="3" fillId="0" borderId="22" xfId="0" applyNumberFormat="1" applyFont="1" applyFill="1" applyBorder="1" applyAlignment="1">
      <alignment horizontal="center"/>
    </xf>
    <xf numFmtId="181" fontId="4" fillId="0" borderId="23" xfId="0" applyNumberFormat="1" applyFont="1" applyFill="1" applyBorder="1" applyAlignment="1">
      <alignment horizontal="center"/>
    </xf>
    <xf numFmtId="181" fontId="3" fillId="0" borderId="23" xfId="0" applyNumberFormat="1" applyFont="1" applyFill="1" applyBorder="1" applyAlignment="1">
      <alignment horizontal="center"/>
    </xf>
    <xf numFmtId="181" fontId="3" fillId="0" borderId="24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81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left"/>
    </xf>
    <xf numFmtId="181" fontId="3" fillId="0" borderId="10" xfId="0" applyNumberFormat="1" applyFont="1" applyFill="1" applyBorder="1" applyAlignment="1">
      <alignment horizontal="center"/>
    </xf>
    <xf numFmtId="183" fontId="3" fillId="0" borderId="11" xfId="0" applyNumberFormat="1" applyFont="1" applyFill="1" applyBorder="1" applyAlignment="1">
      <alignment horizontal="left"/>
    </xf>
    <xf numFmtId="181" fontId="5" fillId="0" borderId="11" xfId="0" applyNumberFormat="1" applyFont="1" applyFill="1" applyBorder="1" applyAlignment="1">
      <alignment horizontal="left"/>
    </xf>
    <xf numFmtId="181" fontId="3" fillId="3" borderId="10" xfId="0" applyNumberFormat="1" applyFont="1" applyFill="1" applyBorder="1" applyAlignment="1">
      <alignment horizontal="center"/>
    </xf>
    <xf numFmtId="181" fontId="3" fillId="3" borderId="15" xfId="0" applyNumberFormat="1" applyFont="1" applyFill="1" applyBorder="1" applyAlignment="1">
      <alignment horizontal="center"/>
    </xf>
    <xf numFmtId="185" fontId="3" fillId="0" borderId="11" xfId="0" applyNumberFormat="1" applyFont="1" applyFill="1" applyBorder="1" applyAlignment="1">
      <alignment horizontal="left"/>
    </xf>
    <xf numFmtId="181" fontId="3" fillId="0" borderId="25" xfId="0" applyNumberFormat="1" applyFont="1" applyFill="1" applyBorder="1" applyAlignment="1">
      <alignment horizontal="center"/>
    </xf>
    <xf numFmtId="181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81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81" fontId="2" fillId="0" borderId="28" xfId="0" applyNumberFormat="1" applyFont="1" applyFill="1" applyBorder="1" applyAlignment="1">
      <alignment horizontal="left"/>
    </xf>
    <xf numFmtId="181" fontId="2" fillId="0" borderId="29" xfId="0" applyNumberFormat="1" applyFont="1" applyFill="1" applyBorder="1" applyAlignment="1">
      <alignment horizontal="left"/>
    </xf>
    <xf numFmtId="181" fontId="7" fillId="0" borderId="29" xfId="0" applyNumberFormat="1" applyFont="1" applyFill="1" applyBorder="1" applyAlignment="1">
      <alignment horizontal="left"/>
    </xf>
    <xf numFmtId="181" fontId="2" fillId="0" borderId="30" xfId="0" applyNumberFormat="1" applyFont="1" applyFill="1" applyBorder="1" applyAlignment="1">
      <alignment horizontal="left"/>
    </xf>
    <xf numFmtId="181" fontId="2" fillId="0" borderId="31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center"/>
    </xf>
    <xf numFmtId="181" fontId="2" fillId="0" borderId="33" xfId="0" applyNumberFormat="1" applyFont="1" applyFill="1" applyBorder="1" applyAlignment="1">
      <alignment horizontal="left"/>
    </xf>
    <xf numFmtId="181" fontId="2" fillId="0" borderId="34" xfId="0" applyNumberFormat="1" applyFont="1" applyFill="1" applyBorder="1" applyAlignment="1">
      <alignment horizontal="left"/>
    </xf>
    <xf numFmtId="181" fontId="2" fillId="0" borderId="35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center"/>
    </xf>
    <xf numFmtId="181" fontId="2" fillId="0" borderId="37" xfId="0" applyNumberFormat="1" applyFont="1" applyFill="1" applyBorder="1" applyAlignment="1">
      <alignment horizontal="left"/>
    </xf>
    <xf numFmtId="181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81" fontId="2" fillId="0" borderId="40" xfId="0" applyNumberFormat="1" applyFont="1" applyFill="1" applyBorder="1" applyAlignment="1">
      <alignment horizontal="left" vertical="center"/>
    </xf>
    <xf numFmtId="181" fontId="2" fillId="0" borderId="41" xfId="0" applyNumberFormat="1" applyFont="1" applyFill="1" applyBorder="1" applyAlignment="1">
      <alignment horizontal="left" vertical="center"/>
    </xf>
    <xf numFmtId="181" fontId="5" fillId="3" borderId="15" xfId="0" applyNumberFormat="1" applyFont="1" applyFill="1" applyBorder="1" applyAlignment="1">
      <alignment horizontal="center"/>
    </xf>
    <xf numFmtId="181" fontId="5" fillId="3" borderId="10" xfId="0" applyNumberFormat="1" applyFont="1" applyFill="1" applyBorder="1" applyAlignment="1">
      <alignment horizontal="center"/>
    </xf>
    <xf numFmtId="181" fontId="3" fillId="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87" fontId="5" fillId="0" borderId="15" xfId="0" applyNumberFormat="1" applyFont="1" applyFill="1" applyBorder="1" applyAlignment="1">
      <alignment horizontal="center"/>
    </xf>
    <xf numFmtId="187" fontId="3" fillId="0" borderId="15" xfId="0" applyNumberFormat="1" applyFont="1" applyFill="1" applyBorder="1" applyAlignment="1">
      <alignment horizontal="center"/>
    </xf>
    <xf numFmtId="187" fontId="3" fillId="3" borderId="15" xfId="0" applyNumberFormat="1" applyFont="1" applyFill="1" applyBorder="1" applyAlignment="1">
      <alignment horizontal="center"/>
    </xf>
    <xf numFmtId="187" fontId="3" fillId="0" borderId="42" xfId="0" applyNumberFormat="1" applyFont="1" applyFill="1" applyBorder="1" applyAlignment="1">
      <alignment horizontal="center"/>
    </xf>
    <xf numFmtId="187" fontId="0" fillId="0" borderId="43" xfId="0" applyNumberFormat="1" applyBorder="1" applyAlignment="1">
      <alignment horizontal="left"/>
    </xf>
    <xf numFmtId="187" fontId="0" fillId="0" borderId="44" xfId="0" applyNumberFormat="1" applyBorder="1" applyAlignment="1">
      <alignment horizontal="center"/>
    </xf>
    <xf numFmtId="187" fontId="0" fillId="0" borderId="15" xfId="0" applyNumberFormat="1" applyBorder="1" applyAlignment="1">
      <alignment horizontal="center"/>
    </xf>
    <xf numFmtId="187" fontId="0" fillId="0" borderId="45" xfId="0" applyNumberFormat="1" applyBorder="1" applyAlignment="1">
      <alignment horizontal="center"/>
    </xf>
    <xf numFmtId="187" fontId="0" fillId="0" borderId="46" xfId="0" applyNumberFormat="1" applyBorder="1" applyAlignment="1">
      <alignment horizontal="center"/>
    </xf>
    <xf numFmtId="187" fontId="0" fillId="0" borderId="43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47" xfId="0" applyNumberFormat="1" applyBorder="1" applyAlignment="1">
      <alignment horizontal="left"/>
    </xf>
    <xf numFmtId="187" fontId="0" fillId="0" borderId="20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7" fontId="0" fillId="0" borderId="49" xfId="0" applyNumberFormat="1" applyBorder="1" applyAlignment="1">
      <alignment horizontal="left"/>
    </xf>
    <xf numFmtId="187" fontId="0" fillId="0" borderId="14" xfId="0" applyNumberFormat="1" applyBorder="1" applyAlignment="1">
      <alignment horizontal="center"/>
    </xf>
    <xf numFmtId="187" fontId="5" fillId="0" borderId="14" xfId="0" applyNumberFormat="1" applyFont="1" applyFill="1" applyBorder="1" applyAlignment="1">
      <alignment horizontal="center"/>
    </xf>
    <xf numFmtId="187" fontId="3" fillId="0" borderId="14" xfId="0" applyNumberFormat="1" applyFont="1" applyFill="1" applyBorder="1" applyAlignment="1">
      <alignment horizontal="center"/>
    </xf>
    <xf numFmtId="187" fontId="3" fillId="3" borderId="14" xfId="0" applyNumberFormat="1" applyFont="1" applyFill="1" applyBorder="1" applyAlignment="1">
      <alignment horizontal="center"/>
    </xf>
    <xf numFmtId="187" fontId="3" fillId="0" borderId="50" xfId="0" applyNumberFormat="1" applyFont="1" applyFill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87" fontId="5" fillId="0" borderId="55" xfId="0" applyNumberFormat="1" applyFont="1" applyFill="1" applyBorder="1" applyAlignment="1">
      <alignment horizontal="center"/>
    </xf>
    <xf numFmtId="187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3" xfId="0" applyNumberFormat="1" applyBorder="1" applyAlignment="1">
      <alignment horizontal="center"/>
    </xf>
    <xf numFmtId="187" fontId="0" fillId="0" borderId="59" xfId="0" applyNumberFormat="1" applyBorder="1" applyAlignment="1">
      <alignment horizontal="center"/>
    </xf>
    <xf numFmtId="187" fontId="5" fillId="0" borderId="60" xfId="0" applyNumberFormat="1" applyFont="1" applyFill="1" applyBorder="1" applyAlignment="1">
      <alignment horizontal="center"/>
    </xf>
    <xf numFmtId="187" fontId="3" fillId="3" borderId="20" xfId="0" applyNumberFormat="1" applyFont="1" applyFill="1" applyBorder="1" applyAlignment="1">
      <alignment horizontal="center"/>
    </xf>
    <xf numFmtId="187" fontId="3" fillId="0" borderId="20" xfId="0" applyNumberFormat="1" applyFont="1" applyFill="1" applyBorder="1" applyAlignment="1">
      <alignment horizontal="center"/>
    </xf>
    <xf numFmtId="187" fontId="5" fillId="3" borderId="20" xfId="0" applyNumberFormat="1" applyFont="1" applyFill="1" applyBorder="1" applyAlignment="1">
      <alignment horizontal="center"/>
    </xf>
    <xf numFmtId="187" fontId="3" fillId="4" borderId="20" xfId="0" applyNumberFormat="1" applyFont="1" applyFill="1" applyBorder="1" applyAlignment="1">
      <alignment horizontal="center"/>
    </xf>
    <xf numFmtId="187" fontId="5" fillId="0" borderId="20" xfId="0" applyNumberFormat="1" applyFont="1" applyFill="1" applyBorder="1" applyAlignment="1">
      <alignment horizontal="center"/>
    </xf>
    <xf numFmtId="187" fontId="3" fillId="0" borderId="61" xfId="0" applyNumberFormat="1" applyFont="1" applyFill="1" applyBorder="1" applyAlignment="1">
      <alignment horizontal="center"/>
    </xf>
    <xf numFmtId="187" fontId="0" fillId="0" borderId="62" xfId="0" applyNumberFormat="1" applyBorder="1" applyAlignment="1">
      <alignment horizontal="center"/>
    </xf>
    <xf numFmtId="187" fontId="0" fillId="0" borderId="63" xfId="0" applyNumberFormat="1" applyBorder="1" applyAlignment="1">
      <alignment horizontal="center"/>
    </xf>
    <xf numFmtId="187" fontId="0" fillId="0" borderId="64" xfId="0" applyNumberFormat="1" applyBorder="1" applyAlignment="1">
      <alignment horizontal="center"/>
    </xf>
    <xf numFmtId="187" fontId="10" fillId="0" borderId="64" xfId="0" applyNumberFormat="1" applyFont="1" applyBorder="1" applyAlignment="1">
      <alignment horizontal="center"/>
    </xf>
    <xf numFmtId="187" fontId="0" fillId="0" borderId="65" xfId="0" applyNumberFormat="1" applyBorder="1" applyAlignment="1">
      <alignment horizontal="center"/>
    </xf>
    <xf numFmtId="187" fontId="11" fillId="0" borderId="66" xfId="0" applyNumberFormat="1" applyFont="1" applyBorder="1" applyAlignment="1">
      <alignment horizontal="center"/>
    </xf>
    <xf numFmtId="187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81" fontId="3" fillId="0" borderId="59" xfId="0" applyNumberFormat="1" applyFont="1" applyFill="1" applyBorder="1" applyAlignment="1">
      <alignment horizontal="center"/>
    </xf>
    <xf numFmtId="181" fontId="3" fillId="0" borderId="58" xfId="0" applyNumberFormat="1" applyFont="1" applyFill="1" applyBorder="1" applyAlignment="1">
      <alignment horizontal="center"/>
    </xf>
    <xf numFmtId="181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19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0.9856611</c:v>
                </c:pt>
                <c:pt idx="1">
                  <c:v>0.5956942</c:v>
                </c:pt>
                <c:pt idx="2">
                  <c:v>1.04163612</c:v>
                </c:pt>
                <c:pt idx="3">
                  <c:v>1.9339141999999998</c:v>
                </c:pt>
                <c:pt idx="4">
                  <c:v>-2.939121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1.7120808</c:v>
                </c:pt>
                <c:pt idx="1">
                  <c:v>1.6591079</c:v>
                </c:pt>
                <c:pt idx="2">
                  <c:v>1.41705094</c:v>
                </c:pt>
                <c:pt idx="3">
                  <c:v>-0.20092662</c:v>
                </c:pt>
                <c:pt idx="4">
                  <c:v>7.920394300000001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4.603758200000001</c:v>
                </c:pt>
                <c:pt idx="1">
                  <c:v>5.557000499999999</c:v>
                </c:pt>
                <c:pt idx="2">
                  <c:v>5.589738000000001</c:v>
                </c:pt>
                <c:pt idx="3">
                  <c:v>5.0396097</c:v>
                </c:pt>
                <c:pt idx="4">
                  <c:v>15.777714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0.82634133</c:v>
                </c:pt>
                <c:pt idx="1">
                  <c:v>0.60389003</c:v>
                </c:pt>
                <c:pt idx="2">
                  <c:v>0.006181961000000001</c:v>
                </c:pt>
                <c:pt idx="3">
                  <c:v>0.098299791</c:v>
                </c:pt>
                <c:pt idx="4">
                  <c:v>1.6081944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-0.43371711</c:v>
                </c:pt>
                <c:pt idx="1">
                  <c:v>-0.098254806</c:v>
                </c:pt>
                <c:pt idx="2">
                  <c:v>-0.098603691</c:v>
                </c:pt>
                <c:pt idx="3">
                  <c:v>-0.11982212300000002</c:v>
                </c:pt>
                <c:pt idx="4">
                  <c:v>-0.37828817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0.12185557</c:v>
                </c:pt>
                <c:pt idx="1">
                  <c:v>0.16517553000000001</c:v>
                </c:pt>
                <c:pt idx="2">
                  <c:v>0.076062728</c:v>
                </c:pt>
                <c:pt idx="3">
                  <c:v>0.12826564899999998</c:v>
                </c:pt>
                <c:pt idx="4">
                  <c:v>0.23027506999999997</c:v>
                </c:pt>
              </c:numCache>
            </c:numRef>
          </c:val>
          <c:smooth val="0"/>
        </c:ser>
        <c:marker val="1"/>
        <c:axId val="62595020"/>
        <c:axId val="26484269"/>
      </c:lineChart>
      <c:catAx>
        <c:axId val="625950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6484269"/>
        <c:crosses val="autoZero"/>
        <c:auto val="1"/>
        <c:lblOffset val="100"/>
        <c:noMultiLvlLbl val="0"/>
      </c:catAx>
      <c:valAx>
        <c:axId val="26484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259502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114300</xdr:rowOff>
    </xdr:from>
    <xdr:to>
      <xdr:col>6</xdr:col>
      <xdr:colOff>485775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57150" y="5591175"/>
        <a:ext cx="51149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43953</v>
      </c>
      <c r="B2" s="24">
        <v>80</v>
      </c>
      <c r="C2" s="24" t="s">
        <v>69</v>
      </c>
      <c r="D2" s="25">
        <v>5</v>
      </c>
      <c r="E2" s="25">
        <v>1</v>
      </c>
      <c r="F2" s="26"/>
      <c r="G2" s="26" t="s">
        <v>68</v>
      </c>
      <c r="H2" s="25">
        <v>1399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43953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1399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43953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74</v>
      </c>
      <c r="H4" s="25">
        <v>1399</v>
      </c>
      <c r="I4" s="27" t="s">
        <v>75</v>
      </c>
      <c r="J4" s="30"/>
      <c r="K4" s="31"/>
      <c r="L4" s="31"/>
      <c r="M4" s="31"/>
      <c r="N4" s="28"/>
    </row>
    <row r="5" spans="1:14" s="29" customFormat="1" ht="15" customHeight="1">
      <c r="A5" s="40">
        <v>43953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76</v>
      </c>
      <c r="H5" s="25">
        <v>1399</v>
      </c>
      <c r="I5" s="27" t="s">
        <v>77</v>
      </c>
      <c r="J5" s="30"/>
      <c r="K5" s="28"/>
      <c r="L5" s="28"/>
      <c r="M5" s="28"/>
      <c r="N5" s="28"/>
    </row>
    <row r="6" spans="1:14" s="29" customFormat="1" ht="15" customHeight="1">
      <c r="A6" s="40">
        <v>43953</v>
      </c>
      <c r="B6" s="24">
        <v>80</v>
      </c>
      <c r="C6" s="24" t="s">
        <v>69</v>
      </c>
      <c r="D6" s="25">
        <v>5</v>
      </c>
      <c r="E6" s="25">
        <v>5</v>
      </c>
      <c r="F6" s="26"/>
      <c r="G6" s="26" t="s">
        <v>79</v>
      </c>
      <c r="H6" s="25">
        <v>1399</v>
      </c>
      <c r="I6" s="27" t="s">
        <v>80</v>
      </c>
      <c r="J6" s="30"/>
      <c r="K6" s="28"/>
      <c r="L6" s="28"/>
      <c r="M6" s="28"/>
      <c r="N6" s="28"/>
    </row>
    <row r="7" spans="1:14" s="29" customFormat="1" ht="15" customHeight="1">
      <c r="A7" s="40" t="s">
        <v>81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7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2.94751733E-05</v>
      </c>
      <c r="L2" s="54">
        <v>1.0621382035405526E-07</v>
      </c>
      <c r="M2" s="54">
        <v>0.00013418023</v>
      </c>
      <c r="N2" s="55">
        <v>1.7488374024661158E-07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-3.20621467E-05</v>
      </c>
      <c r="L3" s="54">
        <v>6.13886570965922E-08</v>
      </c>
      <c r="M3" s="54">
        <v>1.4807809999999998E-05</v>
      </c>
      <c r="N3" s="55">
        <v>1.0597068179488745E-07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-0.0022479439172992314</v>
      </c>
      <c r="L4" s="54">
        <v>2.857286173340839E-05</v>
      </c>
      <c r="M4" s="54">
        <v>2.2783784175497376E-08</v>
      </c>
      <c r="N4" s="55">
        <v>-6.3549902000000005</v>
      </c>
    </row>
    <row r="5" spans="1:14" ht="15" customHeight="1" thickBot="1">
      <c r="A5" t="s">
        <v>18</v>
      </c>
      <c r="B5" s="58">
        <v>37657.60811342593</v>
      </c>
      <c r="D5" s="59"/>
      <c r="E5" s="60" t="s">
        <v>59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1399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0.9856611</v>
      </c>
      <c r="E8" s="77">
        <v>0.03189643169654068</v>
      </c>
      <c r="F8" s="77">
        <v>1.7120808</v>
      </c>
      <c r="G8" s="77">
        <v>0.030180075338877555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0.15550238</v>
      </c>
      <c r="E9" s="79">
        <v>0.02926596482290665</v>
      </c>
      <c r="F9" s="79">
        <v>0.88478177</v>
      </c>
      <c r="G9" s="79">
        <v>0.030972062041227787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0.021111739999999997</v>
      </c>
      <c r="E10" s="79">
        <v>0.0172915429057502</v>
      </c>
      <c r="F10" s="79">
        <v>-2.2674393</v>
      </c>
      <c r="G10" s="79">
        <v>0.013325676030158048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1</v>
      </c>
      <c r="D11" s="76">
        <v>4.603758200000001</v>
      </c>
      <c r="E11" s="77">
        <v>0.008084970510666057</v>
      </c>
      <c r="F11" s="77">
        <v>0.82634133</v>
      </c>
      <c r="G11" s="77">
        <v>0.009415523973659082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0.196723427</v>
      </c>
      <c r="E12" s="79">
        <v>0.012482079406209934</v>
      </c>
      <c r="F12" s="79">
        <v>0.110090006</v>
      </c>
      <c r="G12" s="79">
        <v>0.008683490640376403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20.477296</v>
      </c>
      <c r="D13" s="82">
        <v>0.09253188320000001</v>
      </c>
      <c r="E13" s="79">
        <v>0.0045711655127303455</v>
      </c>
      <c r="F13" s="79">
        <v>0.030624471999999996</v>
      </c>
      <c r="G13" s="79">
        <v>0.003723810679428544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0.163079658</v>
      </c>
      <c r="E14" s="79">
        <v>0.0022461771439022337</v>
      </c>
      <c r="F14" s="79">
        <v>0.38600981</v>
      </c>
      <c r="G14" s="79">
        <v>0.004376049948915268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-0.43371711</v>
      </c>
      <c r="E15" s="77">
        <v>0.0034077552437614136</v>
      </c>
      <c r="F15" s="77">
        <v>0.12185557</v>
      </c>
      <c r="G15" s="77">
        <v>0.0016313874694874736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-0.01346538923</v>
      </c>
      <c r="E16" s="79">
        <v>0.0007729382795497229</v>
      </c>
      <c r="F16" s="79">
        <v>-0.067410261</v>
      </c>
      <c r="G16" s="79">
        <v>0.003463720915820669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-0.3779999911785126</v>
      </c>
      <c r="D17" s="85">
        <v>0.16222303</v>
      </c>
      <c r="E17" s="79">
        <v>0.002322655786077336</v>
      </c>
      <c r="F17" s="79">
        <v>-0.05096536</v>
      </c>
      <c r="G17" s="79">
        <v>0.002521660849345163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23.905000686645508</v>
      </c>
      <c r="D18" s="82">
        <v>0.030741072999999997</v>
      </c>
      <c r="E18" s="79">
        <v>0.0012824489219833068</v>
      </c>
      <c r="F18" s="86">
        <v>0.18967476</v>
      </c>
      <c r="G18" s="79">
        <v>0.0023355943148159197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-0.4429999887943268</v>
      </c>
      <c r="D19" s="85">
        <v>-0.18599034000000003</v>
      </c>
      <c r="E19" s="79">
        <v>0.002819778479488106</v>
      </c>
      <c r="F19" s="79">
        <v>-0.0036808747000000005</v>
      </c>
      <c r="G19" s="79">
        <v>0.001163689444517461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0.2100017</v>
      </c>
      <c r="D20" s="88">
        <v>0.00042839840000000027</v>
      </c>
      <c r="E20" s="89">
        <v>0.001873405681663062</v>
      </c>
      <c r="F20" s="89">
        <v>-0.00092243921</v>
      </c>
      <c r="G20" s="89">
        <v>0.001599923108963627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1.0173761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-0.36411442486129636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-2.2481255</v>
      </c>
      <c r="I25" s="101" t="s">
        <v>49</v>
      </c>
      <c r="J25" s="102"/>
      <c r="K25" s="101"/>
      <c r="L25" s="104">
        <v>4.677331456902901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1.9755375141418727</v>
      </c>
      <c r="I26" s="106" t="s">
        <v>53</v>
      </c>
      <c r="J26" s="107"/>
      <c r="K26" s="106"/>
      <c r="L26" s="109">
        <v>0.45051005698738517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HCMQAP019_003_pos1_res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3.6674557499999997E-05</v>
      </c>
      <c r="L2" s="54">
        <v>1.9823514506090524E-07</v>
      </c>
      <c r="M2" s="54">
        <v>0.00023510429</v>
      </c>
      <c r="N2" s="55">
        <v>1.1748791166464007E-07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-2.9425796500000003E-05</v>
      </c>
      <c r="L3" s="54">
        <v>1.685276142626305E-07</v>
      </c>
      <c r="M3" s="54">
        <v>1.2349710000000005E-05</v>
      </c>
      <c r="N3" s="55">
        <v>1.3880513463119322E-07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-0.0037558155537161927</v>
      </c>
      <c r="L4" s="54">
        <v>6.137532853294977E-05</v>
      </c>
      <c r="M4" s="54">
        <v>3.094027545133957E-08</v>
      </c>
      <c r="N4" s="55">
        <v>-8.169978699999998</v>
      </c>
    </row>
    <row r="5" spans="1:14" ht="15" customHeight="1" thickBot="1">
      <c r="A5" t="s">
        <v>18</v>
      </c>
      <c r="B5" s="58">
        <v>37657.61287037037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1399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0.5956942</v>
      </c>
      <c r="E8" s="77">
        <v>0.013865178022767868</v>
      </c>
      <c r="F8" s="77">
        <v>1.6591079</v>
      </c>
      <c r="G8" s="77">
        <v>0.01777779305874198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-0.6350022</v>
      </c>
      <c r="E9" s="79">
        <v>0.014447345997521514</v>
      </c>
      <c r="F9" s="79">
        <v>0.5481459300000001</v>
      </c>
      <c r="G9" s="79">
        <v>0.007120682651231025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-0.249341737</v>
      </c>
      <c r="E10" s="79">
        <v>0.006237278884978371</v>
      </c>
      <c r="F10" s="86">
        <v>-3.2722636</v>
      </c>
      <c r="G10" s="79">
        <v>0.006878879744531202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2</v>
      </c>
      <c r="D11" s="76">
        <v>5.557000499999999</v>
      </c>
      <c r="E11" s="77">
        <v>0.005096965382318559</v>
      </c>
      <c r="F11" s="77">
        <v>0.60389003</v>
      </c>
      <c r="G11" s="77">
        <v>0.005471001215006495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-0.012737505000000001</v>
      </c>
      <c r="E12" s="79">
        <v>0.0040643989544777645</v>
      </c>
      <c r="F12" s="79">
        <v>-0.018057919999999998</v>
      </c>
      <c r="G12" s="79">
        <v>0.005140606400987142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20.474244</v>
      </c>
      <c r="D13" s="82">
        <v>0.041751125</v>
      </c>
      <c r="E13" s="79">
        <v>0.0025405154266191794</v>
      </c>
      <c r="F13" s="79">
        <v>-0.054793168</v>
      </c>
      <c r="G13" s="79">
        <v>0.0035830346235957333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0.16949563999999998</v>
      </c>
      <c r="E14" s="79">
        <v>0.0006639196211997008</v>
      </c>
      <c r="F14" s="79">
        <v>0.11257028399999999</v>
      </c>
      <c r="G14" s="79">
        <v>0.0024771866474828257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-0.098254806</v>
      </c>
      <c r="E15" s="77">
        <v>0.0023406811302769223</v>
      </c>
      <c r="F15" s="77">
        <v>0.16517553000000001</v>
      </c>
      <c r="G15" s="77">
        <v>0.00339554072197655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-0.069687542</v>
      </c>
      <c r="E16" s="79">
        <v>0.0020964152618353563</v>
      </c>
      <c r="F16" s="79">
        <v>-0.07080851800000001</v>
      </c>
      <c r="G16" s="79">
        <v>0.003592496647795898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0.4020000100135803</v>
      </c>
      <c r="D17" s="85">
        <v>0.1835806</v>
      </c>
      <c r="E17" s="79">
        <v>0.0020830302076541895</v>
      </c>
      <c r="F17" s="79">
        <v>-0.06915807599999999</v>
      </c>
      <c r="G17" s="79">
        <v>0.0008313800656114906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6.104000091552734</v>
      </c>
      <c r="D18" s="82">
        <v>0.041549132999999995</v>
      </c>
      <c r="E18" s="79">
        <v>0.0006604226126249162</v>
      </c>
      <c r="F18" s="86">
        <v>0.19317608999999997</v>
      </c>
      <c r="G18" s="79">
        <v>0.0014939162859440127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0.2460000067949295</v>
      </c>
      <c r="D19" s="85">
        <v>-0.17729451000000002</v>
      </c>
      <c r="E19" s="79">
        <v>0.0010142799196461495</v>
      </c>
      <c r="F19" s="79">
        <v>0.00793582085</v>
      </c>
      <c r="G19" s="79">
        <v>0.0009396050967071679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0.1485996</v>
      </c>
      <c r="D20" s="88">
        <v>0.0005059434999999999</v>
      </c>
      <c r="E20" s="89">
        <v>0.001045838132441297</v>
      </c>
      <c r="F20" s="89">
        <v>0.00032884064999999995</v>
      </c>
      <c r="G20" s="89">
        <v>0.0011646400122943526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1.0665721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-0.46810569361374327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-3.7563169999999997</v>
      </c>
      <c r="I25" s="101" t="s">
        <v>49</v>
      </c>
      <c r="J25" s="102"/>
      <c r="K25" s="101"/>
      <c r="L25" s="104">
        <v>5.589717141800079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1.7628075912464327</v>
      </c>
      <c r="I26" s="106" t="s">
        <v>53</v>
      </c>
      <c r="J26" s="107"/>
      <c r="K26" s="106"/>
      <c r="L26" s="109">
        <v>0.19218991288014714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HCMQAP019_003_pos2_res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4.626392E-06</v>
      </c>
      <c r="L2" s="54">
        <v>1.2477835159193504E-07</v>
      </c>
      <c r="M2" s="54">
        <v>0.00025213509000000003</v>
      </c>
      <c r="N2" s="55">
        <v>1.6762021175197583E-07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-2.8037906E-05</v>
      </c>
      <c r="L3" s="54">
        <v>1.392093602238761E-07</v>
      </c>
      <c r="M3" s="54">
        <v>9.75773E-06</v>
      </c>
      <c r="N3" s="55">
        <v>9.203826704150711E-08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-0.0037551351032261387</v>
      </c>
      <c r="L4" s="54">
        <v>6.137285864593389E-05</v>
      </c>
      <c r="M4" s="54">
        <v>6.736570736034426E-08</v>
      </c>
      <c r="N4" s="55">
        <v>-8.171130100000001</v>
      </c>
    </row>
    <row r="5" spans="1:14" ht="15" customHeight="1" thickBot="1">
      <c r="A5" t="s">
        <v>18</v>
      </c>
      <c r="B5" s="58">
        <v>37657.61748842592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1399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1.04163612</v>
      </c>
      <c r="E8" s="77">
        <v>0.01387810180920866</v>
      </c>
      <c r="F8" s="77">
        <v>1.41705094</v>
      </c>
      <c r="G8" s="77">
        <v>0.013907061746403776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-0.5868235199999999</v>
      </c>
      <c r="E9" s="79">
        <v>0.013691449953262566</v>
      </c>
      <c r="F9" s="79">
        <v>1.5971754999999999</v>
      </c>
      <c r="G9" s="79">
        <v>0.021284644765665727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-0.15065824</v>
      </c>
      <c r="E10" s="79">
        <v>0.0069821039596527305</v>
      </c>
      <c r="F10" s="86">
        <v>-3.3884322999999994</v>
      </c>
      <c r="G10" s="79">
        <v>0.010843193941922341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3</v>
      </c>
      <c r="D11" s="76">
        <v>5.589738000000001</v>
      </c>
      <c r="E11" s="77">
        <v>0.006505480957613015</v>
      </c>
      <c r="F11" s="77">
        <v>0.006181961000000001</v>
      </c>
      <c r="G11" s="77">
        <v>0.006564721849621202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0.33202150999999996</v>
      </c>
      <c r="E12" s="79">
        <v>0.0035640402425381433</v>
      </c>
      <c r="F12" s="79">
        <v>-0.07027027599999999</v>
      </c>
      <c r="G12" s="79">
        <v>0.004168924941907022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20.462037</v>
      </c>
      <c r="D13" s="82">
        <v>0.07908676300000002</v>
      </c>
      <c r="E13" s="79">
        <v>0.0037382557690418417</v>
      </c>
      <c r="F13" s="79">
        <v>0.1289876295</v>
      </c>
      <c r="G13" s="79">
        <v>0.001891515928464578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0.057552393</v>
      </c>
      <c r="E14" s="79">
        <v>0.003759429921310761</v>
      </c>
      <c r="F14" s="79">
        <v>0.12933885899999997</v>
      </c>
      <c r="G14" s="79">
        <v>0.003822206718484525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-0.098603691</v>
      </c>
      <c r="E15" s="77">
        <v>0.0021270643020314256</v>
      </c>
      <c r="F15" s="77">
        <v>0.076062728</v>
      </c>
      <c r="G15" s="77">
        <v>0.0034549172280152886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0.013795570000000002</v>
      </c>
      <c r="E16" s="79">
        <v>0.0031554701038910126</v>
      </c>
      <c r="F16" s="79">
        <v>-0.084936233</v>
      </c>
      <c r="G16" s="79">
        <v>0.002097069593498677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-0.3700000047683716</v>
      </c>
      <c r="D17" s="85">
        <v>0.1987817</v>
      </c>
      <c r="E17" s="79">
        <v>0.0012950611742278658</v>
      </c>
      <c r="F17" s="79">
        <v>0.0039405754</v>
      </c>
      <c r="G17" s="79">
        <v>0.001858481086736326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15.767000198364258</v>
      </c>
      <c r="D18" s="82">
        <v>0.0071005109</v>
      </c>
      <c r="E18" s="79">
        <v>0.0010258769550239174</v>
      </c>
      <c r="F18" s="86">
        <v>0.20329313</v>
      </c>
      <c r="G18" s="79">
        <v>0.001514708009349656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-0.4410000145435333</v>
      </c>
      <c r="D19" s="85">
        <v>-0.18033571</v>
      </c>
      <c r="E19" s="79">
        <v>0.0006504257862337494</v>
      </c>
      <c r="F19" s="79">
        <v>0.006496922770000001</v>
      </c>
      <c r="G19" s="79">
        <v>0.0006106780838250772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0.0023277000000000007</v>
      </c>
      <c r="D20" s="88">
        <v>0.0034427968000000004</v>
      </c>
      <c r="E20" s="89">
        <v>0.0006814573957835209</v>
      </c>
      <c r="F20" s="89">
        <v>-0.00138836658</v>
      </c>
      <c r="G20" s="89">
        <v>0.0009075188625837622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1.1414816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-0.4681716640299976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-3.7556366</v>
      </c>
      <c r="I25" s="101" t="s">
        <v>49</v>
      </c>
      <c r="J25" s="102"/>
      <c r="K25" s="101"/>
      <c r="L25" s="104">
        <v>5.589741418463453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1.7587038332372902</v>
      </c>
      <c r="I26" s="106" t="s">
        <v>53</v>
      </c>
      <c r="J26" s="107"/>
      <c r="K26" s="106"/>
      <c r="L26" s="109">
        <v>0.124532029894423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HCMQAP019_003_pos3_res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8.9711601E-05</v>
      </c>
      <c r="L2" s="54">
        <v>2.73240367120594E-07</v>
      </c>
      <c r="M2" s="54">
        <v>0.00026969703</v>
      </c>
      <c r="N2" s="55">
        <v>3.6239539677288733E-07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-2.8160138999999998E-05</v>
      </c>
      <c r="L3" s="54">
        <v>1.4892454701647915E-07</v>
      </c>
      <c r="M3" s="54">
        <v>8.627010000000003E-06</v>
      </c>
      <c r="N3" s="55">
        <v>1.2788315917273353E-07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-0.0037558787715181417</v>
      </c>
      <c r="L4" s="54">
        <v>5.9409244914670406E-05</v>
      </c>
      <c r="M4" s="54">
        <v>5.036406146673863E-08</v>
      </c>
      <c r="N4" s="55">
        <v>-7.908174700000001</v>
      </c>
    </row>
    <row r="5" spans="1:14" ht="15" customHeight="1" thickBot="1">
      <c r="A5" t="s">
        <v>18</v>
      </c>
      <c r="B5" s="58">
        <v>37657.622037037036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1399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1.9339141999999998</v>
      </c>
      <c r="E8" s="77">
        <v>0.012888532610822194</v>
      </c>
      <c r="F8" s="77">
        <v>-0.20092662</v>
      </c>
      <c r="G8" s="77">
        <v>0.01233220504227115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-0.77041282</v>
      </c>
      <c r="E9" s="79">
        <v>0.009840872396778272</v>
      </c>
      <c r="F9" s="79">
        <v>2.4565194</v>
      </c>
      <c r="G9" s="79">
        <v>0.01605122069633958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-1.24017855</v>
      </c>
      <c r="E10" s="79">
        <v>0.006345533048553625</v>
      </c>
      <c r="F10" s="86">
        <v>-3.6122935</v>
      </c>
      <c r="G10" s="79">
        <v>0.006132121199024681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4</v>
      </c>
      <c r="D11" s="76">
        <v>5.0396097</v>
      </c>
      <c r="E11" s="77">
        <v>0.004366804079345829</v>
      </c>
      <c r="F11" s="77">
        <v>0.098299791</v>
      </c>
      <c r="G11" s="77">
        <v>0.005001666802752057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0.38407698999999995</v>
      </c>
      <c r="E12" s="79">
        <v>0.003392696248326849</v>
      </c>
      <c r="F12" s="79">
        <v>-0.146991429</v>
      </c>
      <c r="G12" s="79">
        <v>0.0023587831327932358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20.455933</v>
      </c>
      <c r="D13" s="82">
        <v>-0.028993447</v>
      </c>
      <c r="E13" s="79">
        <v>0.0030653688880762694</v>
      </c>
      <c r="F13" s="79">
        <v>0.166436458</v>
      </c>
      <c r="G13" s="79">
        <v>0.004364393122626073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0.13846611</v>
      </c>
      <c r="E14" s="79">
        <v>0.0014766641051359684</v>
      </c>
      <c r="F14" s="79">
        <v>0.08606366299999998</v>
      </c>
      <c r="G14" s="79">
        <v>0.0026186241306377315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-0.11982212300000002</v>
      </c>
      <c r="E15" s="77">
        <v>0.004591546453884794</v>
      </c>
      <c r="F15" s="77">
        <v>0.12826564899999998</v>
      </c>
      <c r="G15" s="77">
        <v>0.0020412219121215343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-0.096174713</v>
      </c>
      <c r="E16" s="79">
        <v>0.0019263353763060288</v>
      </c>
      <c r="F16" s="79">
        <v>-0.088976672</v>
      </c>
      <c r="G16" s="79">
        <v>0.002628534931865333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0.4230000078678131</v>
      </c>
      <c r="D17" s="85">
        <v>0.19635546</v>
      </c>
      <c r="E17" s="79">
        <v>0.0019338483915230598</v>
      </c>
      <c r="F17" s="79">
        <v>-0.13017927</v>
      </c>
      <c r="G17" s="79">
        <v>0.001502624159129141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12.206999778747559</v>
      </c>
      <c r="D18" s="82">
        <v>0.076720168</v>
      </c>
      <c r="E18" s="79">
        <v>0.001059654892498352</v>
      </c>
      <c r="F18" s="86">
        <v>0.20627816000000002</v>
      </c>
      <c r="G18" s="79">
        <v>0.0008722731151402831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0.335999995470047</v>
      </c>
      <c r="D19" s="85">
        <v>-0.17273182</v>
      </c>
      <c r="E19" s="79">
        <v>0.0010903210717968857</v>
      </c>
      <c r="F19" s="79">
        <v>0.0045246786</v>
      </c>
      <c r="G19" s="79">
        <v>0.0012322855848078973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0.38669020000000004</v>
      </c>
      <c r="D20" s="88">
        <v>-0.0007300439000000002</v>
      </c>
      <c r="E20" s="89">
        <v>0.001218950738047908</v>
      </c>
      <c r="F20" s="89">
        <v>-0.00238809083</v>
      </c>
      <c r="G20" s="89">
        <v>0.0004918673732594819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1.2268089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-0.4531054166839085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-3.7563486</v>
      </c>
      <c r="I25" s="101" t="s">
        <v>49</v>
      </c>
      <c r="J25" s="102"/>
      <c r="K25" s="101"/>
      <c r="L25" s="104">
        <v>5.040568299035807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1.94432395438267</v>
      </c>
      <c r="I26" s="106" t="s">
        <v>53</v>
      </c>
      <c r="J26" s="107"/>
      <c r="K26" s="106"/>
      <c r="L26" s="109">
        <v>0.17552611735470688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HCMQAP019_003_pos4_res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3.6207957E-05</v>
      </c>
      <c r="L2" s="54">
        <v>4.613133114702952E-08</v>
      </c>
      <c r="M2" s="54">
        <v>0.00015672632</v>
      </c>
      <c r="N2" s="55">
        <v>1.4202024362825917E-07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-3.0506982999999998E-05</v>
      </c>
      <c r="L3" s="54">
        <v>8.669542402656E-08</v>
      </c>
      <c r="M3" s="54">
        <v>8.61044E-06</v>
      </c>
      <c r="N3" s="55">
        <v>7.702146713744192E-08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-0.0020936605059331706</v>
      </c>
      <c r="L4" s="54">
        <v>3.088525169963594E-05</v>
      </c>
      <c r="M4" s="54">
        <v>5.936801567502271E-08</v>
      </c>
      <c r="N4" s="55">
        <v>-7.3753628</v>
      </c>
    </row>
    <row r="5" spans="1:14" ht="15" customHeight="1" thickBot="1">
      <c r="A5" t="s">
        <v>18</v>
      </c>
      <c r="B5" s="58">
        <v>37657.62657407407</v>
      </c>
      <c r="D5" s="59"/>
      <c r="E5" s="60" t="s">
        <v>78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1399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-2.939121</v>
      </c>
      <c r="E8" s="77">
        <v>0.007872618579546041</v>
      </c>
      <c r="F8" s="114">
        <v>7.920394300000001</v>
      </c>
      <c r="G8" s="77">
        <v>0.018838764780547437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5">
        <v>-4.6829524</v>
      </c>
      <c r="E9" s="79">
        <v>0.01571474034298292</v>
      </c>
      <c r="F9" s="86">
        <v>2.8368896999999995</v>
      </c>
      <c r="G9" s="79">
        <v>0.026484247719403314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-1.5640971000000001</v>
      </c>
      <c r="E10" s="79">
        <v>0.005680267686467905</v>
      </c>
      <c r="F10" s="86">
        <v>-12.459551000000001</v>
      </c>
      <c r="G10" s="79">
        <v>0.018977988669173877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5</v>
      </c>
      <c r="D11" s="115">
        <v>15.777714</v>
      </c>
      <c r="E11" s="77">
        <v>0.009590499151916461</v>
      </c>
      <c r="F11" s="77">
        <v>1.6081944</v>
      </c>
      <c r="G11" s="77">
        <v>0.00870293316306126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-0.31239896</v>
      </c>
      <c r="E12" s="79">
        <v>0.005809313742981193</v>
      </c>
      <c r="F12" s="79">
        <v>0.45724938000000004</v>
      </c>
      <c r="G12" s="79">
        <v>0.00928810529842088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20.477296</v>
      </c>
      <c r="D13" s="82">
        <v>0.043936922</v>
      </c>
      <c r="E13" s="79">
        <v>0.007997928428818683</v>
      </c>
      <c r="F13" s="79">
        <v>-0.25302212</v>
      </c>
      <c r="G13" s="79">
        <v>0.00583932085679434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116">
        <v>0.39932102999999997</v>
      </c>
      <c r="E14" s="79">
        <v>0.0028602002959011883</v>
      </c>
      <c r="F14" s="79">
        <v>0.37845564</v>
      </c>
      <c r="G14" s="79">
        <v>0.00610978519298579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-0.37828817</v>
      </c>
      <c r="E15" s="77">
        <v>0.00407997918898993</v>
      </c>
      <c r="F15" s="77">
        <v>0.23027506999999997</v>
      </c>
      <c r="G15" s="77">
        <v>0.0048479736957422245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-0.071953668</v>
      </c>
      <c r="E16" s="79">
        <v>0.001520260510132036</v>
      </c>
      <c r="F16" s="79">
        <v>-0.083100883</v>
      </c>
      <c r="G16" s="79">
        <v>0.004210879263541628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-0.3310000002384186</v>
      </c>
      <c r="D17" s="85">
        <v>0.2145781</v>
      </c>
      <c r="E17" s="79">
        <v>0.0017834368211406297</v>
      </c>
      <c r="F17" s="79">
        <v>-0.038589255</v>
      </c>
      <c r="G17" s="79">
        <v>0.002090904585350551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35.095001220703125</v>
      </c>
      <c r="D18" s="82">
        <v>6.71469400000001E-05</v>
      </c>
      <c r="E18" s="79">
        <v>0.0028615435917212786</v>
      </c>
      <c r="F18" s="86">
        <v>0.1774832</v>
      </c>
      <c r="G18" s="79">
        <v>0.0017524491601769397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-0.42899999022483826</v>
      </c>
      <c r="D19" s="82">
        <v>-0.13301549000000001</v>
      </c>
      <c r="E19" s="79">
        <v>0.0021909708198408298</v>
      </c>
      <c r="F19" s="79">
        <v>-0.027558474</v>
      </c>
      <c r="G19" s="79">
        <v>0.0025537650437743903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0.2751406</v>
      </c>
      <c r="D20" s="88">
        <v>-0.00405336646</v>
      </c>
      <c r="E20" s="89">
        <v>0.001502433483581777</v>
      </c>
      <c r="F20" s="89">
        <v>0.0025776513200000003</v>
      </c>
      <c r="G20" s="89">
        <v>0.0014124130454562889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1.2766172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-0.4225775177537489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-2.0938883</v>
      </c>
      <c r="I25" s="101" t="s">
        <v>49</v>
      </c>
      <c r="J25" s="102"/>
      <c r="K25" s="101"/>
      <c r="L25" s="104">
        <v>15.859462421342892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8.44814051256923</v>
      </c>
      <c r="I26" s="106" t="s">
        <v>53</v>
      </c>
      <c r="J26" s="107"/>
      <c r="K26" s="106"/>
      <c r="L26" s="109">
        <v>0.4428640281457208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HCMQAP019_003_pos5_res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B2" sqref="B2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0" t="s">
        <v>118</v>
      </c>
      <c r="B1" s="132" t="s">
        <v>127</v>
      </c>
      <c r="C1" s="122" t="s">
        <v>72</v>
      </c>
      <c r="D1" s="122" t="s">
        <v>74</v>
      </c>
      <c r="E1" s="122" t="s">
        <v>76</v>
      </c>
      <c r="F1" s="129" t="s">
        <v>79</v>
      </c>
      <c r="G1" s="165" t="s">
        <v>119</v>
      </c>
    </row>
    <row r="2" spans="1:7" ht="13.5" thickBot="1">
      <c r="A2" s="141" t="s">
        <v>88</v>
      </c>
      <c r="B2" s="133">
        <v>-2.2481255</v>
      </c>
      <c r="C2" s="124">
        <v>-3.7563169999999997</v>
      </c>
      <c r="D2" s="124">
        <v>-3.7556366</v>
      </c>
      <c r="E2" s="124">
        <v>-3.7563486</v>
      </c>
      <c r="F2" s="130">
        <v>-2.0938883</v>
      </c>
      <c r="G2" s="166">
        <v>3.116576684036749</v>
      </c>
    </row>
    <row r="3" spans="1:7" ht="14.25" thickBot="1" thickTop="1">
      <c r="A3" s="149" t="s">
        <v>87</v>
      </c>
      <c r="B3" s="150" t="s">
        <v>82</v>
      </c>
      <c r="C3" s="151" t="s">
        <v>83</v>
      </c>
      <c r="D3" s="151" t="s">
        <v>84</v>
      </c>
      <c r="E3" s="151" t="s">
        <v>85</v>
      </c>
      <c r="F3" s="152" t="s">
        <v>86</v>
      </c>
      <c r="G3" s="160" t="s">
        <v>120</v>
      </c>
    </row>
    <row r="4" spans="1:7" ht="12.75">
      <c r="A4" s="146" t="s">
        <v>89</v>
      </c>
      <c r="B4" s="147">
        <v>0.9856611</v>
      </c>
      <c r="C4" s="148">
        <v>0.5956942</v>
      </c>
      <c r="D4" s="148">
        <v>1.04163612</v>
      </c>
      <c r="E4" s="148">
        <v>1.9339141999999998</v>
      </c>
      <c r="F4" s="153">
        <v>-2.939121</v>
      </c>
      <c r="G4" s="161">
        <v>0.6070202334910619</v>
      </c>
    </row>
    <row r="5" spans="1:7" ht="12.75">
      <c r="A5" s="141" t="s">
        <v>91</v>
      </c>
      <c r="B5" s="135">
        <v>0.15550238</v>
      </c>
      <c r="C5" s="119">
        <v>-0.6350022</v>
      </c>
      <c r="D5" s="119">
        <v>-0.5868235199999999</v>
      </c>
      <c r="E5" s="119">
        <v>-0.77041282</v>
      </c>
      <c r="F5" s="154">
        <v>-4.6829524</v>
      </c>
      <c r="G5" s="162">
        <v>-1.0851218476427713</v>
      </c>
    </row>
    <row r="6" spans="1:7" ht="12.75">
      <c r="A6" s="141" t="s">
        <v>93</v>
      </c>
      <c r="B6" s="135">
        <v>0.021111739999999997</v>
      </c>
      <c r="C6" s="119">
        <v>-0.249341737</v>
      </c>
      <c r="D6" s="119">
        <v>-0.15065824</v>
      </c>
      <c r="E6" s="119">
        <v>-1.24017855</v>
      </c>
      <c r="F6" s="155">
        <v>-1.5640971000000001</v>
      </c>
      <c r="G6" s="162">
        <v>-0.6014324080621625</v>
      </c>
    </row>
    <row r="7" spans="1:7" ht="12.75">
      <c r="A7" s="141" t="s">
        <v>95</v>
      </c>
      <c r="B7" s="134">
        <v>4.603758200000001</v>
      </c>
      <c r="C7" s="118">
        <v>5.557000499999999</v>
      </c>
      <c r="D7" s="118">
        <v>5.589738000000001</v>
      </c>
      <c r="E7" s="118">
        <v>5.0396097</v>
      </c>
      <c r="F7" s="156">
        <v>15.777714</v>
      </c>
      <c r="G7" s="163">
        <v>6.674048613500907</v>
      </c>
    </row>
    <row r="8" spans="1:7" ht="12.75">
      <c r="A8" s="141" t="s">
        <v>97</v>
      </c>
      <c r="B8" s="135">
        <v>0.196723427</v>
      </c>
      <c r="C8" s="119">
        <v>-0.012737505000000001</v>
      </c>
      <c r="D8" s="119">
        <v>0.33202150999999996</v>
      </c>
      <c r="E8" s="119">
        <v>0.38407698999999995</v>
      </c>
      <c r="F8" s="155">
        <v>-0.31239896</v>
      </c>
      <c r="G8" s="162">
        <v>0.15566395436599845</v>
      </c>
    </row>
    <row r="9" spans="1:7" ht="12.75">
      <c r="A9" s="141" t="s">
        <v>99</v>
      </c>
      <c r="B9" s="135">
        <v>0.09253188320000001</v>
      </c>
      <c r="C9" s="119">
        <v>0.041751125</v>
      </c>
      <c r="D9" s="119">
        <v>0.07908676300000002</v>
      </c>
      <c r="E9" s="119">
        <v>-0.028993447</v>
      </c>
      <c r="F9" s="155">
        <v>0.043936922</v>
      </c>
      <c r="G9" s="162">
        <v>0.041316549988871513</v>
      </c>
    </row>
    <row r="10" spans="1:7" ht="12.75">
      <c r="A10" s="141" t="s">
        <v>101</v>
      </c>
      <c r="B10" s="135">
        <v>0.163079658</v>
      </c>
      <c r="C10" s="119">
        <v>0.16949563999999998</v>
      </c>
      <c r="D10" s="119">
        <v>0.057552393</v>
      </c>
      <c r="E10" s="119">
        <v>0.13846611</v>
      </c>
      <c r="F10" s="157">
        <v>0.39932102999999997</v>
      </c>
      <c r="G10" s="162">
        <v>0.16500046355975354</v>
      </c>
    </row>
    <row r="11" spans="1:7" ht="12.75">
      <c r="A11" s="141" t="s">
        <v>103</v>
      </c>
      <c r="B11" s="134">
        <v>-0.43371711</v>
      </c>
      <c r="C11" s="118">
        <v>-0.098254806</v>
      </c>
      <c r="D11" s="118">
        <v>-0.098603691</v>
      </c>
      <c r="E11" s="118">
        <v>-0.11982212300000002</v>
      </c>
      <c r="F11" s="158">
        <v>-0.37828817</v>
      </c>
      <c r="G11" s="162">
        <v>-0.18940251823684967</v>
      </c>
    </row>
    <row r="12" spans="1:7" ht="12.75">
      <c r="A12" s="141" t="s">
        <v>105</v>
      </c>
      <c r="B12" s="135">
        <v>-0.01346538923</v>
      </c>
      <c r="C12" s="119">
        <v>-0.069687542</v>
      </c>
      <c r="D12" s="119">
        <v>0.013795570000000002</v>
      </c>
      <c r="E12" s="119">
        <v>-0.096174713</v>
      </c>
      <c r="F12" s="155">
        <v>-0.071953668</v>
      </c>
      <c r="G12" s="162">
        <v>-0.04818338899024059</v>
      </c>
    </row>
    <row r="13" spans="1:7" ht="12.75">
      <c r="A13" s="141" t="s">
        <v>107</v>
      </c>
      <c r="B13" s="136">
        <v>0.16222303</v>
      </c>
      <c r="C13" s="120">
        <v>0.1835806</v>
      </c>
      <c r="D13" s="120">
        <v>0.1987817</v>
      </c>
      <c r="E13" s="120">
        <v>0.19635546</v>
      </c>
      <c r="F13" s="154">
        <v>0.2145781</v>
      </c>
      <c r="G13" s="163">
        <v>0.19139385886296414</v>
      </c>
    </row>
    <row r="14" spans="1:7" ht="12.75">
      <c r="A14" s="141" t="s">
        <v>109</v>
      </c>
      <c r="B14" s="135">
        <v>0.030741072999999997</v>
      </c>
      <c r="C14" s="119">
        <v>0.041549132999999995</v>
      </c>
      <c r="D14" s="119">
        <v>0.0071005109</v>
      </c>
      <c r="E14" s="119">
        <v>0.076720168</v>
      </c>
      <c r="F14" s="155">
        <v>6.71469400000001E-05</v>
      </c>
      <c r="G14" s="162">
        <v>0.03460383103052962</v>
      </c>
    </row>
    <row r="15" spans="1:7" ht="12.75">
      <c r="A15" s="141" t="s">
        <v>111</v>
      </c>
      <c r="B15" s="136">
        <v>-0.18599034000000003</v>
      </c>
      <c r="C15" s="120">
        <v>-0.17729451000000002</v>
      </c>
      <c r="D15" s="120">
        <v>-0.18033571</v>
      </c>
      <c r="E15" s="120">
        <v>-0.17273182</v>
      </c>
      <c r="F15" s="155">
        <v>-0.13301549000000001</v>
      </c>
      <c r="G15" s="162">
        <v>-0.17224122235914666</v>
      </c>
    </row>
    <row r="16" spans="1:7" ht="12.75">
      <c r="A16" s="141" t="s">
        <v>113</v>
      </c>
      <c r="B16" s="135">
        <v>0.00042839840000000027</v>
      </c>
      <c r="C16" s="119">
        <v>0.0005059434999999999</v>
      </c>
      <c r="D16" s="119">
        <v>0.0034427968000000004</v>
      </c>
      <c r="E16" s="119">
        <v>-0.0007300439000000002</v>
      </c>
      <c r="F16" s="155">
        <v>-0.00405336646</v>
      </c>
      <c r="G16" s="162">
        <v>0.0002923627694546108</v>
      </c>
    </row>
    <row r="17" spans="1:7" ht="12.75">
      <c r="A17" s="141" t="s">
        <v>90</v>
      </c>
      <c r="B17" s="134">
        <v>1.7120808</v>
      </c>
      <c r="C17" s="118">
        <v>1.6591079</v>
      </c>
      <c r="D17" s="118">
        <v>1.41705094</v>
      </c>
      <c r="E17" s="118">
        <v>-0.20092662</v>
      </c>
      <c r="F17" s="156">
        <v>7.920394300000001</v>
      </c>
      <c r="G17" s="162">
        <v>2.0007735023999556</v>
      </c>
    </row>
    <row r="18" spans="1:7" ht="12.75">
      <c r="A18" s="141" t="s">
        <v>92</v>
      </c>
      <c r="B18" s="135">
        <v>0.88478177</v>
      </c>
      <c r="C18" s="119">
        <v>0.5481459300000001</v>
      </c>
      <c r="D18" s="119">
        <v>1.5971754999999999</v>
      </c>
      <c r="E18" s="119">
        <v>2.4565194</v>
      </c>
      <c r="F18" s="154">
        <v>2.8368896999999995</v>
      </c>
      <c r="G18" s="162">
        <v>1.6152263963854796</v>
      </c>
    </row>
    <row r="19" spans="1:7" ht="12.75">
      <c r="A19" s="141" t="s">
        <v>94</v>
      </c>
      <c r="B19" s="135">
        <v>-2.2674393</v>
      </c>
      <c r="C19" s="120">
        <v>-3.2722636</v>
      </c>
      <c r="D19" s="120">
        <v>-3.3884322999999994</v>
      </c>
      <c r="E19" s="120">
        <v>-3.6122935</v>
      </c>
      <c r="F19" s="154">
        <v>-12.459551000000001</v>
      </c>
      <c r="G19" s="163">
        <v>-4.469660291012874</v>
      </c>
    </row>
    <row r="20" spans="1:7" ht="12.75">
      <c r="A20" s="141" t="s">
        <v>96</v>
      </c>
      <c r="B20" s="134">
        <v>0.82634133</v>
      </c>
      <c r="C20" s="118">
        <v>0.60389003</v>
      </c>
      <c r="D20" s="118">
        <v>0.006181961000000001</v>
      </c>
      <c r="E20" s="118">
        <v>0.098299791</v>
      </c>
      <c r="F20" s="158">
        <v>1.6081944</v>
      </c>
      <c r="G20" s="162">
        <v>0.505176597390883</v>
      </c>
    </row>
    <row r="21" spans="1:7" ht="12.75">
      <c r="A21" s="141" t="s">
        <v>98</v>
      </c>
      <c r="B21" s="135">
        <v>0.110090006</v>
      </c>
      <c r="C21" s="119">
        <v>-0.018057919999999998</v>
      </c>
      <c r="D21" s="119">
        <v>-0.07027027599999999</v>
      </c>
      <c r="E21" s="119">
        <v>-0.146991429</v>
      </c>
      <c r="F21" s="155">
        <v>0.45724938000000004</v>
      </c>
      <c r="G21" s="162">
        <v>0.020565460423319835</v>
      </c>
    </row>
    <row r="22" spans="1:7" ht="12.75">
      <c r="A22" s="141" t="s">
        <v>100</v>
      </c>
      <c r="B22" s="135">
        <v>0.030624471999999996</v>
      </c>
      <c r="C22" s="119">
        <v>-0.054793168</v>
      </c>
      <c r="D22" s="119">
        <v>0.1289876295</v>
      </c>
      <c r="E22" s="119">
        <v>0.166436458</v>
      </c>
      <c r="F22" s="155">
        <v>-0.25302212</v>
      </c>
      <c r="G22" s="162">
        <v>0.028369131641568457</v>
      </c>
    </row>
    <row r="23" spans="1:7" ht="12.75">
      <c r="A23" s="141" t="s">
        <v>102</v>
      </c>
      <c r="B23" s="135">
        <v>0.38600981</v>
      </c>
      <c r="C23" s="119">
        <v>0.11257028399999999</v>
      </c>
      <c r="D23" s="119">
        <v>0.12933885899999997</v>
      </c>
      <c r="E23" s="119">
        <v>0.08606366299999998</v>
      </c>
      <c r="F23" s="155">
        <v>0.37845564</v>
      </c>
      <c r="G23" s="162">
        <v>0.1852702327066125</v>
      </c>
    </row>
    <row r="24" spans="1:7" ht="12.75">
      <c r="A24" s="141" t="s">
        <v>104</v>
      </c>
      <c r="B24" s="134">
        <v>0.12185557</v>
      </c>
      <c r="C24" s="118">
        <v>0.16517553000000001</v>
      </c>
      <c r="D24" s="118">
        <v>0.076062728</v>
      </c>
      <c r="E24" s="118">
        <v>0.12826564899999998</v>
      </c>
      <c r="F24" s="158">
        <v>0.23027506999999997</v>
      </c>
      <c r="G24" s="162">
        <v>0.137347827976936</v>
      </c>
    </row>
    <row r="25" spans="1:7" ht="12.75">
      <c r="A25" s="141" t="s">
        <v>106</v>
      </c>
      <c r="B25" s="135">
        <v>-0.067410261</v>
      </c>
      <c r="C25" s="119">
        <v>-0.07080851800000001</v>
      </c>
      <c r="D25" s="119">
        <v>-0.084936233</v>
      </c>
      <c r="E25" s="119">
        <v>-0.088976672</v>
      </c>
      <c r="F25" s="155">
        <v>-0.083100883</v>
      </c>
      <c r="G25" s="162">
        <v>-0.07973874173194942</v>
      </c>
    </row>
    <row r="26" spans="1:7" ht="12.75">
      <c r="A26" s="141" t="s">
        <v>108</v>
      </c>
      <c r="B26" s="135">
        <v>-0.05096536</v>
      </c>
      <c r="C26" s="119">
        <v>-0.06915807599999999</v>
      </c>
      <c r="D26" s="119">
        <v>0.0039405754</v>
      </c>
      <c r="E26" s="119">
        <v>-0.13017927</v>
      </c>
      <c r="F26" s="155">
        <v>-0.038589255</v>
      </c>
      <c r="G26" s="162">
        <v>-0.05953480512279258</v>
      </c>
    </row>
    <row r="27" spans="1:7" ht="12.75">
      <c r="A27" s="141" t="s">
        <v>110</v>
      </c>
      <c r="B27" s="136">
        <v>0.18967476</v>
      </c>
      <c r="C27" s="120">
        <v>0.19317608999999997</v>
      </c>
      <c r="D27" s="120">
        <v>0.20329313</v>
      </c>
      <c r="E27" s="120">
        <v>0.20627816000000002</v>
      </c>
      <c r="F27" s="154">
        <v>0.1774832</v>
      </c>
      <c r="G27" s="163">
        <v>0.19615369019644469</v>
      </c>
    </row>
    <row r="28" spans="1:7" ht="12.75">
      <c r="A28" s="141" t="s">
        <v>112</v>
      </c>
      <c r="B28" s="135">
        <v>-0.0036808747000000005</v>
      </c>
      <c r="C28" s="119">
        <v>0.00793582085</v>
      </c>
      <c r="D28" s="119">
        <v>0.006496922770000001</v>
      </c>
      <c r="E28" s="119">
        <v>0.0045246786</v>
      </c>
      <c r="F28" s="155">
        <v>-0.027558474</v>
      </c>
      <c r="G28" s="162">
        <v>0.0003348026577377256</v>
      </c>
    </row>
    <row r="29" spans="1:7" ht="13.5" thickBot="1">
      <c r="A29" s="142" t="s">
        <v>114</v>
      </c>
      <c r="B29" s="137">
        <v>-0.00092243921</v>
      </c>
      <c r="C29" s="121">
        <v>0.00032884064999999995</v>
      </c>
      <c r="D29" s="121">
        <v>-0.00138836658</v>
      </c>
      <c r="E29" s="121">
        <v>-0.00238809083</v>
      </c>
      <c r="F29" s="159">
        <v>0.0025776513200000003</v>
      </c>
      <c r="G29" s="164">
        <v>-0.0006166382175668586</v>
      </c>
    </row>
    <row r="30" spans="1:7" ht="13.5" thickTop="1">
      <c r="A30" s="143" t="s">
        <v>115</v>
      </c>
      <c r="B30" s="138">
        <v>-0.36411442486129636</v>
      </c>
      <c r="C30" s="127">
        <v>-0.46810569361374327</v>
      </c>
      <c r="D30" s="127">
        <v>-0.4681716640299976</v>
      </c>
      <c r="E30" s="127">
        <v>-0.4531054166839085</v>
      </c>
      <c r="F30" s="123">
        <v>-0.4225775177537489</v>
      </c>
      <c r="G30" s="165" t="s">
        <v>126</v>
      </c>
    </row>
    <row r="31" spans="1:7" ht="13.5" thickBot="1">
      <c r="A31" s="144" t="s">
        <v>116</v>
      </c>
      <c r="B31" s="133">
        <v>20.477296</v>
      </c>
      <c r="C31" s="124">
        <v>20.474244</v>
      </c>
      <c r="D31" s="124">
        <v>20.462037</v>
      </c>
      <c r="E31" s="124">
        <v>20.455933</v>
      </c>
      <c r="F31" s="125">
        <v>20.477296</v>
      </c>
      <c r="G31" s="167">
        <v>-209.81</v>
      </c>
    </row>
    <row r="32" spans="1:7" ht="15.75" thickBot="1" thickTop="1">
      <c r="A32" s="145" t="s">
        <v>117</v>
      </c>
      <c r="B32" s="139">
        <v>-0.4104999899864197</v>
      </c>
      <c r="C32" s="128">
        <v>0.3240000084042549</v>
      </c>
      <c r="D32" s="128">
        <v>-0.40550000965595245</v>
      </c>
      <c r="E32" s="128">
        <v>0.37950000166893005</v>
      </c>
      <c r="F32" s="126">
        <v>-0.3799999952316284</v>
      </c>
      <c r="G32" s="131" t="s">
        <v>125</v>
      </c>
    </row>
    <row r="33" spans="1:7" ht="15" thickTop="1">
      <c r="A33" t="s">
        <v>121</v>
      </c>
      <c r="G33" s="32" t="s">
        <v>122</v>
      </c>
    </row>
    <row r="34" ht="14.25">
      <c r="A34" t="s">
        <v>123</v>
      </c>
    </row>
    <row r="35" spans="1:2" ht="12.75">
      <c r="A35" t="s">
        <v>124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10.66015625" defaultRowHeight="12.75"/>
  <cols>
    <col min="1" max="1" width="31.5" style="168" bestFit="1" customWidth="1"/>
    <col min="2" max="2" width="15.66015625" style="168" bestFit="1" customWidth="1"/>
    <col min="3" max="3" width="14.83203125" style="168" bestFit="1" customWidth="1"/>
    <col min="4" max="4" width="16" style="168" bestFit="1" customWidth="1"/>
    <col min="5" max="5" width="21.33203125" style="168" bestFit="1" customWidth="1"/>
    <col min="6" max="7" width="14.83203125" style="168" bestFit="1" customWidth="1"/>
    <col min="8" max="8" width="14.16015625" style="168" bestFit="1" customWidth="1"/>
    <col min="9" max="9" width="14.83203125" style="168" bestFit="1" customWidth="1"/>
    <col min="10" max="10" width="6.33203125" style="168" bestFit="1" customWidth="1"/>
    <col min="11" max="11" width="15" style="168" bestFit="1" customWidth="1"/>
    <col min="12" max="16384" width="10.66015625" style="168" customWidth="1"/>
  </cols>
  <sheetData>
    <row r="1" spans="1:5" ht="12.75">
      <c r="A1" s="168" t="s">
        <v>128</v>
      </c>
      <c r="B1" s="168" t="s">
        <v>129</v>
      </c>
      <c r="C1" s="168" t="s">
        <v>130</v>
      </c>
      <c r="D1" s="168" t="s">
        <v>131</v>
      </c>
      <c r="E1" s="168" t="s">
        <v>132</v>
      </c>
    </row>
    <row r="3" spans="1:8" ht="12.75">
      <c r="A3" s="168" t="s">
        <v>133</v>
      </c>
      <c r="B3" s="168" t="s">
        <v>82</v>
      </c>
      <c r="C3" s="168" t="s">
        <v>83</v>
      </c>
      <c r="D3" s="168" t="s">
        <v>84</v>
      </c>
      <c r="E3" s="168" t="s">
        <v>85</v>
      </c>
      <c r="F3" s="168" t="s">
        <v>86</v>
      </c>
      <c r="G3" s="168" t="s">
        <v>134</v>
      </c>
      <c r="H3"/>
    </row>
    <row r="4" spans="1:8" ht="12.75">
      <c r="A4" s="168" t="s">
        <v>135</v>
      </c>
      <c r="B4" s="168">
        <v>0.002247</v>
      </c>
      <c r="C4" s="168">
        <v>0.003755</v>
      </c>
      <c r="D4" s="168">
        <v>0.003754</v>
      </c>
      <c r="E4" s="168">
        <v>0.003755</v>
      </c>
      <c r="F4" s="168">
        <v>0.002093</v>
      </c>
      <c r="G4" s="168">
        <v>0.011701</v>
      </c>
      <c r="H4"/>
    </row>
    <row r="5" spans="1:8" ht="12.75">
      <c r="A5" s="168" t="s">
        <v>136</v>
      </c>
      <c r="B5" s="168">
        <v>1.03957</v>
      </c>
      <c r="C5" s="168">
        <v>-0.069941</v>
      </c>
      <c r="D5" s="168">
        <v>-0.791743</v>
      </c>
      <c r="E5" s="168">
        <v>0.191489</v>
      </c>
      <c r="F5" s="168">
        <v>-0.02127</v>
      </c>
      <c r="G5" s="168">
        <v>-7.711712</v>
      </c>
      <c r="H5"/>
    </row>
    <row r="6" spans="1:8" ht="12.75">
      <c r="A6" s="168" t="s">
        <v>137</v>
      </c>
      <c r="B6" s="169">
        <v>-246.1123</v>
      </c>
      <c r="C6" s="169">
        <v>-213.4716</v>
      </c>
      <c r="D6" s="169">
        <v>-129.2427</v>
      </c>
      <c r="E6" s="169">
        <v>-353.5689</v>
      </c>
      <c r="F6" s="169">
        <v>-288.2548</v>
      </c>
      <c r="G6" s="169">
        <v>1344.466</v>
      </c>
      <c r="H6"/>
    </row>
    <row r="7" spans="1:8" ht="12.75">
      <c r="A7" s="168" t="s">
        <v>138</v>
      </c>
      <c r="B7" s="169">
        <v>10000</v>
      </c>
      <c r="C7" s="169">
        <v>10000</v>
      </c>
      <c r="D7" s="169">
        <v>10000</v>
      </c>
      <c r="E7" s="169">
        <v>10000</v>
      </c>
      <c r="F7" s="169">
        <v>10000</v>
      </c>
      <c r="G7" s="169">
        <v>10000</v>
      </c>
      <c r="H7"/>
    </row>
    <row r="8" spans="1:8" ht="12.75">
      <c r="A8" s="168" t="s">
        <v>89</v>
      </c>
      <c r="B8" s="169">
        <v>1.016849</v>
      </c>
      <c r="C8" s="169">
        <v>0.6214084</v>
      </c>
      <c r="D8" s="169">
        <v>1.07746</v>
      </c>
      <c r="E8" s="169">
        <v>1.887397</v>
      </c>
      <c r="F8" s="169">
        <v>-3.044811</v>
      </c>
      <c r="G8" s="169">
        <v>2.001142</v>
      </c>
      <c r="H8"/>
    </row>
    <row r="9" spans="1:8" ht="12.75">
      <c r="A9" s="168" t="s">
        <v>91</v>
      </c>
      <c r="B9" s="169">
        <v>0.0693027</v>
      </c>
      <c r="C9" s="169">
        <v>-0.6970395</v>
      </c>
      <c r="D9" s="169">
        <v>-0.5705666</v>
      </c>
      <c r="E9" s="169">
        <v>-0.7578396</v>
      </c>
      <c r="F9" s="169">
        <v>-4.368396</v>
      </c>
      <c r="G9" s="169">
        <v>1.063467</v>
      </c>
      <c r="H9"/>
    </row>
    <row r="10" spans="1:8" ht="12.75">
      <c r="A10" s="168" t="s">
        <v>93</v>
      </c>
      <c r="B10" s="169">
        <v>0.08262806</v>
      </c>
      <c r="C10" s="169">
        <v>-0.3133161</v>
      </c>
      <c r="D10" s="169">
        <v>-0.4822029</v>
      </c>
      <c r="E10" s="169">
        <v>-0.952308</v>
      </c>
      <c r="F10" s="169">
        <v>-1.258238</v>
      </c>
      <c r="G10" s="169">
        <v>4.409109</v>
      </c>
      <c r="H10"/>
    </row>
    <row r="11" spans="1:8" ht="12.75">
      <c r="A11" s="168" t="s">
        <v>95</v>
      </c>
      <c r="B11" s="169">
        <v>4.597088</v>
      </c>
      <c r="C11" s="169">
        <v>5.553211</v>
      </c>
      <c r="D11" s="169">
        <v>5.561079</v>
      </c>
      <c r="E11" s="169">
        <v>5.063828</v>
      </c>
      <c r="F11" s="169">
        <v>15.74448</v>
      </c>
      <c r="G11" s="169">
        <v>6.666726</v>
      </c>
      <c r="H11"/>
    </row>
    <row r="12" spans="1:8" ht="12.75">
      <c r="A12" s="168" t="s">
        <v>97</v>
      </c>
      <c r="B12" s="169">
        <v>0.1857183</v>
      </c>
      <c r="C12" s="169">
        <v>-0.02337786</v>
      </c>
      <c r="D12" s="169">
        <v>0.3183295</v>
      </c>
      <c r="E12" s="169">
        <v>0.3688094</v>
      </c>
      <c r="F12" s="169">
        <v>-0.306437</v>
      </c>
      <c r="G12" s="169">
        <v>0.01549844</v>
      </c>
      <c r="H12"/>
    </row>
    <row r="13" spans="1:8" ht="12.75">
      <c r="A13" s="168" t="s">
        <v>99</v>
      </c>
      <c r="B13" s="169">
        <v>0.1217377</v>
      </c>
      <c r="C13" s="169">
        <v>0.04195919</v>
      </c>
      <c r="D13" s="169">
        <v>0.07437984</v>
      </c>
      <c r="E13" s="169">
        <v>-0.02043564</v>
      </c>
      <c r="F13" s="169">
        <v>0.03804473</v>
      </c>
      <c r="G13" s="169">
        <v>-0.04570652</v>
      </c>
      <c r="H13"/>
    </row>
    <row r="14" spans="1:8" ht="12.75">
      <c r="A14" s="168" t="s">
        <v>101</v>
      </c>
      <c r="B14" s="169">
        <v>0.158502</v>
      </c>
      <c r="C14" s="169">
        <v>0.1766476</v>
      </c>
      <c r="D14" s="169">
        <v>0.06720544</v>
      </c>
      <c r="E14" s="169">
        <v>0.1183937</v>
      </c>
      <c r="F14" s="169">
        <v>0.3655623</v>
      </c>
      <c r="G14" s="169">
        <v>-0.1860691</v>
      </c>
      <c r="H14"/>
    </row>
    <row r="15" spans="1:8" ht="12.75">
      <c r="A15" s="168" t="s">
        <v>103</v>
      </c>
      <c r="B15" s="169">
        <v>-0.4375461</v>
      </c>
      <c r="C15" s="169">
        <v>-0.09675257</v>
      </c>
      <c r="D15" s="169">
        <v>-0.0953135</v>
      </c>
      <c r="E15" s="169">
        <v>-0.1217577</v>
      </c>
      <c r="F15" s="169">
        <v>-0.3746793</v>
      </c>
      <c r="G15" s="169">
        <v>-0.1888048</v>
      </c>
      <c r="H15"/>
    </row>
    <row r="16" spans="1:8" ht="12.75">
      <c r="A16" s="168" t="s">
        <v>105</v>
      </c>
      <c r="B16" s="169">
        <v>-0.01509604</v>
      </c>
      <c r="C16" s="169">
        <v>-0.07794831</v>
      </c>
      <c r="D16" s="169">
        <v>-0.01069741</v>
      </c>
      <c r="E16" s="169">
        <v>-0.0648478</v>
      </c>
      <c r="F16" s="169">
        <v>-0.05892753</v>
      </c>
      <c r="G16" s="169">
        <v>-0.08038016</v>
      </c>
      <c r="H16"/>
    </row>
    <row r="17" spans="1:8" ht="12.75">
      <c r="A17" s="168" t="s">
        <v>107</v>
      </c>
      <c r="B17" s="169">
        <v>0.1794521</v>
      </c>
      <c r="C17" s="169">
        <v>0.1923687</v>
      </c>
      <c r="D17" s="169">
        <v>0.1968272</v>
      </c>
      <c r="E17" s="169">
        <v>0.1944196</v>
      </c>
      <c r="F17" s="169">
        <v>0.1980816</v>
      </c>
      <c r="G17" s="169">
        <v>-0.1928513</v>
      </c>
      <c r="H17"/>
    </row>
    <row r="18" spans="1:8" ht="12.75">
      <c r="A18" s="168" t="s">
        <v>109</v>
      </c>
      <c r="B18" s="169">
        <v>0.02784885</v>
      </c>
      <c r="C18" s="169">
        <v>0.04401167</v>
      </c>
      <c r="D18" s="169">
        <v>0.01765413</v>
      </c>
      <c r="E18" s="169">
        <v>0.06853243</v>
      </c>
      <c r="F18" s="169">
        <v>-0.001538606</v>
      </c>
      <c r="G18" s="169">
        <v>-0.1965723</v>
      </c>
      <c r="H18"/>
    </row>
    <row r="19" spans="1:8" ht="12.75">
      <c r="A19" s="168" t="s">
        <v>111</v>
      </c>
      <c r="B19" s="169">
        <v>-0.1860236</v>
      </c>
      <c r="C19" s="169">
        <v>-0.1773785</v>
      </c>
      <c r="D19" s="169">
        <v>-0.1803476</v>
      </c>
      <c r="E19" s="169">
        <v>-0.1728425</v>
      </c>
      <c r="F19" s="169">
        <v>-0.1331431</v>
      </c>
      <c r="G19" s="169">
        <v>-0.1723124</v>
      </c>
      <c r="H19"/>
    </row>
    <row r="20" spans="1:8" ht="12.75">
      <c r="A20" s="168" t="s">
        <v>113</v>
      </c>
      <c r="B20" s="169">
        <v>0.0004852953</v>
      </c>
      <c r="C20" s="169">
        <v>0.0004839788</v>
      </c>
      <c r="D20" s="169">
        <v>0.003365875</v>
      </c>
      <c r="E20" s="169">
        <v>-0.0007370506</v>
      </c>
      <c r="F20" s="169">
        <v>-0.004179402</v>
      </c>
      <c r="G20" s="169">
        <v>-0.0006343156</v>
      </c>
      <c r="H20"/>
    </row>
    <row r="21" spans="1:8" ht="12.75">
      <c r="A21" s="168" t="s">
        <v>139</v>
      </c>
      <c r="B21" s="169">
        <v>-1270.31</v>
      </c>
      <c r="C21" s="169">
        <v>-1298.894</v>
      </c>
      <c r="D21" s="169">
        <v>-1343.492</v>
      </c>
      <c r="E21" s="169">
        <v>-1392.216</v>
      </c>
      <c r="F21" s="169">
        <v>-1421.896</v>
      </c>
      <c r="G21" s="169">
        <v>-241.6316</v>
      </c>
      <c r="H21"/>
    </row>
    <row r="22" spans="1:8" ht="12.75">
      <c r="A22" s="168" t="s">
        <v>140</v>
      </c>
      <c r="B22" s="169">
        <v>20.79143</v>
      </c>
      <c r="C22" s="169">
        <v>-1.398815</v>
      </c>
      <c r="D22" s="169">
        <v>-15.83488</v>
      </c>
      <c r="E22" s="169">
        <v>3.829777</v>
      </c>
      <c r="F22" s="169">
        <v>-0.425395</v>
      </c>
      <c r="G22" s="169">
        <v>0</v>
      </c>
      <c r="H22"/>
    </row>
    <row r="23" spans="1:8" ht="12.75">
      <c r="A23" s="168" t="s">
        <v>90</v>
      </c>
      <c r="B23" s="169">
        <v>1.720769</v>
      </c>
      <c r="C23" s="169">
        <v>1.665547</v>
      </c>
      <c r="D23" s="169">
        <v>1.359648</v>
      </c>
      <c r="E23" s="169">
        <v>-0.1279588</v>
      </c>
      <c r="F23" s="169">
        <v>7.873484</v>
      </c>
      <c r="G23" s="169">
        <v>-0.6008087</v>
      </c>
      <c r="H23"/>
    </row>
    <row r="24" spans="1:8" ht="12.75">
      <c r="A24" s="168" t="s">
        <v>92</v>
      </c>
      <c r="B24" s="169">
        <v>0.895706</v>
      </c>
      <c r="C24" s="169">
        <v>0.6011058</v>
      </c>
      <c r="D24" s="169">
        <v>1.764223</v>
      </c>
      <c r="E24" s="169">
        <v>2.284273</v>
      </c>
      <c r="F24" s="169">
        <v>2.590509</v>
      </c>
      <c r="G24" s="169">
        <v>-1.59518</v>
      </c>
      <c r="H24"/>
    </row>
    <row r="25" spans="1:8" ht="12.75">
      <c r="A25" s="168" t="s">
        <v>94</v>
      </c>
      <c r="B25" s="169">
        <v>-2.435296</v>
      </c>
      <c r="C25" s="169">
        <v>-3.408174</v>
      </c>
      <c r="D25" s="169">
        <v>-3.386776</v>
      </c>
      <c r="E25" s="169">
        <v>-3.48622</v>
      </c>
      <c r="F25" s="169">
        <v>-11.81223</v>
      </c>
      <c r="G25" s="169">
        <v>-0.5771231</v>
      </c>
      <c r="H25"/>
    </row>
    <row r="26" spans="1:8" ht="12.75">
      <c r="A26" s="168" t="s">
        <v>96</v>
      </c>
      <c r="B26" s="169">
        <v>0.8566783</v>
      </c>
      <c r="C26" s="169">
        <v>0.6086745</v>
      </c>
      <c r="D26" s="169">
        <v>-0.01035489</v>
      </c>
      <c r="E26" s="169">
        <v>0.1118931</v>
      </c>
      <c r="F26" s="169">
        <v>1.610363</v>
      </c>
      <c r="G26" s="169">
        <v>0.5108725</v>
      </c>
      <c r="H26"/>
    </row>
    <row r="27" spans="1:8" ht="12.75">
      <c r="A27" s="168" t="s">
        <v>98</v>
      </c>
      <c r="B27" s="169">
        <v>0.1000231</v>
      </c>
      <c r="C27" s="169">
        <v>-0.02115496</v>
      </c>
      <c r="D27" s="169">
        <v>-0.08568912</v>
      </c>
      <c r="E27" s="169">
        <v>-0.1376927</v>
      </c>
      <c r="F27" s="169">
        <v>0.4466549</v>
      </c>
      <c r="G27" s="169">
        <v>-0.1453414</v>
      </c>
      <c r="H27"/>
    </row>
    <row r="28" spans="1:8" ht="12.75">
      <c r="A28" s="168" t="s">
        <v>100</v>
      </c>
      <c r="B28" s="169">
        <v>0.01722617</v>
      </c>
      <c r="C28" s="169">
        <v>-0.06683205</v>
      </c>
      <c r="D28" s="169">
        <v>0.1138764</v>
      </c>
      <c r="E28" s="169">
        <v>0.1766044</v>
      </c>
      <c r="F28" s="169">
        <v>-0.219345</v>
      </c>
      <c r="G28" s="169">
        <v>-0.02687209</v>
      </c>
      <c r="H28"/>
    </row>
    <row r="29" spans="1:8" ht="12.75">
      <c r="A29" s="168" t="s">
        <v>102</v>
      </c>
      <c r="B29" s="169">
        <v>0.4175497</v>
      </c>
      <c r="C29" s="169">
        <v>0.1109953</v>
      </c>
      <c r="D29" s="169">
        <v>0.1189129</v>
      </c>
      <c r="E29" s="169">
        <v>0.09173428</v>
      </c>
      <c r="F29" s="169">
        <v>0.3617246</v>
      </c>
      <c r="G29" s="169">
        <v>0.1590051</v>
      </c>
      <c r="H29"/>
    </row>
    <row r="30" spans="1:8" ht="12.75">
      <c r="A30" s="168" t="s">
        <v>104</v>
      </c>
      <c r="B30" s="169">
        <v>0.1130667</v>
      </c>
      <c r="C30" s="169">
        <v>0.1685523</v>
      </c>
      <c r="D30" s="169">
        <v>0.08500955</v>
      </c>
      <c r="E30" s="169">
        <v>0.1118541</v>
      </c>
      <c r="F30" s="169">
        <v>0.2205566</v>
      </c>
      <c r="G30" s="169">
        <v>0.1337686</v>
      </c>
      <c r="H30"/>
    </row>
    <row r="31" spans="1:8" ht="12.75">
      <c r="A31" s="168" t="s">
        <v>106</v>
      </c>
      <c r="B31" s="169">
        <v>-0.07946863</v>
      </c>
      <c r="C31" s="169">
        <v>-0.0761788</v>
      </c>
      <c r="D31" s="169">
        <v>-0.08203006</v>
      </c>
      <c r="E31" s="169">
        <v>-0.09113824</v>
      </c>
      <c r="F31" s="169">
        <v>-0.06658344</v>
      </c>
      <c r="G31" s="169">
        <v>0.04700056</v>
      </c>
      <c r="H31"/>
    </row>
    <row r="32" spans="1:8" ht="12.75">
      <c r="A32" s="168" t="s">
        <v>108</v>
      </c>
      <c r="B32" s="169">
        <v>-0.05001423</v>
      </c>
      <c r="C32" s="169">
        <v>-0.07801846</v>
      </c>
      <c r="D32" s="169">
        <v>-0.02563146</v>
      </c>
      <c r="E32" s="169">
        <v>-0.09789207</v>
      </c>
      <c r="F32" s="169">
        <v>-0.02961841</v>
      </c>
      <c r="G32" s="169">
        <v>0.05963808</v>
      </c>
      <c r="H32"/>
    </row>
    <row r="33" spans="1:8" ht="12.75">
      <c r="A33" s="168" t="s">
        <v>110</v>
      </c>
      <c r="B33" s="169">
        <v>0.196098</v>
      </c>
      <c r="C33" s="169">
        <v>0.1965098</v>
      </c>
      <c r="D33" s="169">
        <v>0.2030653</v>
      </c>
      <c r="E33" s="169">
        <v>0.2035515</v>
      </c>
      <c r="F33" s="169">
        <v>0.1729807</v>
      </c>
      <c r="G33" s="169">
        <v>0.03509594</v>
      </c>
      <c r="H33"/>
    </row>
    <row r="34" spans="1:8" ht="12.75">
      <c r="A34" s="168" t="s">
        <v>112</v>
      </c>
      <c r="B34" s="169">
        <v>-0.00635741</v>
      </c>
      <c r="C34" s="169">
        <v>0.008104378</v>
      </c>
      <c r="D34" s="169">
        <v>0.008514282</v>
      </c>
      <c r="E34" s="169">
        <v>0.00403561</v>
      </c>
      <c r="F34" s="169">
        <v>-0.02750661</v>
      </c>
      <c r="G34" s="169">
        <v>0.0003294776</v>
      </c>
      <c r="H34"/>
    </row>
    <row r="35" spans="1:8" ht="12.75">
      <c r="A35" s="168" t="s">
        <v>114</v>
      </c>
      <c r="B35" s="169">
        <v>-0.0009183973</v>
      </c>
      <c r="C35" s="169">
        <v>0.0003221353</v>
      </c>
      <c r="D35" s="169">
        <v>-0.001441371</v>
      </c>
      <c r="E35" s="169">
        <v>-0.002395758</v>
      </c>
      <c r="F35" s="169">
        <v>0.002561567</v>
      </c>
      <c r="G35" s="169">
        <v>-0.0002582586</v>
      </c>
      <c r="H35"/>
    </row>
    <row r="36" spans="1:6" ht="12.75">
      <c r="A36" s="168" t="s">
        <v>141</v>
      </c>
      <c r="B36" s="169">
        <v>20.4773</v>
      </c>
      <c r="C36" s="169">
        <v>20.4773</v>
      </c>
      <c r="D36" s="169">
        <v>20.49255</v>
      </c>
      <c r="E36" s="169">
        <v>20.49866</v>
      </c>
      <c r="F36" s="169">
        <v>20.51392</v>
      </c>
    </row>
    <row r="37" spans="1:6" ht="12.75">
      <c r="A37" s="168" t="s">
        <v>142</v>
      </c>
      <c r="B37" s="169">
        <v>-0.3926595</v>
      </c>
      <c r="C37" s="169">
        <v>-0.37028</v>
      </c>
      <c r="D37" s="169">
        <v>-0.3575643</v>
      </c>
      <c r="E37" s="169">
        <v>-0.3534953</v>
      </c>
      <c r="F37" s="169">
        <v>-0.3479004</v>
      </c>
    </row>
    <row r="38" spans="1:7" ht="12.75">
      <c r="A38" s="168" t="s">
        <v>143</v>
      </c>
      <c r="B38" s="169">
        <v>0.0004228791</v>
      </c>
      <c r="C38" s="169">
        <v>0.0003625928</v>
      </c>
      <c r="D38" s="169">
        <v>0.0002160955</v>
      </c>
      <c r="E38" s="169">
        <v>0.0006019734</v>
      </c>
      <c r="F38" s="169">
        <v>0.0004899303</v>
      </c>
      <c r="G38" s="169">
        <v>0.000196572</v>
      </c>
    </row>
    <row r="39" spans="1:7" ht="12.75">
      <c r="A39" s="168" t="s">
        <v>144</v>
      </c>
      <c r="B39" s="169">
        <v>0.002158648</v>
      </c>
      <c r="C39" s="169">
        <v>0.00220817</v>
      </c>
      <c r="D39" s="169">
        <v>0.002284279</v>
      </c>
      <c r="E39" s="169">
        <v>0.002366536</v>
      </c>
      <c r="F39" s="169">
        <v>0.002417244</v>
      </c>
      <c r="G39" s="169">
        <v>0.001144319</v>
      </c>
    </row>
    <row r="40" spans="2:5" ht="12.75">
      <c r="B40" s="168" t="s">
        <v>145</v>
      </c>
      <c r="C40" s="168">
        <v>0.003754</v>
      </c>
      <c r="D40" s="168" t="s">
        <v>146</v>
      </c>
      <c r="E40" s="168">
        <v>3.116581</v>
      </c>
    </row>
    <row r="42" ht="12.75">
      <c r="A42" s="168" t="s">
        <v>147</v>
      </c>
    </row>
    <row r="50" spans="1:8" ht="12.75">
      <c r="A50" s="168" t="s">
        <v>148</v>
      </c>
      <c r="B50" s="168">
        <f>-0.017/(B7*B7+B22*B22)*(B21*B22+B6*B7)</f>
        <v>0.0004228790474087543</v>
      </c>
      <c r="C50" s="168">
        <f>-0.017/(C7*C7+C22*C22)*(C21*C22+C6*C7)</f>
        <v>0.00036259283779540246</v>
      </c>
      <c r="D50" s="168">
        <f>-0.017/(D7*D7+D22*D22)*(D21*D22+D6*D7)</f>
        <v>0.0002160954622726743</v>
      </c>
      <c r="E50" s="168">
        <f>-0.017/(E7*E7+E22*E22)*(E21*E22+E6*E7)</f>
        <v>0.000601973460766089</v>
      </c>
      <c r="F50" s="168">
        <f>-0.017/(F7*F7+F22*F22)*(F21*F22+F6*F7)</f>
        <v>0.0004899303316471012</v>
      </c>
      <c r="G50" s="168">
        <f>(B50*B$4+C50*C$4+D50*D$4+E50*E$4+F50*F$4)/SUM(B$4:F$4)</f>
        <v>0.00041071534351030974</v>
      </c>
      <c r="H50"/>
    </row>
    <row r="51" spans="1:8" ht="12.75">
      <c r="A51" s="168" t="s">
        <v>149</v>
      </c>
      <c r="B51" s="168">
        <f>-0.017/(B7*B7+B22*B22)*(B21*B7-B6*B22)</f>
        <v>0.0021586477739887334</v>
      </c>
      <c r="C51" s="168">
        <f>-0.017/(C7*C7+C22*C22)*(C21*C7-C6*C22)</f>
        <v>0.0022081705200300405</v>
      </c>
      <c r="D51" s="168">
        <f>-0.017/(D7*D7+D22*D22)*(D21*D7-D6*D22)</f>
        <v>0.0022842785845713634</v>
      </c>
      <c r="E51" s="168">
        <f>-0.017/(E7*E7+E22*E22)*(E21*E7-E6*E22)</f>
        <v>0.002366536657588535</v>
      </c>
      <c r="F51" s="168">
        <f>-0.017/(F7*F7+F22*F22)*(F21*F7-F6*F22)</f>
        <v>0.0024172440413913433</v>
      </c>
      <c r="G51" s="168">
        <f>(B51*B$4+C51*C$4+D51*D$4+E51*E$4+F51*F$4)/SUM(B$4:F$4)</f>
        <v>0.0022855024727777115</v>
      </c>
      <c r="H51"/>
    </row>
    <row r="58" ht="12.75">
      <c r="A58" s="168" t="s">
        <v>150</v>
      </c>
    </row>
    <row r="60" spans="2:6" ht="12.75">
      <c r="B60" s="168" t="s">
        <v>82</v>
      </c>
      <c r="C60" s="168" t="s">
        <v>83</v>
      </c>
      <c r="D60" s="168" t="s">
        <v>84</v>
      </c>
      <c r="E60" s="168" t="s">
        <v>85</v>
      </c>
      <c r="F60" s="168" t="s">
        <v>86</v>
      </c>
    </row>
    <row r="61" spans="1:6" ht="12.75">
      <c r="A61" s="168" t="s">
        <v>152</v>
      </c>
      <c r="B61" s="168">
        <f>B6+(1/0.017)*(B7*B50-B22*B51)</f>
        <v>0</v>
      </c>
      <c r="C61" s="168">
        <f>C6+(1/0.017)*(C7*C50-C22*C51)</f>
        <v>0</v>
      </c>
      <c r="D61" s="168">
        <f>D6+(1/0.017)*(D7*D50-D22*D51)</f>
        <v>0</v>
      </c>
      <c r="E61" s="168">
        <f>E6+(1/0.017)*(E7*E50-E22*E51)</f>
        <v>0</v>
      </c>
      <c r="F61" s="168">
        <f>F6+(1/0.017)*(F7*F50-F22*F51)</f>
        <v>0</v>
      </c>
    </row>
    <row r="62" spans="1:6" ht="12.75">
      <c r="A62" s="168" t="s">
        <v>155</v>
      </c>
      <c r="B62" s="168">
        <f>B7+(2/0.017)*(B8*B50-B23*B51)</f>
        <v>9999.613584701774</v>
      </c>
      <c r="C62" s="168">
        <f>C7+(2/0.017)*(C8*C50-C23*C51)</f>
        <v>9999.593824288242</v>
      </c>
      <c r="D62" s="168">
        <f>D7+(2/0.017)*(D8*D50-D23*D51)</f>
        <v>9999.662002283274</v>
      </c>
      <c r="E62" s="168">
        <f>E7+(2/0.017)*(E8*E50-E23*E51)</f>
        <v>10000.169292011153</v>
      </c>
      <c r="F62" s="168">
        <f>F7+(2/0.017)*(F8*F50-F23*F51)</f>
        <v>9997.58542617094</v>
      </c>
    </row>
    <row r="63" spans="1:6" ht="12.75">
      <c r="A63" s="168" t="s">
        <v>156</v>
      </c>
      <c r="B63" s="168">
        <f>B8+(3/0.017)*(B9*B50-B24*B51)</f>
        <v>0.6808124523606767</v>
      </c>
      <c r="C63" s="168">
        <f>C8+(3/0.017)*(C9*C50-C24*C51)</f>
        <v>0.34256975811654783</v>
      </c>
      <c r="D63" s="168">
        <f>D8+(3/0.017)*(D9*D50-D24*D51)</f>
        <v>0.3445293522660131</v>
      </c>
      <c r="E63" s="168">
        <f>E8+(3/0.017)*(E9*E50-E24*E51)</f>
        <v>0.8529237440310602</v>
      </c>
      <c r="F63" s="168">
        <f>F8+(3/0.017)*(F9*F50-F24*F51)</f>
        <v>-4.527534908023503</v>
      </c>
    </row>
    <row r="64" spans="1:6" ht="12.75">
      <c r="A64" s="168" t="s">
        <v>157</v>
      </c>
      <c r="B64" s="168">
        <f>B9+(4/0.017)*(B10*B50-B25*B51)</f>
        <v>1.3144528093425176</v>
      </c>
      <c r="C64" s="168">
        <f>C9+(4/0.017)*(C10*C50-C25*C51)</f>
        <v>1.0470130129663233</v>
      </c>
      <c r="D64" s="168">
        <f>D9+(4/0.017)*(D10*D50-D25*D51)</f>
        <v>1.2252305832836563</v>
      </c>
      <c r="E64" s="168">
        <f>E9+(4/0.017)*(E10*E50-E25*E51)</f>
        <v>1.0485141138689573</v>
      </c>
      <c r="F64" s="168">
        <f>F9+(4/0.017)*(F10*F50-F25*F51)</f>
        <v>2.204920146450136</v>
      </c>
    </row>
    <row r="65" spans="1:6" ht="12.75">
      <c r="A65" s="168" t="s">
        <v>158</v>
      </c>
      <c r="B65" s="168">
        <f>B10+(5/0.017)*(B11*B50-B26*B51)</f>
        <v>0.11049438028669509</v>
      </c>
      <c r="C65" s="168">
        <f>C10+(5/0.017)*(C11*C50-C26*C51)</f>
        <v>-0.11640508583158243</v>
      </c>
      <c r="D65" s="168">
        <f>D10+(5/0.017)*(D11*D50-D26*D51)</f>
        <v>-0.12179778508457251</v>
      </c>
      <c r="E65" s="168">
        <f>E10+(5/0.017)*(E11*E50-E26*E51)</f>
        <v>-0.13363419323441084</v>
      </c>
      <c r="F65" s="168">
        <f>F10+(5/0.017)*(F11*F50-F26*F51)</f>
        <v>-0.13439742888703998</v>
      </c>
    </row>
    <row r="66" spans="1:6" ht="12.75">
      <c r="A66" s="168" t="s">
        <v>159</v>
      </c>
      <c r="B66" s="168">
        <f>B11+(6/0.017)*(B12*B50-B27*B51)</f>
        <v>4.548601553751031</v>
      </c>
      <c r="C66" s="168">
        <f>C11+(6/0.017)*(C12*C50-C27*C51)</f>
        <v>5.566706452150152</v>
      </c>
      <c r="D66" s="168">
        <f>D11+(6/0.017)*(D12*D50-D27*D51)</f>
        <v>5.6544416054838695</v>
      </c>
      <c r="E66" s="168">
        <f>E11+(6/0.017)*(E12*E50-E27*E51)</f>
        <v>5.257193279851791</v>
      </c>
      <c r="F66" s="168">
        <f>F11+(6/0.017)*(F12*F50-F27*F51)</f>
        <v>15.31043058472158</v>
      </c>
    </row>
    <row r="67" spans="1:6" ht="12.75">
      <c r="A67" s="168" t="s">
        <v>160</v>
      </c>
      <c r="B67" s="168">
        <f>B12+(7/0.017)*(B13*B50-B28*B51)</f>
        <v>0.19160451315259816</v>
      </c>
      <c r="C67" s="168">
        <f>C12+(7/0.017)*(C13*C50-C28*C51)</f>
        <v>0.04365359003753476</v>
      </c>
      <c r="D67" s="168">
        <f>D12+(7/0.017)*(D13*D50-D28*D51)</f>
        <v>0.21783738639431738</v>
      </c>
      <c r="E67" s="168">
        <f>E12+(7/0.017)*(E13*E50-E28*E51)</f>
        <v>0.1916507237660947</v>
      </c>
      <c r="F67" s="168">
        <f>F12+(7/0.017)*(F13*F50-F28*F51)</f>
        <v>-0.08044008058134355</v>
      </c>
    </row>
    <row r="68" spans="1:6" ht="12.75">
      <c r="A68" s="168" t="s">
        <v>161</v>
      </c>
      <c r="B68" s="168">
        <f>B13+(8/0.017)*(B14*B50-B29*B51)</f>
        <v>-0.27088138501754405</v>
      </c>
      <c r="C68" s="168">
        <f>C13+(8/0.017)*(C14*C50-C29*C51)</f>
        <v>-0.04323864282265564</v>
      </c>
      <c r="D68" s="168">
        <f>D13+(8/0.017)*(D14*D50-D29*D51)</f>
        <v>-0.04661187777658239</v>
      </c>
      <c r="E68" s="168">
        <f>E13+(8/0.017)*(E14*E50-E29*E51)</f>
        <v>-0.08905807343792409</v>
      </c>
      <c r="F68" s="168">
        <f>F13+(8/0.017)*(F14*F50-F29*F51)</f>
        <v>-0.2891442465167011</v>
      </c>
    </row>
    <row r="69" spans="1:6" ht="12.75">
      <c r="A69" s="168" t="s">
        <v>162</v>
      </c>
      <c r="B69" s="168">
        <f>B14+(9/0.017)*(B15*B50-B30*B51)</f>
        <v>-0.06866872494670631</v>
      </c>
      <c r="C69" s="168">
        <f>C14+(9/0.017)*(C15*C50-C30*C51)</f>
        <v>-0.03896805175129525</v>
      </c>
      <c r="D69" s="168">
        <f>D14+(9/0.017)*(D15*D50-D30*D51)</f>
        <v>-0.04650284144302211</v>
      </c>
      <c r="E69" s="168">
        <f>E14+(9/0.017)*(E15*E50-E30*E51)</f>
        <v>-0.060548393409378606</v>
      </c>
      <c r="F69" s="168">
        <f>F14+(9/0.017)*(F15*F50-F30*F51)</f>
        <v>-0.013870225155796334</v>
      </c>
    </row>
    <row r="70" spans="1:6" ht="12.75">
      <c r="A70" s="168" t="s">
        <v>163</v>
      </c>
      <c r="B70" s="168">
        <f>B15+(10/0.017)*(B16*B50-B31*B51)</f>
        <v>-0.3403925810373001</v>
      </c>
      <c r="C70" s="168">
        <f>C15+(10/0.017)*(C16*C50-C31*C51)</f>
        <v>-0.014427698537053696</v>
      </c>
      <c r="D70" s="168">
        <f>D15+(10/0.017)*(D16*D50-D31*D51)</f>
        <v>0.01354993975884336</v>
      </c>
      <c r="E70" s="168">
        <f>E15+(10/0.017)*(E16*E50-E31*E51)</f>
        <v>-0.01784868160056792</v>
      </c>
      <c r="F70" s="168">
        <f>F15+(10/0.017)*(F16*F50-F31*F51)</f>
        <v>-0.29698633571806266</v>
      </c>
    </row>
    <row r="71" spans="1:6" ht="12.75">
      <c r="A71" s="168" t="s">
        <v>164</v>
      </c>
      <c r="B71" s="168">
        <f>B16+(11/0.017)*(B17*B50-B32*B51)</f>
        <v>0.10386549135108065</v>
      </c>
      <c r="C71" s="168">
        <f>C16+(11/0.017)*(C17*C50-C32*C51)</f>
        <v>0.07865906285221815</v>
      </c>
      <c r="D71" s="168">
        <f>D16+(11/0.017)*(D17*D50-D32*D51)</f>
        <v>0.054709146432498225</v>
      </c>
      <c r="E71" s="168">
        <f>E16+(11/0.017)*(E17*E50-E32*E51)</f>
        <v>0.16078200750263516</v>
      </c>
      <c r="F71" s="168">
        <f>F16+(11/0.017)*(F17*F50-F32*F51)</f>
        <v>0.050193187632995094</v>
      </c>
    </row>
    <row r="72" spans="1:6" ht="12.75">
      <c r="A72" s="168" t="s">
        <v>165</v>
      </c>
      <c r="B72" s="168">
        <f>B17+(12/0.017)*(B18*B50-B33*B51)</f>
        <v>-0.11103953484062118</v>
      </c>
      <c r="C72" s="168">
        <f>C17+(12/0.017)*(C18*C50-C33*C51)</f>
        <v>-0.10266812183688312</v>
      </c>
      <c r="D72" s="168">
        <f>D17+(12/0.017)*(D18*D50-D33*D51)</f>
        <v>-0.12790885083024991</v>
      </c>
      <c r="E72" s="168">
        <f>E17+(12/0.017)*(E18*E50-E33*E51)</f>
        <v>-0.1164914934555221</v>
      </c>
      <c r="F72" s="168">
        <f>F17+(12/0.017)*(F18*F50-F33*F51)</f>
        <v>-0.09760572430486428</v>
      </c>
    </row>
    <row r="73" spans="1:6" ht="12.75">
      <c r="A73" s="168" t="s">
        <v>166</v>
      </c>
      <c r="B73" s="168">
        <f>B18+(13/0.017)*(B19*B50-B34*B51)</f>
        <v>-0.021812735861369087</v>
      </c>
      <c r="C73" s="168">
        <f>C18+(13/0.017)*(C19*C50-C34*C51)</f>
        <v>-0.018856347023631384</v>
      </c>
      <c r="D73" s="168">
        <f>D18+(13/0.017)*(D19*D50-D34*D51)</f>
        <v>-0.02702097413857613</v>
      </c>
      <c r="E73" s="168">
        <f>E18+(13/0.017)*(E19*E50-E34*E51)</f>
        <v>-0.018335877035971573</v>
      </c>
      <c r="F73" s="168">
        <f>F18+(13/0.017)*(F19*F50-F34*F51)</f>
        <v>-0.0005755767197599481</v>
      </c>
    </row>
    <row r="74" spans="1:6" ht="12.75">
      <c r="A74" s="168" t="s">
        <v>167</v>
      </c>
      <c r="B74" s="168">
        <f>B19+(14/0.017)*(B20*B50-B35*B51)</f>
        <v>-0.18422195029291677</v>
      </c>
      <c r="C74" s="168">
        <f>C19+(14/0.017)*(C20*C50-C35*C51)</f>
        <v>-0.17781978199820864</v>
      </c>
      <c r="D74" s="168">
        <f>D19+(14/0.017)*(D20*D50-D35*D51)</f>
        <v>-0.17703714087616532</v>
      </c>
      <c r="E74" s="168">
        <f>E19+(14/0.017)*(E20*E50-E35*E51)</f>
        <v>-0.16853876475236648</v>
      </c>
      <c r="F74" s="168">
        <f>F19+(14/0.017)*(F20*F50-F35*F51)</f>
        <v>-0.13992861042673513</v>
      </c>
    </row>
    <row r="75" spans="1:6" ht="12.75">
      <c r="A75" s="168" t="s">
        <v>168</v>
      </c>
      <c r="B75" s="169">
        <f>B20</f>
        <v>0.0004852953</v>
      </c>
      <c r="C75" s="169">
        <f>C20</f>
        <v>0.0004839788</v>
      </c>
      <c r="D75" s="169">
        <f>D20</f>
        <v>0.003365875</v>
      </c>
      <c r="E75" s="169">
        <f>E20</f>
        <v>-0.0007370506</v>
      </c>
      <c r="F75" s="169">
        <f>F20</f>
        <v>-0.004179402</v>
      </c>
    </row>
    <row r="78" ht="12.75">
      <c r="A78" s="168" t="s">
        <v>150</v>
      </c>
    </row>
    <row r="80" spans="2:6" ht="12.75">
      <c r="B80" s="168" t="s">
        <v>82</v>
      </c>
      <c r="C80" s="168" t="s">
        <v>83</v>
      </c>
      <c r="D80" s="168" t="s">
        <v>84</v>
      </c>
      <c r="E80" s="168" t="s">
        <v>85</v>
      </c>
      <c r="F80" s="168" t="s">
        <v>86</v>
      </c>
    </row>
    <row r="81" spans="1:6" ht="12.75">
      <c r="A81" s="168" t="s">
        <v>169</v>
      </c>
      <c r="B81" s="168">
        <f>B21+(1/0.017)*(B7*B51+B22*B50)</f>
        <v>0</v>
      </c>
      <c r="C81" s="168">
        <f>C21+(1/0.017)*(C7*C51+C22*C50)</f>
        <v>0</v>
      </c>
      <c r="D81" s="168">
        <f>D21+(1/0.017)*(D7*D51+D22*D50)</f>
        <v>0</v>
      </c>
      <c r="E81" s="168">
        <f>E21+(1/0.017)*(E7*E51+E22*E50)</f>
        <v>0</v>
      </c>
      <c r="F81" s="168">
        <f>F21+(1/0.017)*(F7*F51+F22*F50)</f>
        <v>0</v>
      </c>
    </row>
    <row r="82" spans="1:6" ht="12.75">
      <c r="A82" s="168" t="s">
        <v>170</v>
      </c>
      <c r="B82" s="168">
        <f>B22+(2/0.017)*(B8*B51+B23*B50)</f>
        <v>21.135276586572136</v>
      </c>
      <c r="C82" s="168">
        <f>C22+(2/0.017)*(C8*C51+C23*C50)</f>
        <v>-1.1663336914128641</v>
      </c>
      <c r="D82" s="168">
        <f>D22+(2/0.017)*(D8*D51+D23*D50)</f>
        <v>-15.510758521550544</v>
      </c>
      <c r="E82" s="168">
        <f>E22+(2/0.017)*(E8*E51+E23*E50)</f>
        <v>4.346196574853076</v>
      </c>
      <c r="F82" s="168">
        <f>F22+(2/0.017)*(F8*F51+F23*F50)</f>
        <v>-0.8374647199499614</v>
      </c>
    </row>
    <row r="83" spans="1:6" ht="12.75">
      <c r="A83" s="168" t="s">
        <v>171</v>
      </c>
      <c r="B83" s="168">
        <f>B23+(3/0.017)*(B9*B51+B24*B50)</f>
        <v>1.8140117210220086</v>
      </c>
      <c r="C83" s="168">
        <f>C23+(3/0.017)*(C9*C51+C24*C50)</f>
        <v>1.4323895734071994</v>
      </c>
      <c r="D83" s="168">
        <f>D23+(3/0.017)*(D9*D51+D24*D50)</f>
        <v>1.1969257975209509</v>
      </c>
      <c r="E83" s="168">
        <f>E23+(3/0.017)*(E9*E51+E24*E50)</f>
        <v>-0.20179117720488748</v>
      </c>
      <c r="F83" s="168">
        <f>F23+(3/0.017)*(F9*F51+F24*F50)</f>
        <v>6.234017482129475</v>
      </c>
    </row>
    <row r="84" spans="1:6" ht="12.75">
      <c r="A84" s="168" t="s">
        <v>172</v>
      </c>
      <c r="B84" s="168">
        <f>B24+(4/0.017)*(B10*B51+B25*B50)</f>
        <v>0.6953599353293313</v>
      </c>
      <c r="C84" s="168">
        <f>C24+(4/0.017)*(C10*C51+C25*C50)</f>
        <v>0.1475446569808725</v>
      </c>
      <c r="D84" s="168">
        <f>D24+(4/0.017)*(D10*D51+D25*D50)</f>
        <v>1.3328458980653635</v>
      </c>
      <c r="E84" s="168">
        <f>E24+(4/0.017)*(E10*E51+E25*E50)</f>
        <v>1.260206244774876</v>
      </c>
      <c r="F84" s="168">
        <f>F24+(4/0.017)*(F10*F51+F25*F50)</f>
        <v>0.5131823954014121</v>
      </c>
    </row>
    <row r="85" spans="1:6" ht="12.75">
      <c r="A85" s="168" t="s">
        <v>173</v>
      </c>
      <c r="B85" s="168">
        <f>B25+(5/0.017)*(B11*B51+B26*B50)</f>
        <v>0.5899290239617856</v>
      </c>
      <c r="C85" s="168">
        <f>C25+(5/0.017)*(C11*C51+C26*C50)</f>
        <v>0.2633371282221293</v>
      </c>
      <c r="D85" s="168">
        <f>D25+(5/0.017)*(D11*D51+D26*D50)</f>
        <v>0.34875812413770646</v>
      </c>
      <c r="E85" s="168">
        <f>E25+(5/0.017)*(E11*E51+E26*E50)</f>
        <v>0.0582186077547302</v>
      </c>
      <c r="F85" s="168">
        <f>F25+(5/0.017)*(F11*F51+F26*F50)</f>
        <v>-0.38657819309782404</v>
      </c>
    </row>
    <row r="86" spans="1:6" ht="12.75">
      <c r="A86" s="168" t="s">
        <v>174</v>
      </c>
      <c r="B86" s="168">
        <f>B26+(6/0.017)*(B12*B51+B27*B50)</f>
        <v>1.0131011475755916</v>
      </c>
      <c r="C86" s="168">
        <f>C26+(6/0.017)*(C12*C51+C27*C50)</f>
        <v>0.5877475806165043</v>
      </c>
      <c r="D86" s="168">
        <f>D26+(6/0.017)*(D12*D51+D27*D50)</f>
        <v>0.239752014596178</v>
      </c>
      <c r="E86" s="168">
        <f>E26+(6/0.017)*(E12*E51+E27*E50)</f>
        <v>0.3906861401018845</v>
      </c>
      <c r="F86" s="168">
        <f>F26+(6/0.017)*(F12*F51+F27*F50)</f>
        <v>1.4261618603448107</v>
      </c>
    </row>
    <row r="87" spans="1:6" ht="12.75">
      <c r="A87" s="168" t="s">
        <v>175</v>
      </c>
      <c r="B87" s="168">
        <f>B27+(7/0.017)*(B13*B51+B28*B50)</f>
        <v>0.21122979472525097</v>
      </c>
      <c r="C87" s="168">
        <f>C27+(7/0.017)*(C13*C51+C28*C50)</f>
        <v>0.007018073303534426</v>
      </c>
      <c r="D87" s="168">
        <f>D27+(7/0.017)*(D13*D51+D28*D50)</f>
        <v>-0.005595758673497209</v>
      </c>
      <c r="E87" s="168">
        <f>E27+(7/0.017)*(E13*E51+E28*E50)</f>
        <v>-0.11383115325219689</v>
      </c>
      <c r="F87" s="168">
        <f>F27+(7/0.017)*(F13*F51+F28*F50)</f>
        <v>0.44027239400740964</v>
      </c>
    </row>
    <row r="88" spans="1:6" ht="12.75">
      <c r="A88" s="168" t="s">
        <v>176</v>
      </c>
      <c r="B88" s="168">
        <f>B28+(8/0.017)*(B14*B51+B29*B50)</f>
        <v>0.2613311153433286</v>
      </c>
      <c r="C88" s="168">
        <f>C28+(8/0.017)*(C14*C51+C29*C50)</f>
        <v>0.13566871402965203</v>
      </c>
      <c r="D88" s="168">
        <f>D28+(8/0.017)*(D14*D51+D29*D50)</f>
        <v>0.19821168727264943</v>
      </c>
      <c r="E88" s="168">
        <f>E28+(8/0.017)*(E14*E51+E29*E50)</f>
        <v>0.3344418743906001</v>
      </c>
      <c r="F88" s="168">
        <f>F28+(8/0.017)*(F14*F51+F29*F50)</f>
        <v>0.27988942102363745</v>
      </c>
    </row>
    <row r="89" spans="1:6" ht="12.75">
      <c r="A89" s="168" t="s">
        <v>177</v>
      </c>
      <c r="B89" s="168">
        <f>B29+(9/0.017)*(B15*B51+B30*B50)</f>
        <v>-0.05717085220795309</v>
      </c>
      <c r="C89" s="168">
        <f>C29+(9/0.017)*(C15*C51+C30*C50)</f>
        <v>0.03024395621559954</v>
      </c>
      <c r="D89" s="168">
        <f>D29+(9/0.017)*(D15*D51+D30*D50)</f>
        <v>0.013373389424040857</v>
      </c>
      <c r="E89" s="168">
        <f>E29+(9/0.017)*(E15*E51+E30*E50)</f>
        <v>-0.025165587437771877</v>
      </c>
      <c r="F89" s="168">
        <f>F29+(9/0.017)*(F15*F51+F30*F50)</f>
        <v>-0.06055219026791181</v>
      </c>
    </row>
    <row r="90" spans="1:6" ht="12.75">
      <c r="A90" s="168" t="s">
        <v>178</v>
      </c>
      <c r="B90" s="168">
        <f>B30+(10/0.017)*(B16*B51+B31*B50)</f>
        <v>0.07412984606157433</v>
      </c>
      <c r="C90" s="168">
        <f>C30+(10/0.017)*(C16*C51+C31*C50)</f>
        <v>0.0510552132352875</v>
      </c>
      <c r="D90" s="168">
        <f>D30+(10/0.017)*(D16*D51+D31*D50)</f>
        <v>0.060208262759214856</v>
      </c>
      <c r="E90" s="168">
        <f>E30+(10/0.017)*(E16*E51+E31*E50)</f>
        <v>-0.010691486826411883</v>
      </c>
      <c r="F90" s="168">
        <f>F30+(10/0.017)*(F16*F51+F31*F50)</f>
        <v>0.11757808964246205</v>
      </c>
    </row>
    <row r="91" spans="1:6" ht="12.75">
      <c r="A91" s="168" t="s">
        <v>179</v>
      </c>
      <c r="B91" s="168">
        <f>B31+(11/0.017)*(B17*B51+B32*B50)</f>
        <v>0.15749977993509018</v>
      </c>
      <c r="C91" s="168">
        <f>C31+(11/0.017)*(C17*C51+C32*C50)</f>
        <v>0.18037611367949608</v>
      </c>
      <c r="D91" s="168">
        <f>D31+(11/0.017)*(D17*D51+D32*D50)</f>
        <v>0.20530890893299597</v>
      </c>
      <c r="E91" s="168">
        <f>E31+(11/0.017)*(E17*E51+E32*E50)</f>
        <v>0.1684440837727459</v>
      </c>
      <c r="F91" s="168">
        <f>F31+(11/0.017)*(F17*F51+F32*F50)</f>
        <v>0.23384636638977296</v>
      </c>
    </row>
    <row r="92" spans="1:6" ht="12.75">
      <c r="A92" s="168" t="s">
        <v>180</v>
      </c>
      <c r="B92" s="168">
        <f>B32+(12/0.017)*(B18*B51+B33*B50)</f>
        <v>0.05095630658781743</v>
      </c>
      <c r="C92" s="168">
        <f>C32+(12/0.017)*(C18*C51+C33*C50)</f>
        <v>0.040879176424398256</v>
      </c>
      <c r="D92" s="168">
        <f>D32+(12/0.017)*(D18*D51+D33*D50)</f>
        <v>0.03380979244466692</v>
      </c>
      <c r="E92" s="168">
        <f>E32+(12/0.017)*(E18*E51+E33*E50)</f>
        <v>0.10308471263135208</v>
      </c>
      <c r="F92" s="168">
        <f>F32+(12/0.017)*(F18*F51+F33*F50)</f>
        <v>0.027578746847528524</v>
      </c>
    </row>
    <row r="93" spans="1:6" ht="12.75">
      <c r="A93" s="168" t="s">
        <v>181</v>
      </c>
      <c r="B93" s="168">
        <f>B33+(13/0.017)*(B19*B51+B34*B50)</f>
        <v>-0.11303270540847338</v>
      </c>
      <c r="C93" s="168">
        <f>C33+(13/0.017)*(C19*C51+C34*C50)</f>
        <v>-0.10076455336495904</v>
      </c>
      <c r="D93" s="168">
        <f>D33+(13/0.017)*(D19*D51+D34*D50)</f>
        <v>-0.11055913622374836</v>
      </c>
      <c r="E93" s="168">
        <f>E33+(13/0.017)*(E19*E51+E34*E50)</f>
        <v>-0.1073846275044808</v>
      </c>
      <c r="F93" s="168">
        <f>F33+(13/0.017)*(F19*F51+F34*F50)</f>
        <v>-0.08343717881959234</v>
      </c>
    </row>
    <row r="94" spans="1:6" ht="12.75">
      <c r="A94" s="168" t="s">
        <v>182</v>
      </c>
      <c r="B94" s="168">
        <f>B34+(14/0.017)*(B20*B51+B35*B50)</f>
        <v>-0.0058145306463602405</v>
      </c>
      <c r="C94" s="168">
        <f>C34+(14/0.017)*(C20*C51+C35*C50)</f>
        <v>0.00908068172910872</v>
      </c>
      <c r="D94" s="168">
        <f>D34+(14/0.017)*(D20*D51+D35*D50)</f>
        <v>0.014589559310358702</v>
      </c>
      <c r="E94" s="168">
        <f>E34+(14/0.017)*(E20*E51+E35*E50)</f>
        <v>0.0014114829429753323</v>
      </c>
      <c r="F94" s="168">
        <f>F34+(14/0.017)*(F20*F51+F35*F50)</f>
        <v>-0.03479290605630936</v>
      </c>
    </row>
    <row r="95" spans="1:6" ht="12.75">
      <c r="A95" s="168" t="s">
        <v>183</v>
      </c>
      <c r="B95" s="169">
        <f>B35</f>
        <v>-0.0009183973</v>
      </c>
      <c r="C95" s="169">
        <f>C35</f>
        <v>0.0003221353</v>
      </c>
      <c r="D95" s="169">
        <f>D35</f>
        <v>-0.001441371</v>
      </c>
      <c r="E95" s="169">
        <f>E35</f>
        <v>-0.002395758</v>
      </c>
      <c r="F95" s="169">
        <f>F35</f>
        <v>0.002561567</v>
      </c>
    </row>
    <row r="98" ht="12.75">
      <c r="A98" s="168" t="s">
        <v>151</v>
      </c>
    </row>
    <row r="100" spans="2:11" ht="12.75">
      <c r="B100" s="168" t="s">
        <v>82</v>
      </c>
      <c r="C100" s="168" t="s">
        <v>83</v>
      </c>
      <c r="D100" s="168" t="s">
        <v>84</v>
      </c>
      <c r="E100" s="168" t="s">
        <v>85</v>
      </c>
      <c r="F100" s="168" t="s">
        <v>86</v>
      </c>
      <c r="G100" s="168" t="s">
        <v>153</v>
      </c>
      <c r="H100" s="168" t="s">
        <v>154</v>
      </c>
      <c r="I100" s="168" t="s">
        <v>187</v>
      </c>
      <c r="K100" s="168" t="s">
        <v>184</v>
      </c>
    </row>
    <row r="101" spans="1:9" ht="12.75">
      <c r="A101" s="168" t="s">
        <v>152</v>
      </c>
      <c r="B101" s="168">
        <f>B61*10000/B62</f>
        <v>0</v>
      </c>
      <c r="C101" s="168">
        <f>C61*10000/C62</f>
        <v>0</v>
      </c>
      <c r="D101" s="168">
        <f>D61*10000/D62</f>
        <v>0</v>
      </c>
      <c r="E101" s="168">
        <f>E61*10000/E62</f>
        <v>0</v>
      </c>
      <c r="F101" s="168">
        <f>F61*10000/F62</f>
        <v>0</v>
      </c>
      <c r="G101" s="168">
        <f>AVERAGE(C101:E101)</f>
        <v>0</v>
      </c>
      <c r="H101" s="168">
        <f>STDEV(C101:E101)</f>
        <v>0</v>
      </c>
      <c r="I101" s="168">
        <f>(B101*B4+C101*C4+D101*D4+E101*E4+F101*F4)/SUM(B4:F4)</f>
        <v>0</v>
      </c>
    </row>
    <row r="102" spans="1:9" ht="12.75">
      <c r="A102" s="168" t="s">
        <v>155</v>
      </c>
      <c r="B102" s="168">
        <f>B62*10000/B62</f>
        <v>10000</v>
      </c>
      <c r="C102" s="168">
        <f>C62*10000/C62</f>
        <v>10000</v>
      </c>
      <c r="D102" s="168">
        <f>D62*10000/D62</f>
        <v>10000</v>
      </c>
      <c r="E102" s="168">
        <f>E62*10000/E62</f>
        <v>10000</v>
      </c>
      <c r="F102" s="168">
        <f>F62*10000/F62</f>
        <v>10000</v>
      </c>
      <c r="G102" s="168">
        <f>AVERAGE(C102:E102)</f>
        <v>10000</v>
      </c>
      <c r="H102" s="168">
        <f>STDEV(C102:E102)</f>
        <v>0</v>
      </c>
      <c r="I102" s="168">
        <f>(B102*B4+C102*C4+D102*D4+E102*E4+F102*F4)/SUM(B4:F4)</f>
        <v>10000.000000000002</v>
      </c>
    </row>
    <row r="103" spans="1:11" ht="12.75">
      <c r="A103" s="168" t="s">
        <v>156</v>
      </c>
      <c r="B103" s="168">
        <f>B63*10000/B62</f>
        <v>0.6808387610119647</v>
      </c>
      <c r="C103" s="168">
        <f>C63*10000/C62</f>
        <v>0.3425836730332709</v>
      </c>
      <c r="D103" s="168">
        <f>D63*10000/D62</f>
        <v>0.34454099767306634</v>
      </c>
      <c r="E103" s="168">
        <f>E63*10000/E62</f>
        <v>0.8529093049579035</v>
      </c>
      <c r="F103" s="168">
        <f>F63*10000/F62</f>
        <v>-4.528628378779997</v>
      </c>
      <c r="G103" s="168">
        <f>AVERAGE(C103:E103)</f>
        <v>0.5133446585547469</v>
      </c>
      <c r="H103" s="168">
        <f>STDEV(C103:E103)</f>
        <v>0.29407323848849615</v>
      </c>
      <c r="I103" s="168">
        <f>(B103*B4+C103*C4+D103*D4+E103*E4+F103*F4)/SUM(B4:F4)</f>
        <v>-0.13881642291534846</v>
      </c>
      <c r="K103" s="168">
        <f>(LN(H103)+LN(H123))/2-LN(K114*K115^3)</f>
        <v>-4.55248545366864</v>
      </c>
    </row>
    <row r="104" spans="1:11" ht="12.75">
      <c r="A104" s="168" t="s">
        <v>157</v>
      </c>
      <c r="B104" s="168">
        <f>B64*10000/B62</f>
        <v>1.3145036037727247</v>
      </c>
      <c r="C104" s="168">
        <f>C64*10000/C62</f>
        <v>1.0470555418193181</v>
      </c>
      <c r="D104" s="168">
        <f>D64*10000/D62</f>
        <v>1.2252719971973984</v>
      </c>
      <c r="E104" s="168">
        <f>E64*10000/E62</f>
        <v>1.0484963636631481</v>
      </c>
      <c r="F104" s="168">
        <f>F64*10000/F62</f>
        <v>2.2054526692797833</v>
      </c>
      <c r="G104" s="168">
        <f>AVERAGE(C104:E104)</f>
        <v>1.1069413008932882</v>
      </c>
      <c r="H104" s="168">
        <f>STDEV(C104:E104)</f>
        <v>0.10247992124195966</v>
      </c>
      <c r="I104" s="168">
        <f>(B104*B4+C104*C4+D104*D4+E104*E4+F104*F4)/SUM(B4:F4)</f>
        <v>1.2841688360065109</v>
      </c>
      <c r="K104" s="168">
        <f>(LN(H104)+LN(H124))/2-LN(K114*K115^4)</f>
        <v>-4.63074483114792</v>
      </c>
    </row>
    <row r="105" spans="1:11" ht="12.75">
      <c r="A105" s="168" t="s">
        <v>158</v>
      </c>
      <c r="B105" s="168">
        <f>B65*10000/B62</f>
        <v>0.11049865012357919</v>
      </c>
      <c r="C105" s="168">
        <f>C65*10000/C62</f>
        <v>-0.11640981411549284</v>
      </c>
      <c r="D105" s="168">
        <f>D65*10000/D62</f>
        <v>-0.12180190196104808</v>
      </c>
      <c r="E105" s="168">
        <f>E65*10000/E62</f>
        <v>-0.1336319309525763</v>
      </c>
      <c r="F105" s="168">
        <f>F65*10000/F62</f>
        <v>-0.13442988797597502</v>
      </c>
      <c r="G105" s="168">
        <f>AVERAGE(C105:E105)</f>
        <v>-0.12394788234303906</v>
      </c>
      <c r="H105" s="168">
        <f>STDEV(C105:E105)</f>
        <v>0.008809327496322308</v>
      </c>
      <c r="I105" s="168">
        <f>(B105*B4+C105*C4+D105*D4+E105*E4+F105*F4)/SUM(B4:F4)</f>
        <v>-0.09159333385019275</v>
      </c>
      <c r="K105" s="168">
        <f>(LN(H105)+LN(H125))/2-LN(K114*K115^5)</f>
        <v>-6.012696581617193</v>
      </c>
    </row>
    <row r="106" spans="1:11" ht="12.75">
      <c r="A106" s="168" t="s">
        <v>159</v>
      </c>
      <c r="B106" s="168">
        <f>B66*10000/B62</f>
        <v>4.54877732546571</v>
      </c>
      <c r="C106" s="168">
        <f>C66*10000/C62</f>
        <v>5.56693256742994</v>
      </c>
      <c r="D106" s="168">
        <f>D66*10000/D62</f>
        <v>5.6546327307790625</v>
      </c>
      <c r="E106" s="168">
        <f>E66*10000/E62</f>
        <v>5.257104281276129</v>
      </c>
      <c r="F106" s="168">
        <f>F66*10000/F62</f>
        <v>15.31412829406095</v>
      </c>
      <c r="G106" s="168">
        <f>AVERAGE(C106:E106)</f>
        <v>5.492889859828377</v>
      </c>
      <c r="H106" s="168">
        <f>STDEV(C106:E106)</f>
        <v>0.20885152370229434</v>
      </c>
      <c r="I106" s="168">
        <f>(B106*B4+C106*C4+D106*D4+E106*E4+F106*F4)/SUM(B4:F4)</f>
        <v>6.674270879776141</v>
      </c>
      <c r="K106" s="168">
        <f>(LN(H106)+LN(H126))/2-LN(K114*K115^6)</f>
        <v>-3.760548872571477</v>
      </c>
    </row>
    <row r="107" spans="1:11" ht="12.75">
      <c r="A107" s="168" t="s">
        <v>160</v>
      </c>
      <c r="B107" s="168">
        <f>B67*10000/B62</f>
        <v>0.19161191733021604</v>
      </c>
      <c r="C107" s="168">
        <f>C67*10000/C62</f>
        <v>0.04365536321235724</v>
      </c>
      <c r="D107" s="168">
        <f>D67*10000/D62</f>
        <v>0.21784474949711047</v>
      </c>
      <c r="E107" s="168">
        <f>E67*10000/E62</f>
        <v>0.19164747932737394</v>
      </c>
      <c r="F107" s="168">
        <f>F67*10000/F62</f>
        <v>-0.08045950812360499</v>
      </c>
      <c r="G107" s="168">
        <f>AVERAGE(C107:E107)</f>
        <v>0.15104919734561387</v>
      </c>
      <c r="H107" s="168">
        <f>STDEV(C107:E107)</f>
        <v>0.09392364424609821</v>
      </c>
      <c r="I107" s="168">
        <f>(B107*B4+C107*C4+D107*D4+E107*E4+F107*F4)/SUM(B4:F4)</f>
        <v>0.1258332216795138</v>
      </c>
      <c r="K107" s="168">
        <f>(LN(H107)+LN(H127))/2-LN(K114*K115^7)</f>
        <v>-4.05173856963798</v>
      </c>
    </row>
    <row r="108" spans="1:9" ht="12.75">
      <c r="A108" s="168" t="s">
        <v>161</v>
      </c>
      <c r="B108" s="168">
        <f>B68*10000/B62</f>
        <v>-0.2708918526931486</v>
      </c>
      <c r="C108" s="168">
        <f>C68*10000/C62</f>
        <v>-0.043240399142645485</v>
      </c>
      <c r="D108" s="168">
        <f>D68*10000/D62</f>
        <v>-0.04661345330066082</v>
      </c>
      <c r="E108" s="168">
        <f>E68*10000/E62</f>
        <v>-0.08905656578141134</v>
      </c>
      <c r="F108" s="168">
        <f>F68*10000/F62</f>
        <v>-0.28921407939141053</v>
      </c>
      <c r="G108" s="168">
        <f>AVERAGE(C108:E108)</f>
        <v>-0.05963680607490588</v>
      </c>
      <c r="H108" s="168">
        <f>STDEV(C108:E108)</f>
        <v>0.025534017887508767</v>
      </c>
      <c r="I108" s="168">
        <f>(B108*B4+C108*C4+D108*D4+E108*E4+F108*F4)/SUM(B4:F4)</f>
        <v>-0.12085241400591137</v>
      </c>
    </row>
    <row r="109" spans="1:9" ht="12.75">
      <c r="A109" s="168" t="s">
        <v>162</v>
      </c>
      <c r="B109" s="168">
        <f>B69*10000/B62</f>
        <v>-0.06867137851382711</v>
      </c>
      <c r="C109" s="168">
        <f>C69*10000/C62</f>
        <v>-0.03896963460320244</v>
      </c>
      <c r="D109" s="168">
        <f>D69*10000/D62</f>
        <v>-0.046504413281572794</v>
      </c>
      <c r="E109" s="168">
        <f>E69*10000/E62</f>
        <v>-0.06054736839080212</v>
      </c>
      <c r="F109" s="168">
        <f>F69*10000/F62</f>
        <v>-0.013873575032915333</v>
      </c>
      <c r="G109" s="168">
        <f>AVERAGE(C109:E109)</f>
        <v>-0.04867380542519245</v>
      </c>
      <c r="H109" s="168">
        <f>STDEV(C109:E109)</f>
        <v>0.010951225755901914</v>
      </c>
      <c r="I109" s="168">
        <f>(B109*B4+C109*C4+D109*D4+E109*E4+F109*F4)/SUM(B4:F4)</f>
        <v>-0.04688579170507388</v>
      </c>
    </row>
    <row r="110" spans="1:11" ht="12.75">
      <c r="A110" s="168" t="s">
        <v>163</v>
      </c>
      <c r="B110" s="168">
        <f>B70*10000/B62</f>
        <v>-0.3404057348356545</v>
      </c>
      <c r="C110" s="168">
        <f>C70*10000/C62</f>
        <v>-0.014428284578929524</v>
      </c>
      <c r="D110" s="168">
        <f>D70*10000/D62</f>
        <v>0.013550397759193693</v>
      </c>
      <c r="E110" s="168">
        <f>E70*10000/E62</f>
        <v>-0.01784837944176277</v>
      </c>
      <c r="F110" s="168">
        <f>F70*10000/F62</f>
        <v>-0.2970580625804245</v>
      </c>
      <c r="G110" s="168">
        <f>AVERAGE(C110:E110)</f>
        <v>-0.006242088753832867</v>
      </c>
      <c r="H110" s="168">
        <f>STDEV(C110:E110)</f>
        <v>0.017225886159903305</v>
      </c>
      <c r="I110" s="168">
        <f>(B110*B4+C110*C4+D110*D4+E110*E4+F110*F4)/SUM(B4:F4)</f>
        <v>-0.09337124399937391</v>
      </c>
      <c r="K110" s="168">
        <f>EXP(AVERAGE(K103:K107))</f>
        <v>0.010035335525886247</v>
      </c>
    </row>
    <row r="111" spans="1:9" ht="12.75">
      <c r="A111" s="168" t="s">
        <v>164</v>
      </c>
      <c r="B111" s="168">
        <f>B71*10000/B62</f>
        <v>0.10386950502765685</v>
      </c>
      <c r="C111" s="168">
        <f>C71*10000/C62</f>
        <v>0.07866225792207814</v>
      </c>
      <c r="D111" s="168">
        <f>D71*10000/D62</f>
        <v>0.054710995651659225</v>
      </c>
      <c r="E111" s="168">
        <f>E71*10000/E62</f>
        <v>0.1607792856377734</v>
      </c>
      <c r="F111" s="168">
        <f>F71*10000/F62</f>
        <v>0.05020531007577398</v>
      </c>
      <c r="G111" s="168">
        <f>AVERAGE(C111:E111)</f>
        <v>0.09805084640383692</v>
      </c>
      <c r="H111" s="168">
        <f>STDEV(C111:E111)</f>
        <v>0.05562875657095751</v>
      </c>
      <c r="I111" s="168">
        <f>(B111*B4+C111*C4+D111*D4+E111*E4+F111*F4)/SUM(B4:F4)</f>
        <v>0.09247388910082743</v>
      </c>
    </row>
    <row r="112" spans="1:9" ht="12.75">
      <c r="A112" s="168" t="s">
        <v>165</v>
      </c>
      <c r="B112" s="168">
        <f>B72*10000/B62</f>
        <v>-0.11104382574392527</v>
      </c>
      <c r="C112" s="168">
        <f>C72*10000/C62</f>
        <v>-0.10267229213601674</v>
      </c>
      <c r="D112" s="168">
        <f>D72*10000/D62</f>
        <v>-0.12791317426633403</v>
      </c>
      <c r="E112" s="168">
        <f>E72*10000/E62</f>
        <v>-0.11648952138098681</v>
      </c>
      <c r="F112" s="168">
        <f>F72*10000/F62</f>
        <v>-0.09762929761956246</v>
      </c>
      <c r="G112" s="168">
        <f>AVERAGE(C112:E112)</f>
        <v>-0.11569166259444585</v>
      </c>
      <c r="H112" s="168">
        <f>STDEV(C112:E112)</f>
        <v>0.012639342018538256</v>
      </c>
      <c r="I112" s="168">
        <f>(B112*B4+C112*C4+D112*D4+E112*E4+F112*F4)/SUM(B4:F4)</f>
        <v>-0.11259883762602607</v>
      </c>
    </row>
    <row r="113" spans="1:9" ht="12.75">
      <c r="A113" s="168" t="s">
        <v>166</v>
      </c>
      <c r="B113" s="168">
        <f>B73*10000/B62</f>
        <v>-0.02181357877142372</v>
      </c>
      <c r="C113" s="168">
        <f>C73*10000/C62</f>
        <v>-0.018857112953758953</v>
      </c>
      <c r="D113" s="168">
        <f>D73*10000/D62</f>
        <v>-0.02702188747220285</v>
      </c>
      <c r="E113" s="168">
        <f>E73*10000/E62</f>
        <v>-0.018335566629476538</v>
      </c>
      <c r="F113" s="168">
        <f>F73*10000/F62</f>
        <v>-0.0005757157305735503</v>
      </c>
      <c r="G113" s="168">
        <f>AVERAGE(C113:E113)</f>
        <v>-0.021404855685146117</v>
      </c>
      <c r="H113" s="168">
        <f>STDEV(C113:E113)</f>
        <v>0.004871476902818822</v>
      </c>
      <c r="I113" s="168">
        <f>(B113*B4+C113*C4+D113*D4+E113*E4+F113*F4)/SUM(B4:F4)</f>
        <v>-0.01866949256147003</v>
      </c>
    </row>
    <row r="114" spans="1:11" ht="12.75">
      <c r="A114" s="168" t="s">
        <v>167</v>
      </c>
      <c r="B114" s="168">
        <f>B74*10000/B62</f>
        <v>-0.18422906918598791</v>
      </c>
      <c r="C114" s="168">
        <f>C74*10000/C62</f>
        <v>-0.1778270048992371</v>
      </c>
      <c r="D114" s="168">
        <f>D74*10000/D62</f>
        <v>-0.1770431248933629</v>
      </c>
      <c r="E114" s="168">
        <f>E74*10000/E62</f>
        <v>-0.16853591157402428</v>
      </c>
      <c r="F114" s="168">
        <f>F74*10000/F62</f>
        <v>-0.1399624053828441</v>
      </c>
      <c r="G114" s="168">
        <f>AVERAGE(C114:E114)</f>
        <v>-0.17446868045554143</v>
      </c>
      <c r="H114" s="168">
        <f>STDEV(C114:E114)</f>
        <v>0.005152856190214883</v>
      </c>
      <c r="I114" s="168">
        <f>(B114*B4+C114*C4+D114*D4+E114*E4+F114*F4)/SUM(B4:F4)</f>
        <v>-0.17124562132363422</v>
      </c>
      <c r="J114" s="168" t="s">
        <v>185</v>
      </c>
      <c r="K114" s="168">
        <v>285</v>
      </c>
    </row>
    <row r="115" spans="1:11" ht="12.75">
      <c r="A115" s="168" t="s">
        <v>168</v>
      </c>
      <c r="B115" s="168">
        <f>B75*10000/B62</f>
        <v>0.0004853140532774631</v>
      </c>
      <c r="C115" s="168">
        <f>C75*10000/C62</f>
        <v>0.00048399845884185093</v>
      </c>
      <c r="D115" s="168">
        <f>D75*10000/D62</f>
        <v>0.0033659887696518664</v>
      </c>
      <c r="E115" s="168">
        <f>E75*10000/E62</f>
        <v>-0.0007370381225333941</v>
      </c>
      <c r="F115" s="168">
        <f>F75*10000/F62</f>
        <v>-0.004180411391193988</v>
      </c>
      <c r="G115" s="168">
        <f>AVERAGE(C115:E115)</f>
        <v>0.0010376497019867743</v>
      </c>
      <c r="H115" s="168">
        <f>STDEV(C115:E115)</f>
        <v>0.0021067996330396016</v>
      </c>
      <c r="I115" s="168">
        <f>(B115*B4+C115*C4+D115*D4+E115*E4+F115*F4)/SUM(B4:F4)</f>
        <v>0.00025805290566885446</v>
      </c>
      <c r="J115" s="168" t="s">
        <v>186</v>
      </c>
      <c r="K115" s="168">
        <v>0.5536</v>
      </c>
    </row>
    <row r="118" ht="12.75">
      <c r="A118" s="168" t="s">
        <v>151</v>
      </c>
    </row>
    <row r="120" spans="2:9" ht="12.75">
      <c r="B120" s="168" t="s">
        <v>82</v>
      </c>
      <c r="C120" s="168" t="s">
        <v>83</v>
      </c>
      <c r="D120" s="168" t="s">
        <v>84</v>
      </c>
      <c r="E120" s="168" t="s">
        <v>85</v>
      </c>
      <c r="F120" s="168" t="s">
        <v>86</v>
      </c>
      <c r="G120" s="168" t="s">
        <v>153</v>
      </c>
      <c r="H120" s="168" t="s">
        <v>154</v>
      </c>
      <c r="I120" s="168" t="s">
        <v>187</v>
      </c>
    </row>
    <row r="121" spans="1:9" ht="12.75">
      <c r="A121" s="168" t="s">
        <v>169</v>
      </c>
      <c r="B121" s="168">
        <f>B81*10000/B62</f>
        <v>0</v>
      </c>
      <c r="C121" s="168">
        <f>C81*10000/C62</f>
        <v>0</v>
      </c>
      <c r="D121" s="168">
        <f>D81*10000/D62</f>
        <v>0</v>
      </c>
      <c r="E121" s="168">
        <f>E81*10000/E62</f>
        <v>0</v>
      </c>
      <c r="F121" s="168">
        <f>F81*10000/F62</f>
        <v>0</v>
      </c>
      <c r="G121" s="168">
        <f>AVERAGE(C121:E121)</f>
        <v>0</v>
      </c>
      <c r="H121" s="168">
        <f>STDEV(C121:E121)</f>
        <v>0</v>
      </c>
      <c r="I121" s="168">
        <f>(B121*B4+C121*C4+D121*D4+E121*E4+F121*F4)/SUM(B4:F4)</f>
        <v>0</v>
      </c>
    </row>
    <row r="122" spans="1:9" ht="12.75">
      <c r="A122" s="168" t="s">
        <v>170</v>
      </c>
      <c r="B122" s="168">
        <f>B82*10000/B62</f>
        <v>21.1360933175524</v>
      </c>
      <c r="C122" s="168">
        <f>C82*10000/C62</f>
        <v>-1.1663810669788703</v>
      </c>
      <c r="D122" s="168">
        <f>D82*10000/D62</f>
        <v>-15.511282799367512</v>
      </c>
      <c r="E122" s="168">
        <f>E82*10000/E62</f>
        <v>4.346122998462763</v>
      </c>
      <c r="F122" s="168">
        <f>F82*10000/F62</f>
        <v>-0.8376669808268987</v>
      </c>
      <c r="G122" s="168">
        <f>AVERAGE(C122:E122)</f>
        <v>-4.110513622627873</v>
      </c>
      <c r="H122" s="168">
        <f>STDEV(C122:E122)</f>
        <v>10.250857458469028</v>
      </c>
      <c r="I122" s="168">
        <f>(B122*B4+C122*C4+D122*D4+E122*E4+F122*F4)/SUM(B4:F4)</f>
        <v>-0.035238399284419214</v>
      </c>
    </row>
    <row r="123" spans="1:9" ht="12.75">
      <c r="A123" s="168" t="s">
        <v>171</v>
      </c>
      <c r="B123" s="168">
        <f>B83*10000/B62</f>
        <v>1.8140818199187538</v>
      </c>
      <c r="C123" s="168">
        <f>C83*10000/C62</f>
        <v>1.4324477559558826</v>
      </c>
      <c r="D123" s="168">
        <f>D83*10000/D62</f>
        <v>1.1969662547070596</v>
      </c>
      <c r="E123" s="168">
        <f>E83*10000/E62</f>
        <v>-0.20178776109929722</v>
      </c>
      <c r="F123" s="168">
        <f>F83*10000/F62</f>
        <v>6.235523095217096</v>
      </c>
      <c r="G123" s="168">
        <f>AVERAGE(C123:E123)</f>
        <v>0.8092087498545483</v>
      </c>
      <c r="H123" s="168">
        <f>STDEV(C123:E123)</f>
        <v>0.8834298745391379</v>
      </c>
      <c r="I123" s="168">
        <f>(B123*B4+C123*C4+D123*D4+E123*E4+F123*F4)/SUM(B4:F4)</f>
        <v>1.6817310489940784</v>
      </c>
    </row>
    <row r="124" spans="1:9" ht="12.75">
      <c r="A124" s="168" t="s">
        <v>172</v>
      </c>
      <c r="B124" s="168">
        <f>B84*10000/B62</f>
        <v>0.6953868061393389</v>
      </c>
      <c r="C124" s="168">
        <f>C84*10000/C62</f>
        <v>0.14755065012990617</v>
      </c>
      <c r="D124" s="168">
        <f>D84*10000/D62</f>
        <v>1.3328909494751202</v>
      </c>
      <c r="E124" s="168">
        <f>E84*10000/E62</f>
        <v>1.2601849108510779</v>
      </c>
      <c r="F124" s="168">
        <f>F84*10000/F62</f>
        <v>0.5133063370061748</v>
      </c>
      <c r="G124" s="168">
        <f>AVERAGE(C124:E124)</f>
        <v>0.9135421701520348</v>
      </c>
      <c r="H124" s="168">
        <f>STDEV(C124:E124)</f>
        <v>0.6643634536700965</v>
      </c>
      <c r="I124" s="168">
        <f>(B124*B4+C124*C4+D124*D4+E124*E4+F124*F4)/SUM(B4:F4)</f>
        <v>0.8284160454090115</v>
      </c>
    </row>
    <row r="125" spans="1:9" ht="12.75">
      <c r="A125" s="168" t="s">
        <v>173</v>
      </c>
      <c r="B125" s="168">
        <f>B85*10000/B62</f>
        <v>0.5899518206026553</v>
      </c>
      <c r="C125" s="168">
        <f>C85*10000/C62</f>
        <v>0.26334782477114593</v>
      </c>
      <c r="D125" s="168">
        <f>D85*10000/D62</f>
        <v>0.3487699124811146</v>
      </c>
      <c r="E125" s="168">
        <f>E85*10000/E62</f>
        <v>0.05821762217689592</v>
      </c>
      <c r="F125" s="168">
        <f>F85*10000/F62</f>
        <v>-0.38667155780021467</v>
      </c>
      <c r="G125" s="168">
        <f>AVERAGE(C125:E125)</f>
        <v>0.22344511980971885</v>
      </c>
      <c r="H125" s="168">
        <f>STDEV(C125:E125)</f>
        <v>0.1493295943464849</v>
      </c>
      <c r="I125" s="168">
        <f>(B125*B4+C125*C4+D125*D4+E125*E4+F125*F4)/SUM(B4:F4)</f>
        <v>0.19437827961819526</v>
      </c>
    </row>
    <row r="126" spans="1:9" ht="12.75">
      <c r="A126" s="168" t="s">
        <v>174</v>
      </c>
      <c r="B126" s="168">
        <f>B86*10000/B62</f>
        <v>1.0131402968665872</v>
      </c>
      <c r="C126" s="168">
        <f>C86*10000/C62</f>
        <v>0.5877714544653913</v>
      </c>
      <c r="D126" s="168">
        <f>D86*10000/D62</f>
        <v>0.23976011843343725</v>
      </c>
      <c r="E126" s="168">
        <f>E86*10000/E62</f>
        <v>0.3906795262096137</v>
      </c>
      <c r="F126" s="168">
        <f>F86*10000/F62</f>
        <v>1.4265063008229064</v>
      </c>
      <c r="G126" s="168">
        <f>AVERAGE(C126:E126)</f>
        <v>0.40607036636948074</v>
      </c>
      <c r="H126" s="168">
        <f>STDEV(C126:E126)</f>
        <v>0.17451541757766362</v>
      </c>
      <c r="I126" s="168">
        <f>(B126*B4+C126*C4+D126*D4+E126*E4+F126*F4)/SUM(B4:F4)</f>
        <v>0.630373420386781</v>
      </c>
    </row>
    <row r="127" spans="1:9" ht="12.75">
      <c r="A127" s="168" t="s">
        <v>175</v>
      </c>
      <c r="B127" s="168">
        <f>B87*10000/B62</f>
        <v>0.211237957283077</v>
      </c>
      <c r="C127" s="168">
        <f>C87*10000/C62</f>
        <v>0.007018358372205147</v>
      </c>
      <c r="D127" s="168">
        <f>D87*10000/D62</f>
        <v>-0.005595947815255657</v>
      </c>
      <c r="E127" s="168">
        <f>E87*10000/E62</f>
        <v>-0.11382922621433351</v>
      </c>
      <c r="F127" s="168">
        <f>F87*10000/F62</f>
        <v>0.4403787267022467</v>
      </c>
      <c r="G127" s="168">
        <f>AVERAGE(C127:E127)</f>
        <v>-0.03746893855246134</v>
      </c>
      <c r="H127" s="168">
        <f>STDEV(C127:E127)</f>
        <v>0.06643004086255445</v>
      </c>
      <c r="I127" s="168">
        <f>(B127*B4+C127*C4+D127*D4+E127*E4+F127*F4)/SUM(B4:F4)</f>
        <v>0.062437988218227033</v>
      </c>
    </row>
    <row r="128" spans="1:9" ht="12.75">
      <c r="A128" s="168" t="s">
        <v>176</v>
      </c>
      <c r="B128" s="168">
        <f>B88*10000/B62</f>
        <v>0.26134121396764204</v>
      </c>
      <c r="C128" s="168">
        <f>C88*10000/C62</f>
        <v>0.13567422478713403</v>
      </c>
      <c r="D128" s="168">
        <f>D88*10000/D62</f>
        <v>0.19821838700887162</v>
      </c>
      <c r="E128" s="168">
        <f>E88*10000/E62</f>
        <v>0.33443621265269585</v>
      </c>
      <c r="F128" s="168">
        <f>F88*10000/F62</f>
        <v>0.279957018712702</v>
      </c>
      <c r="G128" s="168">
        <f>AVERAGE(C128:E128)</f>
        <v>0.22277627481623385</v>
      </c>
      <c r="H128" s="168">
        <f>STDEV(C128:E128)</f>
        <v>0.10163119277680775</v>
      </c>
      <c r="I128" s="168">
        <f>(B128*B4+C128*C4+D128*D4+E128*E4+F128*F4)/SUM(B4:F4)</f>
        <v>0.23600104238457076</v>
      </c>
    </row>
    <row r="129" spans="1:9" ht="12.75">
      <c r="A129" s="168" t="s">
        <v>177</v>
      </c>
      <c r="B129" s="168">
        <f>B89*10000/B62</f>
        <v>-0.057173061462512643</v>
      </c>
      <c r="C129" s="168">
        <f>C89*10000/C62</f>
        <v>0.03024518470154188</v>
      </c>
      <c r="D129" s="168">
        <f>D89*10000/D62</f>
        <v>0.013373841456828484</v>
      </c>
      <c r="E129" s="168">
        <f>E89*10000/E62</f>
        <v>-0.02516516141169324</v>
      </c>
      <c r="F129" s="168">
        <f>F89*10000/F62</f>
        <v>-0.060566814572449425</v>
      </c>
      <c r="G129" s="168">
        <f>AVERAGE(C129:E129)</f>
        <v>0.006151288248892374</v>
      </c>
      <c r="H129" s="168">
        <f>STDEV(C129:E129)</f>
        <v>0.02840247472014065</v>
      </c>
      <c r="I129" s="168">
        <f>(B129*B4+C129*C4+D129*D4+E129*E4+F129*F4)/SUM(B4:F4)</f>
        <v>-0.011917029205593873</v>
      </c>
    </row>
    <row r="130" spans="1:9" ht="12.75">
      <c r="A130" s="168" t="s">
        <v>178</v>
      </c>
      <c r="B130" s="168">
        <f>B90*10000/B62</f>
        <v>0.07413271066292423</v>
      </c>
      <c r="C130" s="168">
        <f>C90*10000/C62</f>
        <v>0.05105728705827863</v>
      </c>
      <c r="D130" s="168">
        <f>D90*10000/D62</f>
        <v>0.06021029785353465</v>
      </c>
      <c r="E130" s="168">
        <f>E90*10000/E62</f>
        <v>-0.010691305831145283</v>
      </c>
      <c r="F130" s="168">
        <f>F90*10000/F62</f>
        <v>0.11760648659692853</v>
      </c>
      <c r="G130" s="168">
        <f>AVERAGE(C130:E130)</f>
        <v>0.03352542636022266</v>
      </c>
      <c r="H130" s="168">
        <f>STDEV(C130:E130)</f>
        <v>0.038565320638066586</v>
      </c>
      <c r="I130" s="168">
        <f>(B130*B4+C130*C4+D130*D4+E130*E4+F130*F4)/SUM(B4:F4)</f>
        <v>0.05064921141739407</v>
      </c>
    </row>
    <row r="131" spans="1:9" ht="12.75">
      <c r="A131" s="168" t="s">
        <v>179</v>
      </c>
      <c r="B131" s="168">
        <f>B91*10000/B62</f>
        <v>0.15750586620271628</v>
      </c>
      <c r="C131" s="168">
        <f>C91*10000/C62</f>
        <v>0.18038344041672613</v>
      </c>
      <c r="D131" s="168">
        <f>D91*10000/D62</f>
        <v>0.20531584856179813</v>
      </c>
      <c r="E131" s="168">
        <f>E91*10000/E62</f>
        <v>0.16844123219724993</v>
      </c>
      <c r="F131" s="168">
        <f>F91*10000/F62</f>
        <v>0.23390284395832941</v>
      </c>
      <c r="G131" s="168">
        <f>AVERAGE(C131:E131)</f>
        <v>0.18471350705859138</v>
      </c>
      <c r="H131" s="168">
        <f>STDEV(C131:E131)</f>
        <v>0.018814793138655552</v>
      </c>
      <c r="I131" s="168">
        <f>(B131*B4+C131*C4+D131*D4+E131*E4+F131*F4)/SUM(B4:F4)</f>
        <v>0.1873921222076876</v>
      </c>
    </row>
    <row r="132" spans="1:9" ht="12.75">
      <c r="A132" s="168" t="s">
        <v>180</v>
      </c>
      <c r="B132" s="168">
        <f>B92*10000/B62</f>
        <v>0.05095827569354735</v>
      </c>
      <c r="C132" s="168">
        <f>C92*10000/C62</f>
        <v>0.040880836904700964</v>
      </c>
      <c r="D132" s="168">
        <f>D92*10000/D62</f>
        <v>0.03381093524655829</v>
      </c>
      <c r="E132" s="168">
        <f>E92*10000/E62</f>
        <v>0.10308296751906337</v>
      </c>
      <c r="F132" s="168">
        <f>F92*10000/F62</f>
        <v>0.027585407547841428</v>
      </c>
      <c r="G132" s="168">
        <f>AVERAGE(C132:E132)</f>
        <v>0.059258246556774204</v>
      </c>
      <c r="H132" s="168">
        <f>STDEV(C132:E132)</f>
        <v>0.038117587842501695</v>
      </c>
      <c r="I132" s="168">
        <f>(B132*B4+C132*C4+D132*D4+E132*E4+F132*F4)/SUM(B4:F4)</f>
        <v>0.053816318893094586</v>
      </c>
    </row>
    <row r="133" spans="1:9" ht="12.75">
      <c r="A133" s="168" t="s">
        <v>181</v>
      </c>
      <c r="B133" s="168">
        <f>B93*10000/B62</f>
        <v>-0.11303707333391368</v>
      </c>
      <c r="C133" s="168">
        <f>C93*10000/C62</f>
        <v>-0.10076864634262415</v>
      </c>
      <c r="D133" s="168">
        <f>D93*10000/D62</f>
        <v>-0.11056287322361878</v>
      </c>
      <c r="E133" s="168">
        <f>E93*10000/E62</f>
        <v>-0.10738280959930077</v>
      </c>
      <c r="F133" s="168">
        <f>F93*10000/F62</f>
        <v>-0.08345733020812872</v>
      </c>
      <c r="G133" s="168">
        <f>AVERAGE(C133:E133)</f>
        <v>-0.1062381097218479</v>
      </c>
      <c r="H133" s="168">
        <f>STDEV(C133:E133)</f>
        <v>0.004996446077581661</v>
      </c>
      <c r="I133" s="168">
        <f>(B133*B4+C133*C4+D133*D4+E133*E4+F133*F4)/SUM(B4:F4)</f>
        <v>-0.1041612560273206</v>
      </c>
    </row>
    <row r="134" spans="1:9" ht="12.75">
      <c r="A134" s="168" t="s">
        <v>182</v>
      </c>
      <c r="B134" s="168">
        <f>B94*10000/B62</f>
        <v>-0.005814755337402022</v>
      </c>
      <c r="C134" s="168">
        <f>C94*10000/C62</f>
        <v>0.009081050579326977</v>
      </c>
      <c r="D134" s="168">
        <f>D94*10000/D62</f>
        <v>0.014590052450800231</v>
      </c>
      <c r="E134" s="168">
        <f>E94*10000/E62</f>
        <v>0.001411459048101241</v>
      </c>
      <c r="F134" s="168">
        <f>F94*10000/F62</f>
        <v>-0.03480130908932377</v>
      </c>
      <c r="G134" s="168">
        <f>AVERAGE(C134:E134)</f>
        <v>0.00836085402607615</v>
      </c>
      <c r="H134" s="168">
        <f>STDEV(C134:E134)</f>
        <v>0.0066187493777073265</v>
      </c>
      <c r="I134" s="168">
        <f>(B134*B4+C134*C4+D134*D4+E134*E4+F134*F4)/SUM(B4:F4)</f>
        <v>0.00052970618970777</v>
      </c>
    </row>
    <row r="135" spans="1:9" ht="12.75">
      <c r="A135" s="168" t="s">
        <v>183</v>
      </c>
      <c r="B135" s="168">
        <f>B95*10000/B62</f>
        <v>-0.0009184327896480313</v>
      </c>
      <c r="C135" s="168">
        <f>C95*10000/C62</f>
        <v>0.0003221483848849522</v>
      </c>
      <c r="D135" s="168">
        <f>D95*10000/D62</f>
        <v>-0.001441419719657409</v>
      </c>
      <c r="E135" s="168">
        <f>E95*10000/E62</f>
        <v>-0.002395717442417602</v>
      </c>
      <c r="F135" s="168">
        <f>F95*10000/F62</f>
        <v>0.0025621856586436555</v>
      </c>
      <c r="G135" s="168">
        <f>AVERAGE(C135:E135)</f>
        <v>-0.0011716629257300197</v>
      </c>
      <c r="H135" s="168">
        <f>STDEV(C135:E135)</f>
        <v>0.0013788673647988183</v>
      </c>
      <c r="I135" s="168">
        <f>(B135*B4+C135*C4+D135*D4+E135*E4+F135*F4)/SUM(B4:F4)</f>
        <v>-0.0006343505084226462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2001-11-15T13:19:38Z</cp:lastPrinted>
  <dcterms:created xsi:type="dcterms:W3CDTF">1999-06-17T15:15:05Z</dcterms:created>
  <dcterms:modified xsi:type="dcterms:W3CDTF">2003-09-26T12:32:27Z</dcterms:modified>
  <cp:category/>
  <cp:version/>
  <cp:contentType/>
  <cp:contentStatus/>
</cp:coreProperties>
</file>