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6870" windowHeight="1770" firstSheet="5" activeTab="7"/>
  </bookViews>
  <sheets>
    <sheet name="Sommaire" sheetId="1" r:id="rId1"/>
    <sheet name="HCMQAP021_A_pos1ap2" sheetId="2" r:id="rId2"/>
    <sheet name="HCMQAP021_A_pos2ap2" sheetId="3" r:id="rId3"/>
    <sheet name="HCMQAP021_A_pos3ap2" sheetId="4" r:id="rId4"/>
    <sheet name="HCMQAP021_A_pos4ap2" sheetId="5" r:id="rId5"/>
    <sheet name="HCMQAP021_A_pos5ap2" sheetId="6" r:id="rId6"/>
    <sheet name="Lmag_hcmqap" sheetId="7" r:id="rId7"/>
    <sheet name="Result_HCMQAP" sheetId="8" r:id="rId8"/>
  </sheets>
  <definedNames>
    <definedName name="_xlnm.Print_Area" localSheetId="1">'HCMQAP021_A_pos1ap2'!$A$1:$N$28</definedName>
    <definedName name="_xlnm.Print_Area" localSheetId="2">'HCMQAP021_A_pos2ap2'!$A$1:$N$28</definedName>
    <definedName name="_xlnm.Print_Area" localSheetId="3">'HCMQAP021_A_pos3ap2'!$A$1:$N$28</definedName>
    <definedName name="_xlnm.Print_Area" localSheetId="4">'HCMQAP021_A_pos4ap2'!$A$1:$N$28</definedName>
    <definedName name="_xlnm.Print_Area" localSheetId="5">'HCMQAP021_A_pos5ap2'!$A$1:$N$28</definedName>
    <definedName name="_xlnm.Print_Area" localSheetId="6">'Lmag_hcmqap'!$A$1:$G$54</definedName>
  </definedNames>
  <calcPr fullCalcOnLoad="1"/>
</workbook>
</file>

<file path=xl/sharedStrings.xml><?xml version="1.0" encoding="utf-8"?>
<sst xmlns="http://schemas.openxmlformats.org/spreadsheetml/2006/main" count="498" uniqueCount="181">
  <si>
    <t>Bench Number</t>
  </si>
  <si>
    <t>Valeurs dipôlaires en Teslas (signal absolu mesuré par la bobine externe corrigé de la dérive de l'électronique)</t>
  </si>
  <si>
    <t>Magnet Name</t>
  </si>
  <si>
    <t>hcmqap021_a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</si>
  <si>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</si>
  <si>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</si>
  <si>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</si>
  <si>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</si>
  <si>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</si>
  <si>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</si>
  <si>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</si>
  <si>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</si>
  <si>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</si>
  <si>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</si>
  <si>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</si>
  <si>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</si>
  <si>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</si>
  <si>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</si>
  <si>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</si>
  <si>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</si>
  <si>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</si>
  <si>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</si>
  <si>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</si>
  <si>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</si>
  <si>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</si>
  <si>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</si>
  <si>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</si>
  <si>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</si>
  <si>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</si>
  <si>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</si>
  <si>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</si>
  <si>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</si>
  <si>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</si>
  <si>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</si>
  <si>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</si>
  <si>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</si>
  <si>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</si>
  <si>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</si>
  <si>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</si>
  <si>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</si>
  <si>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</si>
  <si>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</si>
  <si>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</si>
  <si>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</si>
  <si>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</si>
  <si>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</si>
  <si>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</si>
  <si>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</si>
  <si>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</si>
  <si>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</si>
  <si>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</si>
  <si>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</si>
  <si>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</si>
  <si>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</si>
  <si>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</si>
  <si>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</si>
  <si>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HCMQAP021_A_pos1ap2</t>
  </si>
  <si>
    <t>19/02/20</t>
  </si>
  <si>
    <t>±12.5</t>
  </si>
  <si>
    <t>THCMQAP021_A_pos1ap2.xls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</si>
  <si>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</si>
  <si>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HCMQAP021_A_pos2ap2</t>
  </si>
  <si>
    <t>THCMQAP021_A_pos2ap2.xls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</si>
  <si>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</si>
  <si>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HCMQAP021_A_pos3ap2</t>
  </si>
  <si>
    <t>THCMQAP021_A_pos3ap2.xls</t>
  </si>
  <si>
    <t>HCMQAP021_A_pos4ap2</t>
  </si>
  <si>
    <t>THCMQAP021_A_pos4ap2.xls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</si>
  <si>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</si>
  <si>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t>HCMQAP021_A_pos5ap2</t>
  </si>
  <si>
    <t>THCMQAP021_A_pos5ap2.xls</t>
  </si>
  <si>
    <t>Sommaire : Valeurs intégrales calculées avec les fichiers: HCMQAP021_A_pos1ap2+HCMQAP021_A_pos2ap2+HCMQAP021_A_pos3ap2+HCMQAP021_A_pos4ap2+HCMQAP021_A_pos5ap2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</si>
  <si>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</si>
  <si>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</si>
  <si>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</si>
  <si>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</si>
  <si>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</si>
  <si>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</si>
  <si>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</si>
  <si>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</si>
  <si>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</si>
  <si>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</si>
  <si>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</si>
  <si>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</si>
  <si>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</si>
  <si>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</si>
  <si>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</si>
  <si>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</si>
  <si>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</si>
  <si>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</si>
  <si>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</si>
  <si>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</si>
  <si>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</si>
  <si>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</si>
  <si>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</si>
  <si>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</si>
  <si>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</si>
  <si>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</si>
  <si>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</si>
  <si>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</si>
  <si>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</si>
  <si>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</si>
  <si>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</si>
  <si>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</si>
  <si>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</si>
  <si>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</si>
  <si>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</si>
  <si>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</si>
  <si>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</si>
  <si>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</si>
  <si>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</si>
  <si>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</si>
  <si>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</si>
  <si>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</si>
  <si>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</si>
  <si>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=-3.752</t>
    </r>
  </si>
  <si>
    <t>Gradient (T/m)</t>
  </si>
  <si>
    <t xml:space="preserve"> Wed 19/02/2003       13:41:46</t>
  </si>
  <si>
    <t>LISSNER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</si>
  <si>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</si>
  <si>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</si>
  <si>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</si>
  <si>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</si>
  <si>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</si>
  <si>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</si>
  <si>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</si>
  <si>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</si>
  <si>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</si>
  <si>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</si>
  <si>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</si>
  <si>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</si>
  <si>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</si>
  <si>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</si>
  <si>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</si>
  <si>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</si>
  <si>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</si>
  <si>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</si>
  <si>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</si>
  <si>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</si>
  <si>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</si>
  <si>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</si>
  <si>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</si>
  <si>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</si>
  <si>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</si>
  <si>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</si>
  <si>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</si>
  <si>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</si>
  <si>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</si>
  <si>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</si>
  <si>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</si>
  <si>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</si>
  <si>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</si>
  <si>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</si>
  <si>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</si>
  <si>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</si>
  <si>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</si>
  <si>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</si>
  <si>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</si>
  <si>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</si>
  <si>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</si>
  <si>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</si>
  <si>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</si>
  <si>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</si>
  <si>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</si>
  <si>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</si>
  <si>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</si>
  <si>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</si>
  <si>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</si>
  <si>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</si>
  <si>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</si>
  <si>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</si>
  <si>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</si>
  <si>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</si>
  <si>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</si>
  <si>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</si>
  <si>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</si>
  <si>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</si>
  <si>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</si>
  <si>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</si>
  <si>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HCMQAP021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</si>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</sst>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dd/mm/yy"/>
    <numFmt numFmtId="187" formatCode="0.#"/>
    <numFmt numFmtId="188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left"/>
    </xf>
    <xf numFmtId="186" fontId="0" fillId="0" borderId="0" xfId="0" applyNumberFormat="1" applyAlignment="1">
      <alignment horizontal="left"/>
    </xf>
    <xf numFmtId="18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left"/>
    </xf>
    <xf numFmtId="181" fontId="2" fillId="0" borderId="4" xfId="0" applyNumberFormat="1" applyFont="1" applyFill="1" applyBorder="1" applyAlignment="1">
      <alignment horizontal="center"/>
    </xf>
    <xf numFmtId="181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181" fontId="2" fillId="0" borderId="8" xfId="0" applyNumberFormat="1" applyFont="1" applyFill="1" applyBorder="1" applyAlignment="1">
      <alignment horizontal="left"/>
    </xf>
    <xf numFmtId="181" fontId="2" fillId="0" borderId="9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2" fontId="2" fillId="0" borderId="11" xfId="0" applyNumberFormat="1" applyFont="1" applyFill="1" applyBorder="1" applyAlignment="1">
      <alignment horizontal="center"/>
    </xf>
    <xf numFmtId="182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84" fontId="2" fillId="0" borderId="7" xfId="0" applyNumberFormat="1" applyFont="1" applyFill="1" applyBorder="1" applyAlignment="1">
      <alignment horizontal="left"/>
    </xf>
    <xf numFmtId="181" fontId="2" fillId="0" borderId="12" xfId="0" applyNumberFormat="1" applyFont="1" applyFill="1" applyBorder="1" applyAlignment="1">
      <alignment horizontal="left"/>
    </xf>
    <xf numFmtId="181" fontId="2" fillId="0" borderId="13" xfId="0" applyNumberFormat="1" applyFont="1" applyFill="1" applyBorder="1" applyAlignment="1">
      <alignment horizontal="left"/>
    </xf>
    <xf numFmtId="181" fontId="2" fillId="0" borderId="13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181" fontId="2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left"/>
    </xf>
    <xf numFmtId="181" fontId="3" fillId="0" borderId="9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181" fontId="2" fillId="0" borderId="9" xfId="0" applyNumberFormat="1" applyFont="1" applyFill="1" applyBorder="1" applyAlignment="1">
      <alignment horizontal="left"/>
    </xf>
    <xf numFmtId="181" fontId="2" fillId="0" borderId="1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81" fontId="2" fillId="0" borderId="18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2" fillId="0" borderId="19" xfId="0" applyNumberFormat="1" applyFont="1" applyFill="1" applyBorder="1" applyAlignment="1">
      <alignment horizontal="center"/>
    </xf>
    <xf numFmtId="181" fontId="2" fillId="0" borderId="20" xfId="0" applyNumberFormat="1" applyFont="1" applyFill="1" applyBorder="1" applyAlignment="1">
      <alignment horizontal="center"/>
    </xf>
    <xf numFmtId="181" fontId="3" fillId="0" borderId="6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181" fontId="2" fillId="0" borderId="7" xfId="0" applyNumberFormat="1" applyFont="1" applyFill="1" applyBorder="1" applyAlignment="1">
      <alignment horizontal="center"/>
    </xf>
    <xf numFmtId="181" fontId="2" fillId="0" borderId="7" xfId="0" applyNumberFormat="1" applyFont="1" applyFill="1" applyBorder="1" applyAlignment="1">
      <alignment horizontal="left"/>
    </xf>
    <xf numFmtId="181" fontId="2" fillId="0" borderId="6" xfId="0" applyNumberFormat="1" applyFont="1" applyFill="1" applyBorder="1" applyAlignment="1">
      <alignment horizontal="center"/>
    </xf>
    <xf numFmtId="181" fontId="2" fillId="2" borderId="11" xfId="0" applyNumberFormat="1" applyFont="1" applyFill="1" applyBorder="1" applyAlignment="1">
      <alignment horizontal="center"/>
    </xf>
    <xf numFmtId="183" fontId="2" fillId="0" borderId="7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2" fillId="2" borderId="6" xfId="0" applyNumberFormat="1" applyFont="1" applyFill="1" applyBorder="1" applyAlignment="1">
      <alignment horizontal="center"/>
    </xf>
    <xf numFmtId="185" fontId="2" fillId="0" borderId="7" xfId="0" applyNumberFormat="1" applyFont="1" applyFill="1" applyBorder="1" applyAlignment="1">
      <alignment horizontal="left"/>
    </xf>
    <xf numFmtId="181" fontId="2" fillId="0" borderId="21" xfId="0" applyNumberFormat="1" applyFont="1" applyFill="1" applyBorder="1" applyAlignment="1">
      <alignment horizontal="center"/>
    </xf>
    <xf numFmtId="181" fontId="2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81" fontId="2" fillId="0" borderId="23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81" fontId="6" fillId="0" borderId="24" xfId="0" applyNumberFormat="1" applyFont="1" applyFill="1" applyBorder="1" applyAlignment="1">
      <alignment horizontal="left"/>
    </xf>
    <xf numFmtId="181" fontId="6" fillId="0" borderId="25" xfId="0" applyNumberFormat="1" applyFont="1" applyFill="1" applyBorder="1" applyAlignment="1">
      <alignment horizontal="left"/>
    </xf>
    <xf numFmtId="181" fontId="7" fillId="0" borderId="25" xfId="0" applyNumberFormat="1" applyFont="1" applyFill="1" applyBorder="1" applyAlignment="1">
      <alignment horizontal="left"/>
    </xf>
    <xf numFmtId="181" fontId="6" fillId="0" borderId="26" xfId="0" applyNumberFormat="1" applyFont="1" applyFill="1" applyBorder="1" applyAlignment="1">
      <alignment horizontal="left"/>
    </xf>
    <xf numFmtId="181" fontId="6" fillId="0" borderId="27" xfId="0" applyNumberFormat="1" applyFont="1" applyFill="1" applyBorder="1" applyAlignment="1">
      <alignment horizontal="left"/>
    </xf>
    <xf numFmtId="181" fontId="6" fillId="0" borderId="28" xfId="0" applyNumberFormat="1" applyFont="1" applyFill="1" applyBorder="1" applyAlignment="1">
      <alignment horizontal="left"/>
    </xf>
    <xf numFmtId="181" fontId="6" fillId="0" borderId="28" xfId="0" applyNumberFormat="1" applyFont="1" applyFill="1" applyBorder="1" applyAlignment="1">
      <alignment horizontal="center"/>
    </xf>
    <xf numFmtId="181" fontId="6" fillId="0" borderId="29" xfId="0" applyNumberFormat="1" applyFont="1" applyFill="1" applyBorder="1" applyAlignment="1">
      <alignment horizontal="left"/>
    </xf>
    <xf numFmtId="181" fontId="6" fillId="0" borderId="30" xfId="0" applyNumberFormat="1" applyFont="1" applyFill="1" applyBorder="1" applyAlignment="1">
      <alignment horizontal="left"/>
    </xf>
    <xf numFmtId="181" fontId="6" fillId="0" borderId="31" xfId="0" applyNumberFormat="1" applyFont="1" applyFill="1" applyBorder="1" applyAlignment="1">
      <alignment horizontal="left"/>
    </xf>
    <xf numFmtId="181" fontId="6" fillId="0" borderId="32" xfId="0" applyNumberFormat="1" applyFont="1" applyFill="1" applyBorder="1" applyAlignment="1">
      <alignment horizontal="left"/>
    </xf>
    <xf numFmtId="181" fontId="6" fillId="0" borderId="32" xfId="0" applyNumberFormat="1" applyFont="1" applyFill="1" applyBorder="1" applyAlignment="1">
      <alignment horizontal="center"/>
    </xf>
    <xf numFmtId="181" fontId="6" fillId="0" borderId="33" xfId="0" applyNumberFormat="1" applyFont="1" applyFill="1" applyBorder="1" applyAlignment="1">
      <alignment horizontal="left"/>
    </xf>
    <xf numFmtId="181" fontId="6" fillId="0" borderId="34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181" fontId="6" fillId="0" borderId="36" xfId="0" applyNumberFormat="1" applyFont="1" applyFill="1" applyBorder="1" applyAlignment="1">
      <alignment horizontal="left" vertical="center"/>
    </xf>
    <xf numFmtId="181" fontId="6" fillId="0" borderId="3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1" fontId="3" fillId="2" borderId="6" xfId="0" applyNumberFormat="1" applyFont="1" applyFill="1" applyBorder="1" applyAlignment="1">
      <alignment horizontal="center"/>
    </xf>
    <xf numFmtId="181" fontId="3" fillId="2" borderId="11" xfId="0" applyNumberFormat="1" applyFont="1" applyFill="1" applyBorder="1" applyAlignment="1">
      <alignment horizontal="center"/>
    </xf>
    <xf numFmtId="186" fontId="0" fillId="3" borderId="0" xfId="0" applyNumberFormat="1" applyFill="1" applyAlignment="1">
      <alignment horizontal="left"/>
    </xf>
    <xf numFmtId="187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188" fontId="3" fillId="0" borderId="11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188" fontId="2" fillId="2" borderId="11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>
      <alignment horizontal="center"/>
    </xf>
    <xf numFmtId="188" fontId="0" fillId="0" borderId="39" xfId="0" applyNumberFormat="1" applyBorder="1" applyAlignment="1">
      <alignment horizontal="left"/>
    </xf>
    <xf numFmtId="188" fontId="0" fillId="0" borderId="40" xfId="0" applyNumberForma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188" fontId="0" fillId="0" borderId="41" xfId="0" applyNumberFormat="1" applyBorder="1" applyAlignment="1">
      <alignment horizontal="center"/>
    </xf>
    <xf numFmtId="188" fontId="0" fillId="0" borderId="42" xfId="0" applyNumberFormat="1" applyBorder="1" applyAlignment="1">
      <alignment horizontal="center"/>
    </xf>
    <xf numFmtId="188" fontId="0" fillId="0" borderId="39" xfId="0" applyNumberFormat="1" applyBorder="1" applyAlignment="1">
      <alignment horizontal="center"/>
    </xf>
    <xf numFmtId="188" fontId="0" fillId="0" borderId="38" xfId="0" applyNumberFormat="1" applyBorder="1" applyAlignment="1">
      <alignment horizontal="center"/>
    </xf>
    <xf numFmtId="188" fontId="0" fillId="0" borderId="43" xfId="0" applyNumberFormat="1" applyBorder="1" applyAlignment="1">
      <alignment horizontal="left"/>
    </xf>
    <xf numFmtId="188" fontId="0" fillId="0" borderId="16" xfId="0" applyNumberFormat="1" applyBorder="1" applyAlignment="1">
      <alignment horizontal="center"/>
    </xf>
    <xf numFmtId="188" fontId="0" fillId="0" borderId="44" xfId="0" applyNumberFormat="1" applyBorder="1" applyAlignment="1">
      <alignment horizontal="center"/>
    </xf>
    <xf numFmtId="188" fontId="0" fillId="0" borderId="45" xfId="0" applyNumberFormat="1" applyBorder="1" applyAlignment="1">
      <alignment horizontal="left"/>
    </xf>
    <xf numFmtId="188" fontId="0" fillId="0" borderId="10" xfId="0" applyNumberFormat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188" fontId="2" fillId="2" borderId="10" xfId="0" applyNumberFormat="1" applyFont="1" applyFill="1" applyBorder="1" applyAlignment="1">
      <alignment horizontal="center"/>
    </xf>
    <xf numFmtId="188" fontId="2" fillId="0" borderId="46" xfId="0" applyNumberFormat="1" applyFont="1" applyFill="1" applyBorder="1" applyAlignment="1">
      <alignment horizontal="center"/>
    </xf>
    <xf numFmtId="188" fontId="0" fillId="0" borderId="45" xfId="0" applyNumberFormat="1" applyBorder="1" applyAlignment="1">
      <alignment horizontal="center"/>
    </xf>
    <xf numFmtId="188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188" fontId="3" fillId="0" borderId="51" xfId="0" applyNumberFormat="1" applyFont="1" applyFill="1" applyBorder="1" applyAlignment="1">
      <alignment horizontal="center"/>
    </xf>
    <xf numFmtId="188" fontId="3" fillId="0" borderId="5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188" fontId="0" fillId="0" borderId="54" xfId="0" applyNumberFormat="1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188" fontId="0" fillId="0" borderId="55" xfId="0" applyNumberFormat="1" applyBorder="1" applyAlignment="1">
      <alignment horizontal="center"/>
    </xf>
    <xf numFmtId="188" fontId="3" fillId="0" borderId="56" xfId="0" applyNumberFormat="1" applyFont="1" applyFill="1" applyBorder="1" applyAlignment="1">
      <alignment horizontal="center"/>
    </xf>
    <xf numFmtId="188" fontId="2" fillId="2" borderId="16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88" fontId="3" fillId="2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188" fontId="2" fillId="0" borderId="57" xfId="0" applyNumberFormat="1" applyFont="1" applyFill="1" applyBorder="1" applyAlignment="1">
      <alignment horizontal="center"/>
    </xf>
    <xf numFmtId="188" fontId="0" fillId="0" borderId="58" xfId="0" applyNumberFormat="1" applyBorder="1" applyAlignment="1">
      <alignment horizontal="center"/>
    </xf>
    <xf numFmtId="188" fontId="0" fillId="0" borderId="59" xfId="0" applyNumberFormat="1" applyBorder="1" applyAlignment="1">
      <alignment horizontal="center"/>
    </xf>
    <xf numFmtId="188" fontId="0" fillId="0" borderId="60" xfId="0" applyNumberFormat="1" applyBorder="1" applyAlignment="1">
      <alignment horizontal="center"/>
    </xf>
    <xf numFmtId="188" fontId="10" fillId="0" borderId="60" xfId="0" applyNumberFormat="1" applyFont="1" applyBorder="1" applyAlignment="1">
      <alignment horizontal="center"/>
    </xf>
    <xf numFmtId="188" fontId="0" fillId="0" borderId="61" xfId="0" applyNumberFormat="1" applyBorder="1" applyAlignment="1">
      <alignment horizontal="center"/>
    </xf>
    <xf numFmtId="188" fontId="11" fillId="0" borderId="62" xfId="0" applyNumberFormat="1" applyFont="1" applyBorder="1" applyAlignment="1">
      <alignment horizontal="center"/>
    </xf>
    <xf numFmtId="188" fontId="11" fillId="0" borderId="63" xfId="0" applyNumberFormat="1" applyFont="1" applyBorder="1" applyAlignment="1">
      <alignment horizontal="center"/>
    </xf>
    <xf numFmtId="2" fontId="11" fillId="0" borderId="63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0" fontId="1" fillId="0" borderId="0" xfId="19" applyFont="1">
      <alignment/>
      <protection/>
    </xf>
    <xf numFmtId="181" fontId="2" fillId="0" borderId="55" xfId="0" applyNumberFormat="1" applyFont="1" applyFill="1" applyBorder="1" applyAlignment="1">
      <alignment horizontal="center"/>
    </xf>
    <xf numFmtId="181" fontId="2" fillId="0" borderId="54" xfId="0" applyNumberFormat="1" applyFont="1" applyFill="1" applyBorder="1" applyAlignment="1">
      <alignment horizontal="center"/>
    </xf>
    <xf numFmtId="181" fontId="2" fillId="0" borderId="6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0.6686081799999999</c:v>
                </c:pt>
                <c:pt idx="1">
                  <c:v>-1.3440809</c:v>
                </c:pt>
                <c:pt idx="2">
                  <c:v>0.18404822799999998</c:v>
                </c:pt>
                <c:pt idx="3">
                  <c:v>0.78971175</c:v>
                </c:pt>
                <c:pt idx="4">
                  <c:v>0.8712306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-0.7556683200000001</c:v>
                </c:pt>
                <c:pt idx="1">
                  <c:v>-1.8543359000000001</c:v>
                </c:pt>
                <c:pt idx="2">
                  <c:v>-0.788339</c:v>
                </c:pt>
                <c:pt idx="3">
                  <c:v>-1.7602345</c:v>
                </c:pt>
                <c:pt idx="4">
                  <c:v>4.0266481999999995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4.391703099999999</c:v>
                </c:pt>
                <c:pt idx="1">
                  <c:v>5.3118374</c:v>
                </c:pt>
                <c:pt idx="2">
                  <c:v>5.611383999999999</c:v>
                </c:pt>
                <c:pt idx="3">
                  <c:v>5.3788986</c:v>
                </c:pt>
                <c:pt idx="4">
                  <c:v>15.043412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0.1757830405</c:v>
                </c:pt>
                <c:pt idx="1">
                  <c:v>0.5020487100000001</c:v>
                </c:pt>
                <c:pt idx="2">
                  <c:v>0.55742495</c:v>
                </c:pt>
                <c:pt idx="3">
                  <c:v>0.084142354</c:v>
                </c:pt>
                <c:pt idx="4">
                  <c:v>2.0645577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-0.40225143</c:v>
                </c:pt>
                <c:pt idx="1">
                  <c:v>-0.052778379</c:v>
                </c:pt>
                <c:pt idx="2">
                  <c:v>-0.0106239768</c:v>
                </c:pt>
                <c:pt idx="3">
                  <c:v>-0.01392117317</c:v>
                </c:pt>
                <c:pt idx="4">
                  <c:v>-0.35406533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0.031422397000000005</c:v>
                </c:pt>
                <c:pt idx="1">
                  <c:v>0.042226742</c:v>
                </c:pt>
                <c:pt idx="2">
                  <c:v>0.07108727000000001</c:v>
                </c:pt>
                <c:pt idx="3">
                  <c:v>0.037288467000000006</c:v>
                </c:pt>
                <c:pt idx="4">
                  <c:v>0.2683802</c:v>
                </c:pt>
              </c:numCache>
            </c:numRef>
          </c:val>
          <c:smooth val="0"/>
        </c:ser>
        <c:marker val="1"/>
        <c:axId val="66867106"/>
        <c:axId val="64933043"/>
      </c:lineChart>
      <c:catAx>
        <c:axId val="66867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933043"/>
        <c:crosses val="autoZero"/>
        <c:auto val="1"/>
        <c:lblOffset val="100"/>
        <c:noMultiLvlLbl val="0"/>
      </c:catAx>
      <c:valAx>
        <c:axId val="64933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686710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7"/>
  <sheetViews>
    <sheetView workbookViewId="0" topLeftCell="A1">
      <selection activeCell="A6" sqref="A6:IV6"/>
    </sheetView>
  </sheetViews>
  <sheetFormatPr defaultColWidth="9.33203125" defaultRowHeight="12.75"/>
  <cols>
    <col min="1" max="1" width="12" style="2" customWidth="1"/>
    <col min="2" max="3" width="12" style="3" customWidth="1"/>
    <col min="4" max="5" width="12" style="4" customWidth="1"/>
    <col min="6" max="7" width="12" style="5" customWidth="1"/>
    <col min="8" max="8" width="12" style="4" customWidth="1"/>
    <col min="9" max="9" width="12" style="1" customWidth="1"/>
    <col min="10" max="10" width="12" style="6" customWidth="1"/>
    <col min="11" max="11" width="12" style="1" customWidth="1"/>
    <col min="12" max="16384" width="12" style="0" customWidth="1"/>
  </cols>
  <sheetData>
    <row r="1" spans="1:22" ht="12.75">
      <c r="A1" s="2">
        <v>0</v>
      </c>
      <c r="B1" s="3">
        <v>0</v>
      </c>
      <c r="C1" s="3">
        <v>0</v>
      </c>
      <c r="D1" s="4">
        <v>0</v>
      </c>
      <c r="E1" s="4">
        <v>0</v>
      </c>
      <c r="F1" s="5">
        <v>0</v>
      </c>
      <c r="G1" s="5">
        <v>0</v>
      </c>
      <c r="H1" s="4">
        <v>0</v>
      </c>
      <c r="I1" s="1">
        <v>0</v>
      </c>
      <c r="J1" s="6">
        <v>0</v>
      </c>
      <c r="K1" s="5">
        <v>0</v>
      </c>
      <c r="L1">
        <v>0</v>
      </c>
      <c r="M1">
        <v>0</v>
      </c>
      <c r="N1">
        <v>6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</row>
    <row r="2" spans="1:10" s="86" customFormat="1" ht="12.75">
      <c r="A2" s="82" t="s">
        <v>57</v>
      </c>
      <c r="B2" s="83">
        <v>80</v>
      </c>
      <c r="C2" s="83" t="s">
        <v>58</v>
      </c>
      <c r="D2" s="84">
        <v>5</v>
      </c>
      <c r="E2" s="84">
        <v>1</v>
      </c>
      <c r="F2" s="85"/>
      <c r="G2" s="85" t="s">
        <v>56</v>
      </c>
      <c r="H2" s="84">
        <v>1424</v>
      </c>
      <c r="I2" s="86" t="s">
        <v>59</v>
      </c>
      <c r="J2" s="87"/>
    </row>
    <row r="3" spans="1:10" s="86" customFormat="1" ht="12.75">
      <c r="A3" s="82" t="s">
        <v>57</v>
      </c>
      <c r="B3" s="83">
        <v>80</v>
      </c>
      <c r="C3" s="83" t="s">
        <v>58</v>
      </c>
      <c r="D3" s="84">
        <v>5</v>
      </c>
      <c r="E3" s="84">
        <v>2</v>
      </c>
      <c r="F3" s="85"/>
      <c r="G3" s="85" t="s">
        <v>61</v>
      </c>
      <c r="H3" s="84">
        <v>1424</v>
      </c>
      <c r="I3" s="86" t="s">
        <v>62</v>
      </c>
      <c r="J3" s="87"/>
    </row>
    <row r="4" spans="1:10" s="86" customFormat="1" ht="12.75">
      <c r="A4" s="82" t="s">
        <v>57</v>
      </c>
      <c r="B4" s="83">
        <v>80</v>
      </c>
      <c r="C4" s="83" t="s">
        <v>58</v>
      </c>
      <c r="D4" s="84">
        <v>5</v>
      </c>
      <c r="E4" s="84">
        <v>3</v>
      </c>
      <c r="F4" s="85"/>
      <c r="G4" s="85" t="s">
        <v>64</v>
      </c>
      <c r="H4" s="84">
        <v>1424</v>
      </c>
      <c r="I4" s="86" t="s">
        <v>65</v>
      </c>
      <c r="J4" s="87"/>
    </row>
    <row r="5" spans="1:14" s="86" customFormat="1" ht="12.75">
      <c r="A5" s="82" t="s">
        <v>57</v>
      </c>
      <c r="B5" s="83">
        <v>80</v>
      </c>
      <c r="C5" s="83" t="s">
        <v>58</v>
      </c>
      <c r="D5" s="84">
        <v>5</v>
      </c>
      <c r="E5" s="84">
        <v>4</v>
      </c>
      <c r="F5" s="85"/>
      <c r="G5" s="85" t="s">
        <v>66</v>
      </c>
      <c r="H5" s="84">
        <v>1424</v>
      </c>
      <c r="I5" s="86" t="s">
        <v>67</v>
      </c>
      <c r="J5" s="87"/>
      <c r="N5" s="88"/>
    </row>
    <row r="6" spans="1:10" s="86" customFormat="1" ht="12.75">
      <c r="A6" s="82" t="s">
        <v>57</v>
      </c>
      <c r="B6" s="83">
        <v>80</v>
      </c>
      <c r="C6" s="83" t="s">
        <v>58</v>
      </c>
      <c r="D6" s="84">
        <v>5</v>
      </c>
      <c r="E6" s="84">
        <v>5</v>
      </c>
      <c r="F6" s="85"/>
      <c r="G6" s="85" t="s">
        <v>69</v>
      </c>
      <c r="H6" s="84">
        <v>1424</v>
      </c>
      <c r="I6" s="86" t="s">
        <v>70</v>
      </c>
      <c r="J6" s="87"/>
    </row>
    <row r="7" spans="1:10" s="86" customFormat="1" ht="12.75">
      <c r="A7" s="82" t="s">
        <v>71</v>
      </c>
      <c r="B7" s="83"/>
      <c r="C7" s="83"/>
      <c r="D7" s="84"/>
      <c r="E7" s="84"/>
      <c r="F7" s="85"/>
      <c r="G7" s="85"/>
      <c r="H7" s="84"/>
      <c r="J7" s="8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5.177611500000001E-05</v>
      </c>
      <c r="L2" s="18">
        <v>2.3053263324172905E-07</v>
      </c>
      <c r="M2" s="18">
        <v>0.00014045257</v>
      </c>
      <c r="N2" s="19">
        <v>2.4054931011847964E-07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-3.1680267E-05</v>
      </c>
      <c r="L3" s="18">
        <v>1.9282377474245837E-07</v>
      </c>
      <c r="M3" s="18">
        <v>1.379593E-05</v>
      </c>
      <c r="N3" s="19">
        <v>1.184475858764855E-07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-0.002248032491870032</v>
      </c>
      <c r="L4" s="18">
        <v>1.876391678869372E-05</v>
      </c>
      <c r="M4" s="18">
        <v>7.01987209290192E-08</v>
      </c>
      <c r="N4" s="19">
        <v>-4.1733118000000005</v>
      </c>
    </row>
    <row r="5" spans="1:14" ht="15" customHeight="1" thickBot="1">
      <c r="A5" t="s">
        <v>6</v>
      </c>
      <c r="B5" s="22">
        <v>37671.54849537037</v>
      </c>
      <c r="D5" s="23"/>
      <c r="E5" s="24" t="s">
        <v>43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1424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1" t="s">
        <v>12</v>
      </c>
      <c r="J7" s="142"/>
      <c r="K7" s="141" t="s">
        <v>13</v>
      </c>
      <c r="L7" s="142"/>
      <c r="M7" s="141" t="s">
        <v>14</v>
      </c>
      <c r="N7" s="143"/>
    </row>
    <row r="8" spans="1:14" ht="15" customHeight="1">
      <c r="A8" s="20" t="s">
        <v>15</v>
      </c>
      <c r="B8" s="35" t="s">
        <v>16</v>
      </c>
      <c r="D8" s="40">
        <v>0.6686081799999999</v>
      </c>
      <c r="E8" s="41">
        <v>0.01332733198561002</v>
      </c>
      <c r="F8" s="41">
        <v>-0.7556683200000001</v>
      </c>
      <c r="G8" s="41">
        <v>0.022642904783277656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-0.36399545000000005</v>
      </c>
      <c r="E9" s="43">
        <v>0.04195679139468344</v>
      </c>
      <c r="F9" s="43">
        <v>0.93870851</v>
      </c>
      <c r="G9" s="43">
        <v>0.037539372669043856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-0.8827910299999999</v>
      </c>
      <c r="E10" s="43">
        <v>0.011421528338829713</v>
      </c>
      <c r="F10" s="47">
        <v>-2.9521804</v>
      </c>
      <c r="G10" s="43">
        <v>0.012403526310676526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1</v>
      </c>
      <c r="D11" s="40">
        <v>4.391703099999999</v>
      </c>
      <c r="E11" s="41">
        <v>0.01481566078662286</v>
      </c>
      <c r="F11" s="41">
        <v>0.1757830405</v>
      </c>
      <c r="G11" s="41">
        <v>0.010837170035600464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0.20314393000000003</v>
      </c>
      <c r="E12" s="43">
        <v>0.010278733623875724</v>
      </c>
      <c r="F12" s="43">
        <v>-0.10049554089999999</v>
      </c>
      <c r="G12" s="43">
        <v>0.008835447563904865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20.611573</v>
      </c>
      <c r="D13" s="46">
        <v>0.13227645</v>
      </c>
      <c r="E13" s="43">
        <v>0.005356987875196611</v>
      </c>
      <c r="F13" s="43">
        <v>-0.09184478100000001</v>
      </c>
      <c r="G13" s="43">
        <v>0.0036207381684018798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0.16422596</v>
      </c>
      <c r="E14" s="43">
        <v>0.005698674299817658</v>
      </c>
      <c r="F14" s="47">
        <v>0.41238650000000004</v>
      </c>
      <c r="G14" s="43">
        <v>0.006554236148473049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-0.40225143</v>
      </c>
      <c r="E15" s="41">
        <v>0.0021672014785349</v>
      </c>
      <c r="F15" s="41">
        <v>0.031422397000000005</v>
      </c>
      <c r="G15" s="41">
        <v>0.004767718864375912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12.504900000000001</v>
      </c>
      <c r="D16" s="46">
        <v>-0.068449486</v>
      </c>
      <c r="E16" s="43">
        <v>0.0029416589575259953</v>
      </c>
      <c r="F16" s="43">
        <v>-0.057390340000000005</v>
      </c>
      <c r="G16" s="43">
        <v>0.0031611372185321404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0.4269999861717224</v>
      </c>
      <c r="D17" s="50">
        <v>0.16888944</v>
      </c>
      <c r="E17" s="43">
        <v>0.002334728911330266</v>
      </c>
      <c r="F17" s="43">
        <v>-0.12289371</v>
      </c>
      <c r="G17" s="43">
        <v>0.003672793944969785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10.680999755859375</v>
      </c>
      <c r="D18" s="46">
        <v>0.06575083200000001</v>
      </c>
      <c r="E18" s="43">
        <v>0.0016771508052395546</v>
      </c>
      <c r="F18" s="47">
        <v>0.20284943000000002</v>
      </c>
      <c r="G18" s="43">
        <v>0.0010855287985979873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0.3869999945163727</v>
      </c>
      <c r="D19" s="50">
        <v>-0.19075834</v>
      </c>
      <c r="E19" s="43">
        <v>0.001749905620712267</v>
      </c>
      <c r="F19" s="43">
        <v>-0.002337005</v>
      </c>
      <c r="G19" s="43">
        <v>0.002002756827176055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0.3826618</v>
      </c>
      <c r="D20" s="52">
        <v>-0.00273784571</v>
      </c>
      <c r="E20" s="53">
        <v>0.0010446950233575097</v>
      </c>
      <c r="F20" s="53">
        <v>-0.0026108903</v>
      </c>
      <c r="G20" s="53">
        <v>0.0011817381385877158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1.0653109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-0.2391133547025551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-2.2481108</v>
      </c>
      <c r="I25" s="66" t="s">
        <v>53</v>
      </c>
      <c r="J25" s="67"/>
      <c r="K25" s="66"/>
      <c r="L25" s="69">
        <v>4.395219652745131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1.0089952964283504</v>
      </c>
      <c r="I26" s="71" t="s">
        <v>55</v>
      </c>
      <c r="J26" s="72"/>
      <c r="K26" s="71"/>
      <c r="L26" s="74">
        <v>0.4034768642317308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HCMQAP021_A_pos1ap2res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7.147958700000001E-05</v>
      </c>
      <c r="L2" s="18">
        <v>9.95769453495322E-08</v>
      </c>
      <c r="M2" s="18">
        <v>0.00022931653</v>
      </c>
      <c r="N2" s="19">
        <v>1.2411847002433357E-07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-2.9458552999999998E-05</v>
      </c>
      <c r="L3" s="18">
        <v>1.0516729912943175E-07</v>
      </c>
      <c r="M3" s="18">
        <v>1.2353929999999996E-05</v>
      </c>
      <c r="N3" s="19">
        <v>1.633813777638904E-07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-0.0037515737026955274</v>
      </c>
      <c r="L4" s="18">
        <v>4.708765392341076E-05</v>
      </c>
      <c r="M4" s="18">
        <v>3.367877353451518E-08</v>
      </c>
      <c r="N4" s="19">
        <v>-6.2753907</v>
      </c>
    </row>
    <row r="5" spans="1:14" ht="15" customHeight="1" thickBot="1">
      <c r="A5" t="s">
        <v>6</v>
      </c>
      <c r="B5" s="22">
        <v>37671.55324074074</v>
      </c>
      <c r="D5" s="23"/>
      <c r="E5" s="24" t="s">
        <v>60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1424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1" t="s">
        <v>12</v>
      </c>
      <c r="J7" s="142"/>
      <c r="K7" s="141" t="s">
        <v>13</v>
      </c>
      <c r="L7" s="142"/>
      <c r="M7" s="141" t="s">
        <v>14</v>
      </c>
      <c r="N7" s="143"/>
    </row>
    <row r="8" spans="1:14" ht="15" customHeight="1">
      <c r="A8" s="20" t="s">
        <v>15</v>
      </c>
      <c r="B8" s="35" t="s">
        <v>16</v>
      </c>
      <c r="D8" s="40">
        <v>-1.3440809</v>
      </c>
      <c r="E8" s="41">
        <v>0.012057088128564823</v>
      </c>
      <c r="F8" s="41">
        <v>-1.8543359000000001</v>
      </c>
      <c r="G8" s="41">
        <v>0.014409371719092028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-1.02513635</v>
      </c>
      <c r="E9" s="43">
        <v>0.01900253002712594</v>
      </c>
      <c r="F9" s="43">
        <v>0.43858752999999995</v>
      </c>
      <c r="G9" s="43">
        <v>0.02058529387928844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-0.31748407</v>
      </c>
      <c r="E10" s="43">
        <v>0.009467280501368315</v>
      </c>
      <c r="F10" s="47">
        <v>-3.8222034000000003</v>
      </c>
      <c r="G10" s="43">
        <v>0.009123911405757726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2</v>
      </c>
      <c r="D11" s="40">
        <v>5.3118374</v>
      </c>
      <c r="E11" s="41">
        <v>0.0041489913037426225</v>
      </c>
      <c r="F11" s="41">
        <v>0.5020487100000001</v>
      </c>
      <c r="G11" s="41">
        <v>0.004358603486479289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0.07710866999999999</v>
      </c>
      <c r="E12" s="43">
        <v>0.0051687093917014305</v>
      </c>
      <c r="F12" s="43">
        <v>-0.0009755580000000028</v>
      </c>
      <c r="G12" s="43">
        <v>0.003931135709461835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20.565796</v>
      </c>
      <c r="D13" s="46">
        <v>-0.031326674</v>
      </c>
      <c r="E13" s="43">
        <v>0.0019996937365641767</v>
      </c>
      <c r="F13" s="43">
        <v>-0.027147337</v>
      </c>
      <c r="G13" s="43">
        <v>0.0035539989288428477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0.028893309</v>
      </c>
      <c r="E14" s="43">
        <v>0.003909600418310546</v>
      </c>
      <c r="F14" s="43">
        <v>0.031402796430000005</v>
      </c>
      <c r="G14" s="43">
        <v>0.005381228338377558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-0.052778379</v>
      </c>
      <c r="E15" s="41">
        <v>0.0020560996270741743</v>
      </c>
      <c r="F15" s="41">
        <v>0.042226742</v>
      </c>
      <c r="G15" s="41">
        <v>0.0019946228162980133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12.5048</v>
      </c>
      <c r="D16" s="46">
        <v>-0.058361496</v>
      </c>
      <c r="E16" s="43">
        <v>0.0017255776072301113</v>
      </c>
      <c r="F16" s="43">
        <v>-0.039270245999999995</v>
      </c>
      <c r="G16" s="43">
        <v>0.0009093282295100211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-0.18000000715255737</v>
      </c>
      <c r="D17" s="50">
        <v>0.16801287</v>
      </c>
      <c r="E17" s="43">
        <v>0.0011083061646494736</v>
      </c>
      <c r="F17" s="43">
        <v>-0.1133565</v>
      </c>
      <c r="G17" s="43">
        <v>0.002346419407949696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93.58699798583984</v>
      </c>
      <c r="D18" s="46">
        <v>0.060297526000000004</v>
      </c>
      <c r="E18" s="43">
        <v>0.001428368500424097</v>
      </c>
      <c r="F18" s="47">
        <v>0.19006812</v>
      </c>
      <c r="G18" s="43">
        <v>0.000759015967288473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-0.42899999022483826</v>
      </c>
      <c r="D19" s="50">
        <v>-0.18085311</v>
      </c>
      <c r="E19" s="43">
        <v>0.00046511620096073537</v>
      </c>
      <c r="F19" s="43">
        <v>0.005549290300000001</v>
      </c>
      <c r="G19" s="43">
        <v>0.0014907876787769796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0.31080169999999996</v>
      </c>
      <c r="D20" s="52">
        <v>-0.001330524</v>
      </c>
      <c r="E20" s="53">
        <v>0.001107442207745939</v>
      </c>
      <c r="F20" s="53">
        <v>-0.0026097146400000004</v>
      </c>
      <c r="G20" s="53">
        <v>0.0005719188102244715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1.0430425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-0.35955370560767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-3.7518692</v>
      </c>
      <c r="I25" s="66" t="s">
        <v>53</v>
      </c>
      <c r="J25" s="67"/>
      <c r="K25" s="66"/>
      <c r="L25" s="69">
        <v>5.335510235324399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2.290221625907331</v>
      </c>
      <c r="I26" s="71" t="s">
        <v>55</v>
      </c>
      <c r="J26" s="72"/>
      <c r="K26" s="71"/>
      <c r="L26" s="74">
        <v>0.06759182664939752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HCMQAP021_A_pos2ap2res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5.6542764E-05</v>
      </c>
      <c r="L2" s="18">
        <v>1.0487620866772011E-07</v>
      </c>
      <c r="M2" s="18">
        <v>0.0002075707</v>
      </c>
      <c r="N2" s="19">
        <v>1.0135365311164312E-07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-2.8264581999999998E-05</v>
      </c>
      <c r="L3" s="18">
        <v>2.0483216860685008E-07</v>
      </c>
      <c r="M3" s="18">
        <v>1.086314E-05</v>
      </c>
      <c r="N3" s="19">
        <v>1.1893848578147687E-07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-0.0037507719890810063</v>
      </c>
      <c r="L4" s="18">
        <v>7.009473567195403E-05</v>
      </c>
      <c r="M4" s="18">
        <v>4.646653369044164E-08</v>
      </c>
      <c r="N4" s="19">
        <v>-9.342953600000001</v>
      </c>
    </row>
    <row r="5" spans="1:14" ht="15" customHeight="1" thickBot="1">
      <c r="A5" t="s">
        <v>6</v>
      </c>
      <c r="B5" s="22">
        <v>37671.5578125</v>
      </c>
      <c r="D5" s="23"/>
      <c r="E5" s="24" t="s">
        <v>63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1424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1" t="s">
        <v>12</v>
      </c>
      <c r="J7" s="142"/>
      <c r="K7" s="141" t="s">
        <v>13</v>
      </c>
      <c r="L7" s="142"/>
      <c r="M7" s="141" t="s">
        <v>14</v>
      </c>
      <c r="N7" s="143"/>
    </row>
    <row r="8" spans="1:14" ht="15" customHeight="1">
      <c r="A8" s="20" t="s">
        <v>15</v>
      </c>
      <c r="B8" s="35" t="s">
        <v>16</v>
      </c>
      <c r="D8" s="40">
        <v>0.18404822799999998</v>
      </c>
      <c r="E8" s="41">
        <v>0.013029367688601344</v>
      </c>
      <c r="F8" s="41">
        <v>-0.788339</v>
      </c>
      <c r="G8" s="41">
        <v>0.009213650068399871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-0.78389014</v>
      </c>
      <c r="E9" s="43">
        <v>0.015601041932591363</v>
      </c>
      <c r="F9" s="43">
        <v>-0.31912823</v>
      </c>
      <c r="G9" s="43">
        <v>0.023472257280470348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-0.4748870500000001</v>
      </c>
      <c r="E10" s="43">
        <v>0.0066738982468962935</v>
      </c>
      <c r="F10" s="47">
        <v>-3.4451764</v>
      </c>
      <c r="G10" s="43">
        <v>0.0065422541177609355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3</v>
      </c>
      <c r="D11" s="40">
        <v>5.611383999999999</v>
      </c>
      <c r="E11" s="41">
        <v>0.006525426859826944</v>
      </c>
      <c r="F11" s="41">
        <v>0.55742495</v>
      </c>
      <c r="G11" s="41">
        <v>0.0034029476535742957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-0.141128486</v>
      </c>
      <c r="E12" s="43">
        <v>0.004406847396783417</v>
      </c>
      <c r="F12" s="43">
        <v>0.09967286299999999</v>
      </c>
      <c r="G12" s="43">
        <v>0.004147844893487205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20.489503</v>
      </c>
      <c r="D13" s="46">
        <v>0.000679007999999999</v>
      </c>
      <c r="E13" s="43">
        <v>0.0036299547103959854</v>
      </c>
      <c r="F13" s="43">
        <v>-0.19277246999999997</v>
      </c>
      <c r="G13" s="43">
        <v>0.0034123657803055213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0.030003758000000002</v>
      </c>
      <c r="E14" s="43">
        <v>0.002569663452222079</v>
      </c>
      <c r="F14" s="43">
        <v>-0.0208221283</v>
      </c>
      <c r="G14" s="43">
        <v>0.0038720309644146036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-0.0106239768</v>
      </c>
      <c r="E15" s="41">
        <v>0.0018124850515868428</v>
      </c>
      <c r="F15" s="41">
        <v>0.07108727000000001</v>
      </c>
      <c r="G15" s="41">
        <v>0.002335063136782379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12.5046</v>
      </c>
      <c r="D16" s="46">
        <v>-0.083424234</v>
      </c>
      <c r="E16" s="43">
        <v>0.0010935600753390175</v>
      </c>
      <c r="F16" s="43">
        <v>-0.029225383</v>
      </c>
      <c r="G16" s="43">
        <v>0.0015711563320485056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0.43799999356269836</v>
      </c>
      <c r="D17" s="46">
        <v>0.14264797</v>
      </c>
      <c r="E17" s="43">
        <v>0.0014039009668049222</v>
      </c>
      <c r="F17" s="43">
        <v>-0.109249317</v>
      </c>
      <c r="G17" s="43">
        <v>0.0012413721845425632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5.59499979019165</v>
      </c>
      <c r="D18" s="46">
        <v>0.057242225</v>
      </c>
      <c r="E18" s="43">
        <v>0.0007472077041823083</v>
      </c>
      <c r="F18" s="47">
        <v>0.17702836</v>
      </c>
      <c r="G18" s="43">
        <v>0.002358101014672387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0.37599998712539673</v>
      </c>
      <c r="D19" s="50">
        <v>-0.1836801</v>
      </c>
      <c r="E19" s="43">
        <v>0.0005994582462457455</v>
      </c>
      <c r="F19" s="43">
        <v>0.006789748200000001</v>
      </c>
      <c r="G19" s="43">
        <v>0.001261434778364877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0.23862009999999997</v>
      </c>
      <c r="D20" s="52">
        <v>-0.0031761582500000004</v>
      </c>
      <c r="E20" s="53">
        <v>0.0005765314084260825</v>
      </c>
      <c r="F20" s="53">
        <v>-0.00391993079</v>
      </c>
      <c r="G20" s="53">
        <v>0.0006395235585452556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0.9452515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-0.5353122616254827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-3.7514269000000002</v>
      </c>
      <c r="I25" s="66" t="s">
        <v>53</v>
      </c>
      <c r="J25" s="67"/>
      <c r="K25" s="66"/>
      <c r="L25" s="69">
        <v>5.6390028347517696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0.8095382196974643</v>
      </c>
      <c r="I26" s="71" t="s">
        <v>55</v>
      </c>
      <c r="J26" s="72"/>
      <c r="K26" s="71"/>
      <c r="L26" s="74">
        <v>0.07187676146780571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HCMQAP021_A_pos3ap2res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1.99481751E-05</v>
      </c>
      <c r="L2" s="18">
        <v>2.412484571041098E-07</v>
      </c>
      <c r="M2" s="18">
        <v>0.00024705633</v>
      </c>
      <c r="N2" s="19">
        <v>2.4381069216241384E-07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-2.8970272899999997E-05</v>
      </c>
      <c r="L3" s="18">
        <v>7.200496557090061E-08</v>
      </c>
      <c r="M3" s="18">
        <v>1.0405910000000002E-05</v>
      </c>
      <c r="N3" s="19">
        <v>2.3378679688982376E-07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-0.0037512147888161622</v>
      </c>
      <c r="L4" s="18">
        <v>6.525936803770226E-05</v>
      </c>
      <c r="M4" s="18">
        <v>8.370863609597167E-08</v>
      </c>
      <c r="N4" s="19">
        <v>-8.697553899999999</v>
      </c>
    </row>
    <row r="5" spans="1:14" ht="15" customHeight="1" thickBot="1">
      <c r="A5" t="s">
        <v>6</v>
      </c>
      <c r="B5" s="22">
        <v>37671.56229166667</v>
      </c>
      <c r="D5" s="23"/>
      <c r="E5" s="24" t="s">
        <v>60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1424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1" t="s">
        <v>12</v>
      </c>
      <c r="J7" s="142"/>
      <c r="K7" s="141" t="s">
        <v>13</v>
      </c>
      <c r="L7" s="142"/>
      <c r="M7" s="141" t="s">
        <v>14</v>
      </c>
      <c r="N7" s="143"/>
    </row>
    <row r="8" spans="1:14" ht="15" customHeight="1">
      <c r="A8" s="20" t="s">
        <v>15</v>
      </c>
      <c r="B8" s="35" t="s">
        <v>16</v>
      </c>
      <c r="D8" s="40">
        <v>0.78971175</v>
      </c>
      <c r="E8" s="41">
        <v>0.012027035966148885</v>
      </c>
      <c r="F8" s="41">
        <v>-1.7602345</v>
      </c>
      <c r="G8" s="41">
        <v>0.022944257981044658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46">
        <v>-1.4517986</v>
      </c>
      <c r="E9" s="43">
        <v>0.02144405692354043</v>
      </c>
      <c r="F9" s="43">
        <v>-1.1914762300000001</v>
      </c>
      <c r="G9" s="43">
        <v>0.01506493120268274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-0.26025746</v>
      </c>
      <c r="E10" s="43">
        <v>0.00640381315462016</v>
      </c>
      <c r="F10" s="47">
        <v>-4.2430678</v>
      </c>
      <c r="G10" s="43">
        <v>0.01081458090555932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4</v>
      </c>
      <c r="D11" s="40">
        <v>5.3788986</v>
      </c>
      <c r="E11" s="41">
        <v>0.004226984141893591</v>
      </c>
      <c r="F11" s="41">
        <v>0.084142354</v>
      </c>
      <c r="G11" s="41">
        <v>0.005703079168299578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0.0403510517</v>
      </c>
      <c r="E12" s="43">
        <v>0.002211242874054939</v>
      </c>
      <c r="F12" s="43">
        <v>0.040277565</v>
      </c>
      <c r="G12" s="43">
        <v>0.004796916896563861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20.446778</v>
      </c>
      <c r="D13" s="46">
        <v>-0.032001346</v>
      </c>
      <c r="E13" s="43">
        <v>0.0025053275088048076</v>
      </c>
      <c r="F13" s="43">
        <v>-0.26161775</v>
      </c>
      <c r="G13" s="43">
        <v>0.0027102995524465145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46">
        <v>-0.0085026235</v>
      </c>
      <c r="E14" s="43">
        <v>0.0016299190781732355</v>
      </c>
      <c r="F14" s="43">
        <v>-0.052436413</v>
      </c>
      <c r="G14" s="43">
        <v>0.0022141699723045583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-0.01392117317</v>
      </c>
      <c r="E15" s="41">
        <v>0.0027902759450556315</v>
      </c>
      <c r="F15" s="41">
        <v>0.037288467000000006</v>
      </c>
      <c r="G15" s="41">
        <v>0.0028301855186481976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12.5045</v>
      </c>
      <c r="D16" s="46">
        <v>-0.064831232</v>
      </c>
      <c r="E16" s="43">
        <v>0.001908944021925801</v>
      </c>
      <c r="F16" s="43">
        <v>-0.09394982</v>
      </c>
      <c r="G16" s="43">
        <v>0.002464114787041898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-0.3440000116825104</v>
      </c>
      <c r="D17" s="50">
        <v>0.22157207999999998</v>
      </c>
      <c r="E17" s="43">
        <v>0.00172429523910766</v>
      </c>
      <c r="F17" s="43">
        <v>-0.060000918</v>
      </c>
      <c r="G17" s="43">
        <v>0.0018674231010421482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30.51799964904785</v>
      </c>
      <c r="D18" s="46">
        <v>0.011695571399999998</v>
      </c>
      <c r="E18" s="43">
        <v>0.0005832038492600809</v>
      </c>
      <c r="F18" s="47">
        <v>0.21576128</v>
      </c>
      <c r="G18" s="43">
        <v>0.002016498785670174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-0.4359999895095825</v>
      </c>
      <c r="D19" s="50">
        <v>-0.18708341</v>
      </c>
      <c r="E19" s="43">
        <v>0.0014693691045470764</v>
      </c>
      <c r="F19" s="43">
        <v>0.0025136617999999998</v>
      </c>
      <c r="G19" s="43">
        <v>0.0012428539351487212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0.0709372</v>
      </c>
      <c r="D20" s="52">
        <v>-0.00337928188</v>
      </c>
      <c r="E20" s="53">
        <v>0.00040627654199359693</v>
      </c>
      <c r="F20" s="53">
        <v>-0.006963303000000001</v>
      </c>
      <c r="G20" s="53">
        <v>0.0005149779703643504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1.1208552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-0.4983335514818929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-3.7517824000000006</v>
      </c>
      <c r="I25" s="66" t="s">
        <v>53</v>
      </c>
      <c r="J25" s="67"/>
      <c r="K25" s="66"/>
      <c r="L25" s="69">
        <v>5.379556681067561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1.9292667371512713</v>
      </c>
      <c r="I26" s="71" t="s">
        <v>55</v>
      </c>
      <c r="J26" s="72"/>
      <c r="K26" s="71"/>
      <c r="L26" s="74">
        <v>0.03980237221120391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HCMQAP021_A_pos4ap2res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6" customWidth="1"/>
    <col min="5" max="7" width="9.33203125" style="56" customWidth="1"/>
    <col min="8" max="8" width="10.83203125" style="56" customWidth="1"/>
    <col min="9" max="14" width="8.83203125" style="56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3</v>
      </c>
      <c r="D2" s="15" t="s">
        <v>40</v>
      </c>
      <c r="E2" s="16"/>
      <c r="F2" s="16"/>
      <c r="G2" s="16"/>
      <c r="H2" s="16"/>
      <c r="I2" s="16"/>
      <c r="J2" s="17"/>
      <c r="K2" s="18">
        <v>4.159537E-05</v>
      </c>
      <c r="L2" s="18">
        <v>2.036620481824555E-07</v>
      </c>
      <c r="M2" s="18">
        <v>0.00015797444</v>
      </c>
      <c r="N2" s="19">
        <v>1.2845068860941852E-07</v>
      </c>
    </row>
    <row r="3" spans="1:14" ht="15" customHeight="1">
      <c r="A3" s="20" t="s">
        <v>4</v>
      </c>
      <c r="B3" s="21">
        <v>2</v>
      </c>
      <c r="D3" s="15" t="s">
        <v>41</v>
      </c>
      <c r="E3" s="16"/>
      <c r="F3" s="16"/>
      <c r="G3" s="16"/>
      <c r="H3" s="16"/>
      <c r="I3" s="16"/>
      <c r="J3" s="17"/>
      <c r="K3" s="18">
        <v>-3.1146245999999996E-05</v>
      </c>
      <c r="L3" s="18">
        <v>2.699346920536153E-07</v>
      </c>
      <c r="M3" s="18">
        <v>1.0277620000000003E-05</v>
      </c>
      <c r="N3" s="19">
        <v>1.5076628469255858E-07</v>
      </c>
    </row>
    <row r="4" spans="1:14" ht="15" customHeight="1">
      <c r="A4" s="20" t="s">
        <v>5</v>
      </c>
      <c r="B4" s="21">
        <v>2</v>
      </c>
      <c r="D4" s="15" t="s">
        <v>42</v>
      </c>
      <c r="E4" s="16"/>
      <c r="F4" s="16"/>
      <c r="G4" s="16"/>
      <c r="H4" s="16"/>
      <c r="I4" s="16"/>
      <c r="J4" s="17"/>
      <c r="K4" s="18">
        <v>-0.002087321175125595</v>
      </c>
      <c r="L4" s="18">
        <v>4.4660482683395636E-05</v>
      </c>
      <c r="M4" s="18">
        <v>1.727251897676874E-08</v>
      </c>
      <c r="N4" s="19">
        <v>-10.696406</v>
      </c>
    </row>
    <row r="5" spans="1:14" ht="15" customHeight="1" thickBot="1">
      <c r="A5" t="s">
        <v>6</v>
      </c>
      <c r="B5" s="22">
        <v>37671.567141203705</v>
      </c>
      <c r="D5" s="23"/>
      <c r="E5" s="24" t="s">
        <v>68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7</v>
      </c>
      <c r="B6" s="21">
        <v>1424</v>
      </c>
      <c r="D6" s="27"/>
      <c r="E6" s="28" t="s">
        <v>8</v>
      </c>
      <c r="F6" s="29"/>
      <c r="G6" s="30"/>
      <c r="H6" s="31" t="s">
        <v>9</v>
      </c>
      <c r="I6" s="32"/>
      <c r="J6" s="29"/>
      <c r="K6" s="33" t="s">
        <v>44</v>
      </c>
      <c r="L6" s="16"/>
      <c r="M6" s="16"/>
      <c r="N6" s="34"/>
    </row>
    <row r="7" spans="1:14" ht="15" customHeight="1" thickBot="1">
      <c r="A7" s="20" t="s">
        <v>10</v>
      </c>
      <c r="B7" s="35" t="s">
        <v>11</v>
      </c>
      <c r="D7" s="36" t="s">
        <v>45</v>
      </c>
      <c r="E7" s="37" t="s">
        <v>46</v>
      </c>
      <c r="F7" s="38" t="s">
        <v>47</v>
      </c>
      <c r="G7" s="37" t="s">
        <v>48</v>
      </c>
      <c r="H7" s="39"/>
      <c r="I7" s="141" t="s">
        <v>12</v>
      </c>
      <c r="J7" s="142"/>
      <c r="K7" s="141" t="s">
        <v>13</v>
      </c>
      <c r="L7" s="142"/>
      <c r="M7" s="141" t="s">
        <v>14</v>
      </c>
      <c r="N7" s="143"/>
    </row>
    <row r="8" spans="1:14" ht="15" customHeight="1">
      <c r="A8" s="20" t="s">
        <v>15</v>
      </c>
      <c r="B8" s="35" t="s">
        <v>16</v>
      </c>
      <c r="D8" s="40">
        <v>0.8712306</v>
      </c>
      <c r="E8" s="41">
        <v>0.0206191591587281</v>
      </c>
      <c r="F8" s="41">
        <v>4.0266481999999995</v>
      </c>
      <c r="G8" s="41">
        <v>0.03347212024304243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17</v>
      </c>
      <c r="B9" s="45">
        <v>0.017</v>
      </c>
      <c r="D9" s="50">
        <v>-5.3918732</v>
      </c>
      <c r="E9" s="43">
        <v>0.0282599916819868</v>
      </c>
      <c r="F9" s="43">
        <v>0.780880416</v>
      </c>
      <c r="G9" s="43">
        <v>0.03289564205978484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18</v>
      </c>
      <c r="B10" s="35" t="s">
        <v>19</v>
      </c>
      <c r="D10" s="46">
        <v>-2.1138453000000004</v>
      </c>
      <c r="E10" s="43">
        <v>0.014097475378914657</v>
      </c>
      <c r="F10" s="47">
        <v>-13.475164000000001</v>
      </c>
      <c r="G10" s="43">
        <v>0.009645203678773858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20</v>
      </c>
      <c r="B11" s="21">
        <v>5</v>
      </c>
      <c r="D11" s="80">
        <v>15.043412</v>
      </c>
      <c r="E11" s="41">
        <v>0.012851390818963103</v>
      </c>
      <c r="F11" s="81">
        <v>2.0645577</v>
      </c>
      <c r="G11" s="41">
        <v>0.009100162155719736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21</v>
      </c>
      <c r="B12" s="48">
        <v>0.7499</v>
      </c>
      <c r="D12" s="46">
        <v>-0.21012814</v>
      </c>
      <c r="E12" s="43">
        <v>0.004192914936341438</v>
      </c>
      <c r="F12" s="43">
        <v>-0.023794813999999997</v>
      </c>
      <c r="G12" s="43">
        <v>0.009669240264483249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22</v>
      </c>
      <c r="B13" s="45">
        <v>20.446778</v>
      </c>
      <c r="D13" s="46">
        <v>0.0298521798</v>
      </c>
      <c r="E13" s="43">
        <v>0.003233952062628806</v>
      </c>
      <c r="F13" s="47">
        <v>-0.43071592000000003</v>
      </c>
      <c r="G13" s="43">
        <v>0.005477456002158213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23</v>
      </c>
      <c r="B14" s="49">
        <v>12.5</v>
      </c>
      <c r="D14" s="50">
        <v>0.42383378</v>
      </c>
      <c r="E14" s="43">
        <v>0.004448495001635171</v>
      </c>
      <c r="F14" s="43">
        <v>0.33165781</v>
      </c>
      <c r="G14" s="43">
        <v>0.004630360115950951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24</v>
      </c>
      <c r="B15" s="45">
        <v>0</v>
      </c>
      <c r="D15" s="40">
        <v>-0.35406533</v>
      </c>
      <c r="E15" s="41">
        <v>0.0031750887796391683</v>
      </c>
      <c r="F15" s="41">
        <v>0.2683802</v>
      </c>
      <c r="G15" s="41">
        <v>0.0027285732540985046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25</v>
      </c>
      <c r="B16" s="45">
        <v>12.5045</v>
      </c>
      <c r="D16" s="46">
        <v>-0.11851359000000002</v>
      </c>
      <c r="E16" s="43">
        <v>0.0023841707229976298</v>
      </c>
      <c r="F16" s="43">
        <v>-0.06428375</v>
      </c>
      <c r="G16" s="43">
        <v>0.0029358020718947696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26</v>
      </c>
      <c r="B17" s="45">
        <v>0.44200000166893005</v>
      </c>
      <c r="D17" s="50">
        <v>0.17567892999999998</v>
      </c>
      <c r="E17" s="43">
        <v>0.0012635104125413804</v>
      </c>
      <c r="F17" s="43">
        <v>-0.073539732</v>
      </c>
      <c r="G17" s="43">
        <v>0.0038693126587944723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27</v>
      </c>
      <c r="B18" s="45">
        <v>7.629000186920166</v>
      </c>
      <c r="D18" s="46">
        <v>0.011569297400000001</v>
      </c>
      <c r="E18" s="43">
        <v>0.0034532530187233214</v>
      </c>
      <c r="F18" s="47">
        <v>0.17059286</v>
      </c>
      <c r="G18" s="43">
        <v>0.002163160300440272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28</v>
      </c>
      <c r="B19" s="45">
        <v>0.19699999690055847</v>
      </c>
      <c r="D19" s="46">
        <v>-0.13653433</v>
      </c>
      <c r="E19" s="43">
        <v>0.002293943219567142</v>
      </c>
      <c r="F19" s="43">
        <v>-0.023015561</v>
      </c>
      <c r="G19" s="43">
        <v>0.0027898532602565382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29</v>
      </c>
      <c r="B20" s="51">
        <v>0.31114030000000004</v>
      </c>
      <c r="D20" s="52">
        <v>-0.0056221068</v>
      </c>
      <c r="E20" s="53">
        <v>0.0009109404666356929</v>
      </c>
      <c r="F20" s="53">
        <v>0.00441709807</v>
      </c>
      <c r="G20" s="53">
        <v>0.0005064091708673149</v>
      </c>
      <c r="H20" s="54">
        <v>15</v>
      </c>
      <c r="I20" s="53">
        <v>0</v>
      </c>
      <c r="J20" s="53">
        <v>0</v>
      </c>
      <c r="K20" s="53">
        <v>0</v>
      </c>
      <c r="L20" s="53">
        <v>0</v>
      </c>
      <c r="M20" s="53">
        <v>0.05</v>
      </c>
      <c r="N20" s="55">
        <v>0.05</v>
      </c>
    </row>
    <row r="21" spans="1:6" ht="15" customHeight="1">
      <c r="A21" s="20" t="s">
        <v>30</v>
      </c>
      <c r="B21" s="51">
        <v>1.2932427</v>
      </c>
      <c r="F21" s="56" t="s">
        <v>49</v>
      </c>
    </row>
    <row r="22" spans="1:6" ht="15" customHeight="1">
      <c r="A22" s="20" t="s">
        <v>31</v>
      </c>
      <c r="B22" s="35" t="s">
        <v>32</v>
      </c>
      <c r="F22" s="56" t="s">
        <v>50</v>
      </c>
    </row>
    <row r="23" spans="1:2" ht="15" customHeight="1" thickBot="1">
      <c r="A23" s="57" t="s">
        <v>33</v>
      </c>
      <c r="B23" s="58">
        <v>15</v>
      </c>
    </row>
    <row r="24" spans="1:12" ht="18" customHeight="1" thickBot="1" thickTop="1">
      <c r="A24" s="59" t="s">
        <v>51</v>
      </c>
      <c r="B24" s="60">
        <v>-0.6128594374186319</v>
      </c>
      <c r="E24" s="61"/>
      <c r="F24" s="62"/>
      <c r="G24" s="63" t="s">
        <v>34</v>
      </c>
      <c r="H24" s="62"/>
      <c r="I24" s="62"/>
      <c r="J24" s="62"/>
      <c r="K24" s="62"/>
      <c r="L24" s="64"/>
    </row>
    <row r="25" spans="1:12" ht="18" customHeight="1">
      <c r="A25" s="7" t="s">
        <v>35</v>
      </c>
      <c r="B25" s="8">
        <v>10</v>
      </c>
      <c r="E25" s="65" t="s">
        <v>52</v>
      </c>
      <c r="F25" s="66"/>
      <c r="G25" s="67"/>
      <c r="H25" s="68">
        <v>-2.0877989</v>
      </c>
      <c r="I25" s="66" t="s">
        <v>53</v>
      </c>
      <c r="J25" s="67"/>
      <c r="K25" s="66"/>
      <c r="L25" s="69">
        <v>15.18442106563083</v>
      </c>
    </row>
    <row r="26" spans="1:12" ht="18" customHeight="1" thickBot="1">
      <c r="A26" s="20" t="s">
        <v>36</v>
      </c>
      <c r="B26" s="21" t="s">
        <v>37</v>
      </c>
      <c r="E26" s="70" t="s">
        <v>54</v>
      </c>
      <c r="F26" s="71"/>
      <c r="G26" s="72"/>
      <c r="H26" s="73">
        <v>4.119822627849359</v>
      </c>
      <c r="I26" s="71" t="s">
        <v>55</v>
      </c>
      <c r="J26" s="72"/>
      <c r="K26" s="71"/>
      <c r="L26" s="74">
        <v>0.44428615740314137</v>
      </c>
    </row>
    <row r="27" spans="1:2" ht="15" customHeight="1" thickBot="1" thickTop="1">
      <c r="A27" s="57" t="s">
        <v>38</v>
      </c>
      <c r="B27" s="58">
        <v>80</v>
      </c>
    </row>
    <row r="28" spans="1:14" s="79" customFormat="1" ht="18" customHeight="1" thickBot="1">
      <c r="A28" s="75" t="s">
        <v>39</v>
      </c>
      <c r="B28" s="76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HCMQAP021_A_pos5ap2res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11" t="s">
        <v>108</v>
      </c>
      <c r="B1" s="103" t="s">
        <v>56</v>
      </c>
      <c r="C1" s="93" t="s">
        <v>61</v>
      </c>
      <c r="D1" s="93" t="s">
        <v>64</v>
      </c>
      <c r="E1" s="93" t="s">
        <v>66</v>
      </c>
      <c r="F1" s="100" t="s">
        <v>69</v>
      </c>
      <c r="G1" s="135" t="s">
        <v>109</v>
      </c>
    </row>
    <row r="2" spans="1:7" ht="13.5" thickBot="1">
      <c r="A2" s="112" t="s">
        <v>78</v>
      </c>
      <c r="B2" s="104">
        <v>-2.2481108</v>
      </c>
      <c r="C2" s="95">
        <v>-3.7518692</v>
      </c>
      <c r="D2" s="95">
        <v>-3.7514269000000002</v>
      </c>
      <c r="E2" s="95">
        <v>-3.7517824000000006</v>
      </c>
      <c r="F2" s="101">
        <v>-2.0877989</v>
      </c>
      <c r="G2" s="136">
        <v>3.116375079351068</v>
      </c>
    </row>
    <row r="3" spans="1:7" ht="14.25" thickBot="1" thickTop="1">
      <c r="A3" s="120" t="s">
        <v>77</v>
      </c>
      <c r="B3" s="121" t="s">
        <v>72</v>
      </c>
      <c r="C3" s="122" t="s">
        <v>73</v>
      </c>
      <c r="D3" s="122" t="s">
        <v>74</v>
      </c>
      <c r="E3" s="122" t="s">
        <v>75</v>
      </c>
      <c r="F3" s="123" t="s">
        <v>76</v>
      </c>
      <c r="G3" s="130" t="s">
        <v>110</v>
      </c>
    </row>
    <row r="4" spans="1:7" ht="12.75">
      <c r="A4" s="117" t="s">
        <v>79</v>
      </c>
      <c r="B4" s="118">
        <v>0.6686081799999999</v>
      </c>
      <c r="C4" s="119">
        <v>-1.3440809</v>
      </c>
      <c r="D4" s="119">
        <v>0.18404822799999998</v>
      </c>
      <c r="E4" s="119">
        <v>0.78971175</v>
      </c>
      <c r="F4" s="124">
        <v>0.8712306</v>
      </c>
      <c r="G4" s="131">
        <v>0.12395070287296724</v>
      </c>
    </row>
    <row r="5" spans="1:7" ht="12.75">
      <c r="A5" s="112" t="s">
        <v>81</v>
      </c>
      <c r="B5" s="106">
        <v>-0.36399545000000005</v>
      </c>
      <c r="C5" s="90">
        <v>-1.02513635</v>
      </c>
      <c r="D5" s="90">
        <v>-0.78389014</v>
      </c>
      <c r="E5" s="90">
        <v>-1.4517986</v>
      </c>
      <c r="F5" s="125">
        <v>-5.3918732</v>
      </c>
      <c r="G5" s="132">
        <v>-1.5591805482365872</v>
      </c>
    </row>
    <row r="6" spans="1:7" ht="12.75">
      <c r="A6" s="112" t="s">
        <v>83</v>
      </c>
      <c r="B6" s="106">
        <v>-0.8827910299999999</v>
      </c>
      <c r="C6" s="90">
        <v>-0.31748407</v>
      </c>
      <c r="D6" s="90">
        <v>-0.4748870500000001</v>
      </c>
      <c r="E6" s="90">
        <v>-0.26025746</v>
      </c>
      <c r="F6" s="126">
        <v>-2.1138453000000004</v>
      </c>
      <c r="G6" s="132">
        <v>-0.6636518432005668</v>
      </c>
    </row>
    <row r="7" spans="1:7" ht="12.75">
      <c r="A7" s="112" t="s">
        <v>85</v>
      </c>
      <c r="B7" s="105">
        <v>4.391703099999999</v>
      </c>
      <c r="C7" s="89">
        <v>5.3118374</v>
      </c>
      <c r="D7" s="89">
        <v>5.611383999999999</v>
      </c>
      <c r="E7" s="89">
        <v>5.3788986</v>
      </c>
      <c r="F7" s="127">
        <v>15.043412</v>
      </c>
      <c r="G7" s="133">
        <v>6.570534593471924</v>
      </c>
    </row>
    <row r="8" spans="1:7" ht="12.75">
      <c r="A8" s="112" t="s">
        <v>87</v>
      </c>
      <c r="B8" s="106">
        <v>0.20314393000000003</v>
      </c>
      <c r="C8" s="90">
        <v>0.07710866999999999</v>
      </c>
      <c r="D8" s="90">
        <v>-0.141128486</v>
      </c>
      <c r="E8" s="90">
        <v>0.0403510517</v>
      </c>
      <c r="F8" s="126">
        <v>-0.21012814</v>
      </c>
      <c r="G8" s="132">
        <v>-0.004538418269392395</v>
      </c>
    </row>
    <row r="9" spans="1:7" ht="12.75">
      <c r="A9" s="112" t="s">
        <v>89</v>
      </c>
      <c r="B9" s="106">
        <v>0.13227645</v>
      </c>
      <c r="C9" s="90">
        <v>-0.031326674</v>
      </c>
      <c r="D9" s="90">
        <v>0.000679007999999999</v>
      </c>
      <c r="E9" s="90">
        <v>-0.032001346</v>
      </c>
      <c r="F9" s="126">
        <v>0.0298521798</v>
      </c>
      <c r="G9" s="132">
        <v>0.007994941772713687</v>
      </c>
    </row>
    <row r="10" spans="1:7" ht="12.75">
      <c r="A10" s="112" t="s">
        <v>91</v>
      </c>
      <c r="B10" s="106">
        <v>0.16422596</v>
      </c>
      <c r="C10" s="90">
        <v>0.028893309</v>
      </c>
      <c r="D10" s="90">
        <v>0.030003758000000002</v>
      </c>
      <c r="E10" s="90">
        <v>-0.0085026235</v>
      </c>
      <c r="F10" s="125">
        <v>0.42383378</v>
      </c>
      <c r="G10" s="132">
        <v>0.09256236123426458</v>
      </c>
    </row>
    <row r="11" spans="1:7" ht="12.75">
      <c r="A11" s="112" t="s">
        <v>93</v>
      </c>
      <c r="B11" s="105">
        <v>-0.40225143</v>
      </c>
      <c r="C11" s="89">
        <v>-0.052778379</v>
      </c>
      <c r="D11" s="89">
        <v>-0.0106239768</v>
      </c>
      <c r="E11" s="89">
        <v>-0.01392117317</v>
      </c>
      <c r="F11" s="128">
        <v>-0.35406533</v>
      </c>
      <c r="G11" s="132">
        <v>-0.12402195583957033</v>
      </c>
    </row>
    <row r="12" spans="1:7" ht="12.75">
      <c r="A12" s="112" t="s">
        <v>95</v>
      </c>
      <c r="B12" s="106">
        <v>-0.068449486</v>
      </c>
      <c r="C12" s="90">
        <v>-0.058361496</v>
      </c>
      <c r="D12" s="90">
        <v>-0.083424234</v>
      </c>
      <c r="E12" s="90">
        <v>-0.064831232</v>
      </c>
      <c r="F12" s="126">
        <v>-0.11851359000000002</v>
      </c>
      <c r="G12" s="132">
        <v>-0.07545845372417344</v>
      </c>
    </row>
    <row r="13" spans="1:7" ht="12.75">
      <c r="A13" s="112" t="s">
        <v>97</v>
      </c>
      <c r="B13" s="107">
        <v>0.16888944</v>
      </c>
      <c r="C13" s="91">
        <v>0.16801287</v>
      </c>
      <c r="D13" s="90">
        <v>0.14264797</v>
      </c>
      <c r="E13" s="91">
        <v>0.22157207999999998</v>
      </c>
      <c r="F13" s="125">
        <v>0.17567892999999998</v>
      </c>
      <c r="G13" s="133">
        <v>0.17595102951829045</v>
      </c>
    </row>
    <row r="14" spans="1:7" ht="12.75">
      <c r="A14" s="112" t="s">
        <v>99</v>
      </c>
      <c r="B14" s="106">
        <v>0.06575083200000001</v>
      </c>
      <c r="C14" s="90">
        <v>0.060297526000000004</v>
      </c>
      <c r="D14" s="90">
        <v>0.057242225</v>
      </c>
      <c r="E14" s="90">
        <v>0.011695571399999998</v>
      </c>
      <c r="F14" s="126">
        <v>0.011569297400000001</v>
      </c>
      <c r="G14" s="132">
        <v>0.04212800405856209</v>
      </c>
    </row>
    <row r="15" spans="1:7" ht="12.75">
      <c r="A15" s="112" t="s">
        <v>101</v>
      </c>
      <c r="B15" s="107">
        <v>-0.19075834</v>
      </c>
      <c r="C15" s="91">
        <v>-0.18085311</v>
      </c>
      <c r="D15" s="91">
        <v>-0.1836801</v>
      </c>
      <c r="E15" s="91">
        <v>-0.18708341</v>
      </c>
      <c r="F15" s="126">
        <v>-0.13653433</v>
      </c>
      <c r="G15" s="132">
        <v>-0.1785260817892348</v>
      </c>
    </row>
    <row r="16" spans="1:7" ht="12.75">
      <c r="A16" s="112" t="s">
        <v>103</v>
      </c>
      <c r="B16" s="106">
        <v>-0.00273784571</v>
      </c>
      <c r="C16" s="90">
        <v>-0.001330524</v>
      </c>
      <c r="D16" s="90">
        <v>-0.0031761582500000004</v>
      </c>
      <c r="E16" s="90">
        <v>-0.00337928188</v>
      </c>
      <c r="F16" s="126">
        <v>-0.0056221068</v>
      </c>
      <c r="G16" s="132">
        <v>-0.0030452345988753824</v>
      </c>
    </row>
    <row r="17" spans="1:7" ht="12.75">
      <c r="A17" s="112" t="s">
        <v>80</v>
      </c>
      <c r="B17" s="105">
        <v>-0.7556683200000001</v>
      </c>
      <c r="C17" s="89">
        <v>-1.8543359000000001</v>
      </c>
      <c r="D17" s="89">
        <v>-0.788339</v>
      </c>
      <c r="E17" s="89">
        <v>-1.7602345</v>
      </c>
      <c r="F17" s="128">
        <v>4.0266481999999995</v>
      </c>
      <c r="G17" s="132">
        <v>-0.6292502438247666</v>
      </c>
    </row>
    <row r="18" spans="1:7" ht="12.75">
      <c r="A18" s="112" t="s">
        <v>82</v>
      </c>
      <c r="B18" s="106">
        <v>0.93870851</v>
      </c>
      <c r="C18" s="90">
        <v>0.43858752999999995</v>
      </c>
      <c r="D18" s="90">
        <v>-0.31912823</v>
      </c>
      <c r="E18" s="90">
        <v>-1.1914762300000001</v>
      </c>
      <c r="F18" s="126">
        <v>0.780880416</v>
      </c>
      <c r="G18" s="132">
        <v>-0.018034823350928757</v>
      </c>
    </row>
    <row r="19" spans="1:7" ht="12.75">
      <c r="A19" s="112" t="s">
        <v>84</v>
      </c>
      <c r="B19" s="107">
        <v>-2.9521804</v>
      </c>
      <c r="C19" s="91">
        <v>-3.8222034000000003</v>
      </c>
      <c r="D19" s="91">
        <v>-3.4451764</v>
      </c>
      <c r="E19" s="91">
        <v>-4.2430678</v>
      </c>
      <c r="F19" s="125">
        <v>-13.475164000000001</v>
      </c>
      <c r="G19" s="133">
        <v>-4.999943681963346</v>
      </c>
    </row>
    <row r="20" spans="1:7" ht="12.75">
      <c r="A20" s="112" t="s">
        <v>86</v>
      </c>
      <c r="B20" s="105">
        <v>0.1757830405</v>
      </c>
      <c r="C20" s="89">
        <v>0.5020487100000001</v>
      </c>
      <c r="D20" s="89">
        <v>0.55742495</v>
      </c>
      <c r="E20" s="89">
        <v>0.084142354</v>
      </c>
      <c r="F20" s="127">
        <v>2.0645577</v>
      </c>
      <c r="G20" s="132">
        <v>0.5770003016096872</v>
      </c>
    </row>
    <row r="21" spans="1:7" ht="12.75">
      <c r="A21" s="112" t="s">
        <v>88</v>
      </c>
      <c r="B21" s="106">
        <v>-0.10049554089999999</v>
      </c>
      <c r="C21" s="90">
        <v>-0.0009755580000000028</v>
      </c>
      <c r="D21" s="90">
        <v>0.09967286299999999</v>
      </c>
      <c r="E21" s="90">
        <v>0.040277565</v>
      </c>
      <c r="F21" s="126">
        <v>-0.023794813999999997</v>
      </c>
      <c r="G21" s="132">
        <v>0.01576321221146334</v>
      </c>
    </row>
    <row r="22" spans="1:7" ht="12.75">
      <c r="A22" s="112" t="s">
        <v>90</v>
      </c>
      <c r="B22" s="106">
        <v>-0.09184478100000001</v>
      </c>
      <c r="C22" s="90">
        <v>-0.027147337</v>
      </c>
      <c r="D22" s="90">
        <v>-0.19277246999999997</v>
      </c>
      <c r="E22" s="90">
        <v>-0.26161775</v>
      </c>
      <c r="F22" s="125">
        <v>-0.43071592000000003</v>
      </c>
      <c r="G22" s="132">
        <v>-0.1867927412802215</v>
      </c>
    </row>
    <row r="23" spans="1:7" ht="12.75">
      <c r="A23" s="112" t="s">
        <v>92</v>
      </c>
      <c r="B23" s="107">
        <v>0.41238650000000004</v>
      </c>
      <c r="C23" s="90">
        <v>0.031402796430000005</v>
      </c>
      <c r="D23" s="90">
        <v>-0.0208221283</v>
      </c>
      <c r="E23" s="90">
        <v>-0.052436413</v>
      </c>
      <c r="F23" s="126">
        <v>0.33165781</v>
      </c>
      <c r="G23" s="132">
        <v>0.09380430654201853</v>
      </c>
    </row>
    <row r="24" spans="1:7" ht="12.75">
      <c r="A24" s="112" t="s">
        <v>94</v>
      </c>
      <c r="B24" s="105">
        <v>0.031422397000000005</v>
      </c>
      <c r="C24" s="89">
        <v>0.042226742</v>
      </c>
      <c r="D24" s="89">
        <v>0.07108727000000001</v>
      </c>
      <c r="E24" s="89">
        <v>0.037288467000000006</v>
      </c>
      <c r="F24" s="128">
        <v>0.2683802</v>
      </c>
      <c r="G24" s="132">
        <v>0.07670912356053594</v>
      </c>
    </row>
    <row r="25" spans="1:7" ht="12.75">
      <c r="A25" s="112" t="s">
        <v>96</v>
      </c>
      <c r="B25" s="106">
        <v>-0.057390340000000005</v>
      </c>
      <c r="C25" s="90">
        <v>-0.039270245999999995</v>
      </c>
      <c r="D25" s="90">
        <v>-0.029225383</v>
      </c>
      <c r="E25" s="90">
        <v>-0.09394982</v>
      </c>
      <c r="F25" s="126">
        <v>-0.06428375</v>
      </c>
      <c r="G25" s="132">
        <v>-0.055973641315406865</v>
      </c>
    </row>
    <row r="26" spans="1:7" ht="12.75">
      <c r="A26" s="112" t="s">
        <v>98</v>
      </c>
      <c r="B26" s="106">
        <v>-0.12289371</v>
      </c>
      <c r="C26" s="90">
        <v>-0.1133565</v>
      </c>
      <c r="D26" s="90">
        <v>-0.109249317</v>
      </c>
      <c r="E26" s="90">
        <v>-0.060000918</v>
      </c>
      <c r="F26" s="126">
        <v>-0.073539732</v>
      </c>
      <c r="G26" s="132">
        <v>-0.09557218598789223</v>
      </c>
    </row>
    <row r="27" spans="1:7" ht="12.75">
      <c r="A27" s="112" t="s">
        <v>100</v>
      </c>
      <c r="B27" s="107">
        <v>0.20284943000000002</v>
      </c>
      <c r="C27" s="91">
        <v>0.19006812</v>
      </c>
      <c r="D27" s="91">
        <v>0.17702836</v>
      </c>
      <c r="E27" s="91">
        <v>0.21576128</v>
      </c>
      <c r="F27" s="125">
        <v>0.17059286</v>
      </c>
      <c r="G27" s="133">
        <v>0.19234833554777228</v>
      </c>
    </row>
    <row r="28" spans="1:7" ht="12.75">
      <c r="A28" s="112" t="s">
        <v>102</v>
      </c>
      <c r="B28" s="106">
        <v>-0.002337005</v>
      </c>
      <c r="C28" s="90">
        <v>0.005549290300000001</v>
      </c>
      <c r="D28" s="90">
        <v>0.006789748200000001</v>
      </c>
      <c r="E28" s="90">
        <v>0.0025136617999999998</v>
      </c>
      <c r="F28" s="126">
        <v>-0.023015561</v>
      </c>
      <c r="G28" s="132">
        <v>0.00015499071329492538</v>
      </c>
    </row>
    <row r="29" spans="1:7" ht="13.5" thickBot="1">
      <c r="A29" s="113" t="s">
        <v>104</v>
      </c>
      <c r="B29" s="108">
        <v>-0.0026108903</v>
      </c>
      <c r="C29" s="92">
        <v>-0.0026097146400000004</v>
      </c>
      <c r="D29" s="92">
        <v>-0.00391993079</v>
      </c>
      <c r="E29" s="92">
        <v>-0.006963303000000001</v>
      </c>
      <c r="F29" s="129">
        <v>0.00441709807</v>
      </c>
      <c r="G29" s="134">
        <v>-0.0030318153676059906</v>
      </c>
    </row>
    <row r="30" spans="1:7" ht="13.5" thickTop="1">
      <c r="A30" s="114" t="s">
        <v>105</v>
      </c>
      <c r="B30" s="109">
        <v>-0.2391133547025551</v>
      </c>
      <c r="C30" s="98">
        <v>-0.35955370560767</v>
      </c>
      <c r="D30" s="98">
        <v>-0.5353122616254827</v>
      </c>
      <c r="E30" s="98">
        <v>-0.4983335514818929</v>
      </c>
      <c r="F30" s="94">
        <v>-0.6128594374186319</v>
      </c>
      <c r="G30" s="135" t="s">
        <v>116</v>
      </c>
    </row>
    <row r="31" spans="1:7" ht="13.5" thickBot="1">
      <c r="A31" s="115" t="s">
        <v>106</v>
      </c>
      <c r="B31" s="104">
        <v>20.611573</v>
      </c>
      <c r="C31" s="95">
        <v>20.565796</v>
      </c>
      <c r="D31" s="95">
        <v>20.489503</v>
      </c>
      <c r="E31" s="95">
        <v>20.446778</v>
      </c>
      <c r="F31" s="96">
        <v>20.446778</v>
      </c>
      <c r="G31" s="137">
        <v>-209.57</v>
      </c>
    </row>
    <row r="32" spans="1:7" ht="15.75" thickBot="1" thickTop="1">
      <c r="A32" s="116" t="s">
        <v>107</v>
      </c>
      <c r="B32" s="110">
        <v>0.40699999034404755</v>
      </c>
      <c r="C32" s="99">
        <v>-0.3044999986886978</v>
      </c>
      <c r="D32" s="99">
        <v>0.40699999034404755</v>
      </c>
      <c r="E32" s="99">
        <v>-0.39000000059604645</v>
      </c>
      <c r="F32" s="97">
        <v>0.31949999928474426</v>
      </c>
      <c r="G32" s="102" t="s">
        <v>115</v>
      </c>
    </row>
    <row r="33" spans="1:7" ht="15" thickTop="1">
      <c r="A33" t="s">
        <v>111</v>
      </c>
      <c r="G33" s="6" t="s">
        <v>112</v>
      </c>
    </row>
    <row r="34" ht="14.25">
      <c r="A34" t="s">
        <v>113</v>
      </c>
    </row>
    <row r="35" spans="1:2" ht="12.75">
      <c r="A35" t="s">
        <v>114</v>
      </c>
      <c r="B35" t="s">
        <v>16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51" style="138" bestFit="1" customWidth="1"/>
    <col min="2" max="2" width="15.66015625" style="138" bestFit="1" customWidth="1"/>
    <col min="3" max="3" width="14.83203125" style="138" bestFit="1" customWidth="1"/>
    <col min="4" max="4" width="16" style="138" bestFit="1" customWidth="1"/>
    <col min="5" max="5" width="21.33203125" style="138" bestFit="1" customWidth="1"/>
    <col min="6" max="7" width="14.83203125" style="138" bestFit="1" customWidth="1"/>
    <col min="8" max="8" width="14.16015625" style="138" bestFit="1" customWidth="1"/>
    <col min="9" max="9" width="14.83203125" style="138" bestFit="1" customWidth="1"/>
    <col min="10" max="10" width="6.33203125" style="138" bestFit="1" customWidth="1"/>
    <col min="11" max="11" width="15" style="138" bestFit="1" customWidth="1"/>
    <col min="12" max="16384" width="10.66015625" style="138" customWidth="1"/>
  </cols>
  <sheetData>
    <row r="1" spans="1:5" ht="12.75">
      <c r="A1" s="138" t="s">
        <v>117</v>
      </c>
      <c r="B1" s="138" t="s">
        <v>118</v>
      </c>
      <c r="C1" s="140" t="s">
        <v>179</v>
      </c>
      <c r="D1" s="138" t="s">
        <v>119</v>
      </c>
      <c r="E1" s="138" t="s">
        <v>120</v>
      </c>
    </row>
    <row r="3" spans="1:8" ht="12.75">
      <c r="A3" s="138" t="s">
        <v>121</v>
      </c>
      <c r="B3" s="138" t="s">
        <v>72</v>
      </c>
      <c r="C3" s="138" t="s">
        <v>73</v>
      </c>
      <c r="D3" s="138" t="s">
        <v>74</v>
      </c>
      <c r="E3" s="138" t="s">
        <v>75</v>
      </c>
      <c r="F3" s="138" t="s">
        <v>76</v>
      </c>
      <c r="G3" s="138" t="s">
        <v>122</v>
      </c>
      <c r="H3"/>
    </row>
    <row r="4" spans="1:8" ht="12.75">
      <c r="A4" s="138" t="s">
        <v>123</v>
      </c>
      <c r="B4" s="138">
        <v>0.002247</v>
      </c>
      <c r="C4" s="138">
        <v>0.00375</v>
      </c>
      <c r="D4" s="138">
        <v>0.00375</v>
      </c>
      <c r="E4" s="138">
        <v>0.00375</v>
      </c>
      <c r="F4" s="138">
        <v>0.002087</v>
      </c>
      <c r="G4" s="138">
        <v>0.011687</v>
      </c>
      <c r="H4"/>
    </row>
    <row r="5" spans="1:8" ht="12.75">
      <c r="A5" s="138" t="s">
        <v>124</v>
      </c>
      <c r="B5" s="138">
        <v>3.584047</v>
      </c>
      <c r="C5" s="138">
        <v>1.317064</v>
      </c>
      <c r="D5" s="138">
        <v>-1.108993</v>
      </c>
      <c r="E5" s="138">
        <v>-1.086129</v>
      </c>
      <c r="F5" s="138">
        <v>-2.331916</v>
      </c>
      <c r="G5" s="138">
        <v>-7.998007</v>
      </c>
      <c r="H5"/>
    </row>
    <row r="6" spans="1:8" ht="12.75">
      <c r="A6" s="138" t="s">
        <v>125</v>
      </c>
      <c r="B6" s="139">
        <v>-370.7919</v>
      </c>
      <c r="C6" s="139">
        <v>-334.069</v>
      </c>
      <c r="D6" s="139">
        <v>-297.4116</v>
      </c>
      <c r="E6" s="139">
        <v>-199.3734</v>
      </c>
      <c r="F6" s="139">
        <v>-345.678</v>
      </c>
      <c r="G6" s="139">
        <v>1262.651</v>
      </c>
      <c r="H6"/>
    </row>
    <row r="7" spans="1:8" ht="12.75">
      <c r="A7" s="138" t="s">
        <v>126</v>
      </c>
      <c r="B7" s="139">
        <v>10000</v>
      </c>
      <c r="C7" s="139">
        <v>10000</v>
      </c>
      <c r="D7" s="139">
        <v>10000</v>
      </c>
      <c r="E7" s="139">
        <v>10000</v>
      </c>
      <c r="F7" s="139">
        <v>10000</v>
      </c>
      <c r="G7" s="139">
        <v>10000</v>
      </c>
      <c r="H7"/>
    </row>
    <row r="8" spans="1:8" ht="12.75">
      <c r="A8" s="138" t="s">
        <v>79</v>
      </c>
      <c r="B8" s="139">
        <v>0.6644454</v>
      </c>
      <c r="C8" s="139">
        <v>-1.349863</v>
      </c>
      <c r="D8" s="139">
        <v>0.1715377</v>
      </c>
      <c r="E8" s="139">
        <v>0.8343825</v>
      </c>
      <c r="F8" s="139">
        <v>0.8168983</v>
      </c>
      <c r="G8" s="139">
        <v>-0.6339434</v>
      </c>
      <c r="H8"/>
    </row>
    <row r="9" spans="1:8" ht="12.75">
      <c r="A9" s="138" t="s">
        <v>81</v>
      </c>
      <c r="B9" s="139">
        <v>-0.4154571</v>
      </c>
      <c r="C9" s="139">
        <v>-1.064246</v>
      </c>
      <c r="D9" s="139">
        <v>-0.8965065</v>
      </c>
      <c r="E9" s="139">
        <v>-1.396282</v>
      </c>
      <c r="F9" s="139">
        <v>-4.788638</v>
      </c>
      <c r="G9" s="139">
        <v>1.508998</v>
      </c>
      <c r="H9"/>
    </row>
    <row r="10" spans="1:8" ht="12.75">
      <c r="A10" s="138" t="s">
        <v>127</v>
      </c>
      <c r="B10" s="139">
        <v>-0.657335</v>
      </c>
      <c r="C10" s="139">
        <v>-0.1875007</v>
      </c>
      <c r="D10" s="139">
        <v>-0.488532</v>
      </c>
      <c r="E10" s="139">
        <v>-0.5618584</v>
      </c>
      <c r="F10" s="139">
        <v>-2.089483</v>
      </c>
      <c r="G10" s="139">
        <v>4.899997</v>
      </c>
      <c r="H10"/>
    </row>
    <row r="11" spans="1:8" ht="12.75">
      <c r="A11" s="138" t="s">
        <v>128</v>
      </c>
      <c r="B11" s="139">
        <v>4.391304</v>
      </c>
      <c r="C11" s="139">
        <v>5.30442</v>
      </c>
      <c r="D11" s="139">
        <v>5.615556</v>
      </c>
      <c r="E11" s="139">
        <v>5.372029</v>
      </c>
      <c r="F11" s="139">
        <v>15.05943</v>
      </c>
      <c r="G11" s="139">
        <v>6.57024</v>
      </c>
      <c r="H11"/>
    </row>
    <row r="12" spans="1:8" ht="12.75">
      <c r="A12" s="138" t="s">
        <v>87</v>
      </c>
      <c r="B12" s="139">
        <v>0.2166458</v>
      </c>
      <c r="C12" s="139">
        <v>0.07985611</v>
      </c>
      <c r="D12" s="139">
        <v>-0.1469973</v>
      </c>
      <c r="E12" s="139">
        <v>0.0514024</v>
      </c>
      <c r="F12" s="139">
        <v>-0.1676932</v>
      </c>
      <c r="G12" s="139">
        <v>0.0181236</v>
      </c>
      <c r="H12"/>
    </row>
    <row r="13" spans="1:8" ht="12.75">
      <c r="A13" s="138" t="s">
        <v>89</v>
      </c>
      <c r="B13" s="139">
        <v>0.1471784</v>
      </c>
      <c r="C13" s="139">
        <v>-0.02960821</v>
      </c>
      <c r="D13" s="139">
        <v>-0.001973397</v>
      </c>
      <c r="E13" s="139">
        <v>-0.03168683</v>
      </c>
      <c r="F13" s="139">
        <v>0.006003756</v>
      </c>
      <c r="G13" s="139">
        <v>-0.006810233</v>
      </c>
      <c r="H13"/>
    </row>
    <row r="14" spans="1:8" ht="12.75">
      <c r="A14" s="138" t="s">
        <v>91</v>
      </c>
      <c r="B14" s="139">
        <v>0.1229938</v>
      </c>
      <c r="C14" s="139">
        <v>0.02701939</v>
      </c>
      <c r="D14" s="139">
        <v>0.03517605</v>
      </c>
      <c r="E14" s="139">
        <v>-0.009152804</v>
      </c>
      <c r="F14" s="139">
        <v>0.3875893</v>
      </c>
      <c r="G14" s="139">
        <v>-0.08809755</v>
      </c>
      <c r="H14"/>
    </row>
    <row r="15" spans="1:8" ht="12.75">
      <c r="A15" s="138" t="s">
        <v>93</v>
      </c>
      <c r="B15" s="139">
        <v>-0.4104966</v>
      </c>
      <c r="C15" s="139">
        <v>-0.0554756</v>
      </c>
      <c r="D15" s="139">
        <v>-0.01136144</v>
      </c>
      <c r="E15" s="139">
        <v>-0.003193413</v>
      </c>
      <c r="F15" s="139">
        <v>-0.3449965</v>
      </c>
      <c r="G15" s="139">
        <v>-0.1222477</v>
      </c>
      <c r="H15"/>
    </row>
    <row r="16" spans="1:8" ht="12.75">
      <c r="A16" s="138" t="s">
        <v>95</v>
      </c>
      <c r="B16" s="139">
        <v>-0.05404038</v>
      </c>
      <c r="C16" s="139">
        <v>-0.05398827</v>
      </c>
      <c r="D16" s="139">
        <v>-0.09500467</v>
      </c>
      <c r="E16" s="139">
        <v>-0.08896024</v>
      </c>
      <c r="F16" s="139">
        <v>-0.1062271</v>
      </c>
      <c r="G16" s="139">
        <v>-0.05557384</v>
      </c>
      <c r="H16"/>
    </row>
    <row r="17" spans="1:8" ht="12.75">
      <c r="A17" s="138" t="s">
        <v>129</v>
      </c>
      <c r="B17" s="139">
        <v>0.1798701</v>
      </c>
      <c r="C17" s="139">
        <v>0.1761426</v>
      </c>
      <c r="D17" s="139">
        <v>0.156615</v>
      </c>
      <c r="E17" s="139">
        <v>0.2107505</v>
      </c>
      <c r="F17" s="139">
        <v>0.1472356</v>
      </c>
      <c r="G17" s="139">
        <v>-0.1764461</v>
      </c>
      <c r="H17"/>
    </row>
    <row r="18" spans="1:8" ht="12.75">
      <c r="A18" s="138" t="s">
        <v>130</v>
      </c>
      <c r="B18" s="139">
        <v>0.05015291</v>
      </c>
      <c r="C18" s="139">
        <v>0.05427905</v>
      </c>
      <c r="D18" s="139">
        <v>0.06060374</v>
      </c>
      <c r="E18" s="139">
        <v>0.02255154</v>
      </c>
      <c r="F18" s="139">
        <v>0.01592957</v>
      </c>
      <c r="G18" s="139">
        <v>-0.1928901</v>
      </c>
      <c r="H18"/>
    </row>
    <row r="19" spans="1:8" ht="12.75">
      <c r="A19" s="138" t="s">
        <v>101</v>
      </c>
      <c r="B19" s="139">
        <v>-0.1902323</v>
      </c>
      <c r="C19" s="139">
        <v>-0.1809444</v>
      </c>
      <c r="D19" s="139">
        <v>-0.1837732</v>
      </c>
      <c r="E19" s="139">
        <v>-0.1871713</v>
      </c>
      <c r="F19" s="139">
        <v>-0.1372127</v>
      </c>
      <c r="G19" s="139">
        <v>-0.1786062</v>
      </c>
      <c r="H19"/>
    </row>
    <row r="20" spans="1:8" ht="12.75">
      <c r="A20" s="138" t="s">
        <v>103</v>
      </c>
      <c r="B20" s="139">
        <v>-0.002507838</v>
      </c>
      <c r="C20" s="139">
        <v>-0.00125631</v>
      </c>
      <c r="D20" s="139">
        <v>-0.003277368</v>
      </c>
      <c r="E20" s="139">
        <v>-0.003473226</v>
      </c>
      <c r="F20" s="139">
        <v>-0.005749241</v>
      </c>
      <c r="G20" s="139">
        <v>-0.003009588</v>
      </c>
      <c r="H20"/>
    </row>
    <row r="21" spans="1:8" ht="12.75">
      <c r="A21" s="138" t="s">
        <v>131</v>
      </c>
      <c r="B21" s="139">
        <v>-1258.972</v>
      </c>
      <c r="C21" s="139">
        <v>-1244.393</v>
      </c>
      <c r="D21" s="139">
        <v>-1185.554</v>
      </c>
      <c r="E21" s="139">
        <v>-1289.935</v>
      </c>
      <c r="F21" s="139">
        <v>-1388.904</v>
      </c>
      <c r="G21" s="139">
        <v>-299.6773</v>
      </c>
      <c r="H21"/>
    </row>
    <row r="22" spans="1:8" ht="12.75">
      <c r="A22" s="138" t="s">
        <v>132</v>
      </c>
      <c r="B22" s="139">
        <v>71.68216</v>
      </c>
      <c r="C22" s="139">
        <v>26.34135</v>
      </c>
      <c r="D22" s="139">
        <v>-22.1799</v>
      </c>
      <c r="E22" s="139">
        <v>-21.72262</v>
      </c>
      <c r="F22" s="139">
        <v>-46.63866</v>
      </c>
      <c r="G22" s="139">
        <v>0</v>
      </c>
      <c r="H22"/>
    </row>
    <row r="23" spans="1:8" ht="12.75">
      <c r="A23" s="138" t="s">
        <v>80</v>
      </c>
      <c r="B23" s="139">
        <v>-0.7195832</v>
      </c>
      <c r="C23" s="139">
        <v>-1.844211</v>
      </c>
      <c r="D23" s="139">
        <v>-0.7663976</v>
      </c>
      <c r="E23" s="139">
        <v>-1.737449</v>
      </c>
      <c r="F23" s="139">
        <v>3.853873</v>
      </c>
      <c r="G23" s="139">
        <v>-0.1224409</v>
      </c>
      <c r="H23"/>
    </row>
    <row r="24" spans="1:8" ht="12.75">
      <c r="A24" s="138" t="s">
        <v>82</v>
      </c>
      <c r="B24" s="139">
        <v>0.8418635</v>
      </c>
      <c r="C24" s="139">
        <v>0.3732635</v>
      </c>
      <c r="D24" s="139">
        <v>-0.2968093</v>
      </c>
      <c r="E24" s="139">
        <v>-1.019562</v>
      </c>
      <c r="F24" s="139">
        <v>0.5216129</v>
      </c>
      <c r="G24" s="139">
        <v>0.03573669</v>
      </c>
      <c r="H24"/>
    </row>
    <row r="25" spans="1:8" ht="12.75">
      <c r="A25" s="138" t="s">
        <v>84</v>
      </c>
      <c r="B25" s="139">
        <v>-2.956144</v>
      </c>
      <c r="C25" s="139">
        <v>-3.856302</v>
      </c>
      <c r="D25" s="139">
        <v>-3.650529</v>
      </c>
      <c r="E25" s="139">
        <v>-4.162684</v>
      </c>
      <c r="F25" s="139">
        <v>-12.43807</v>
      </c>
      <c r="G25" s="139">
        <v>-0.6723066</v>
      </c>
      <c r="H25"/>
    </row>
    <row r="26" spans="1:8" ht="12.75">
      <c r="A26" s="138" t="s">
        <v>86</v>
      </c>
      <c r="B26" s="139">
        <v>0.2600557</v>
      </c>
      <c r="C26" s="139">
        <v>0.5402089</v>
      </c>
      <c r="D26" s="139">
        <v>0.5234322</v>
      </c>
      <c r="E26" s="139">
        <v>0.04435866</v>
      </c>
      <c r="F26" s="139">
        <v>1.833613</v>
      </c>
      <c r="G26" s="139">
        <v>0.5499342</v>
      </c>
      <c r="H26"/>
    </row>
    <row r="27" spans="1:8" ht="12.75">
      <c r="A27" s="138" t="s">
        <v>88</v>
      </c>
      <c r="B27" s="139">
        <v>-0.1019547</v>
      </c>
      <c r="C27" s="139">
        <v>-0.001908513</v>
      </c>
      <c r="D27" s="139">
        <v>0.1002288</v>
      </c>
      <c r="E27" s="139">
        <v>0.05677016</v>
      </c>
      <c r="F27" s="139">
        <v>-0.03355852</v>
      </c>
      <c r="G27" s="139">
        <v>-0.004996132</v>
      </c>
      <c r="H27"/>
    </row>
    <row r="28" spans="1:8" ht="12.75">
      <c r="A28" s="138" t="s">
        <v>90</v>
      </c>
      <c r="B28" s="139">
        <v>-0.06350155</v>
      </c>
      <c r="C28" s="139">
        <v>-0.02431054</v>
      </c>
      <c r="D28" s="139">
        <v>-0.1924554</v>
      </c>
      <c r="E28" s="139">
        <v>-0.2551841</v>
      </c>
      <c r="F28" s="139">
        <v>-0.3763748</v>
      </c>
      <c r="G28" s="139">
        <v>0.1731235</v>
      </c>
      <c r="H28"/>
    </row>
    <row r="29" spans="1:8" ht="12.75">
      <c r="A29" s="138" t="s">
        <v>92</v>
      </c>
      <c r="B29" s="139">
        <v>0.4202653</v>
      </c>
      <c r="C29" s="139">
        <v>0.03219059</v>
      </c>
      <c r="D29" s="139">
        <v>-0.02243806</v>
      </c>
      <c r="E29" s="139">
        <v>-0.05718882</v>
      </c>
      <c r="F29" s="139">
        <v>0.2905422</v>
      </c>
      <c r="G29" s="139">
        <v>0.08239765</v>
      </c>
      <c r="H29"/>
    </row>
    <row r="30" spans="1:8" ht="12.75">
      <c r="A30" s="138" t="s">
        <v>94</v>
      </c>
      <c r="B30" s="139">
        <v>0.01332437</v>
      </c>
      <c r="C30" s="139">
        <v>0.04127219</v>
      </c>
      <c r="D30" s="139">
        <v>0.07867192</v>
      </c>
      <c r="E30" s="139">
        <v>0.04451297</v>
      </c>
      <c r="F30" s="139">
        <v>0.2620986</v>
      </c>
      <c r="G30" s="139">
        <v>0.07658558</v>
      </c>
      <c r="H30"/>
    </row>
    <row r="31" spans="1:8" ht="12.75">
      <c r="A31" s="138" t="s">
        <v>96</v>
      </c>
      <c r="B31" s="139">
        <v>-0.07150898</v>
      </c>
      <c r="C31" s="139">
        <v>-0.0477401</v>
      </c>
      <c r="D31" s="139">
        <v>-0.03978565</v>
      </c>
      <c r="E31" s="139">
        <v>-0.07770387</v>
      </c>
      <c r="F31" s="139">
        <v>-0.04105116</v>
      </c>
      <c r="G31" s="139">
        <v>0.07927206</v>
      </c>
      <c r="H31"/>
    </row>
    <row r="32" spans="1:8" ht="12.75">
      <c r="A32" s="138" t="s">
        <v>98</v>
      </c>
      <c r="B32" s="139">
        <v>-0.09641326</v>
      </c>
      <c r="C32" s="139">
        <v>-0.1035792</v>
      </c>
      <c r="D32" s="139">
        <v>-0.1180705</v>
      </c>
      <c r="E32" s="139">
        <v>-0.08906043</v>
      </c>
      <c r="F32" s="139">
        <v>-0.0700557</v>
      </c>
      <c r="G32" s="139">
        <v>0.09803532</v>
      </c>
      <c r="H32"/>
    </row>
    <row r="33" spans="1:8" ht="12.75">
      <c r="A33" s="138" t="s">
        <v>100</v>
      </c>
      <c r="B33" s="139">
        <v>0.2058588</v>
      </c>
      <c r="C33" s="139">
        <v>0.1925367</v>
      </c>
      <c r="D33" s="139">
        <v>0.1818976</v>
      </c>
      <c r="E33" s="139">
        <v>0.2133007</v>
      </c>
      <c r="F33" s="139">
        <v>0.1626092</v>
      </c>
      <c r="G33" s="139">
        <v>0.04241852</v>
      </c>
      <c r="H33"/>
    </row>
    <row r="34" spans="1:8" ht="12.75">
      <c r="A34" s="138" t="s">
        <v>102</v>
      </c>
      <c r="B34" s="139">
        <v>-0.01182771</v>
      </c>
      <c r="C34" s="139">
        <v>0.002229561</v>
      </c>
      <c r="D34" s="139">
        <v>0.009657758</v>
      </c>
      <c r="E34" s="139">
        <v>0.005423922</v>
      </c>
      <c r="F34" s="139">
        <v>-0.01849275</v>
      </c>
      <c r="G34" s="139">
        <v>-3.332564E-05</v>
      </c>
      <c r="H34"/>
    </row>
    <row r="35" spans="1:8" ht="12.75">
      <c r="A35" s="138" t="s">
        <v>104</v>
      </c>
      <c r="B35" s="139">
        <v>-0.002744998</v>
      </c>
      <c r="C35" s="139">
        <v>-0.002631541</v>
      </c>
      <c r="D35" s="139">
        <v>-0.003870598</v>
      </c>
      <c r="E35" s="139">
        <v>-0.006905126</v>
      </c>
      <c r="F35" s="139">
        <v>0.004575374</v>
      </c>
      <c r="G35" s="139">
        <v>0.003057914</v>
      </c>
      <c r="H35"/>
    </row>
    <row r="36" spans="1:6" ht="12.75">
      <c r="A36" s="138" t="s">
        <v>133</v>
      </c>
      <c r="B36" s="139">
        <v>20.44678</v>
      </c>
      <c r="C36" s="139">
        <v>20.45288</v>
      </c>
      <c r="D36" s="139">
        <v>20.46509</v>
      </c>
      <c r="E36" s="139">
        <v>20.46814</v>
      </c>
      <c r="F36" s="139">
        <v>20.4834</v>
      </c>
    </row>
    <row r="37" spans="1:6" ht="12.75">
      <c r="A37" s="138" t="s">
        <v>134</v>
      </c>
      <c r="B37" s="139">
        <v>0.3219605</v>
      </c>
      <c r="C37" s="139">
        <v>0.2746582</v>
      </c>
      <c r="D37" s="139">
        <v>0.2512614</v>
      </c>
      <c r="E37" s="139">
        <v>0.2360026</v>
      </c>
      <c r="F37" s="139">
        <v>0.2288818</v>
      </c>
    </row>
    <row r="38" spans="1:7" ht="12.75">
      <c r="A38" s="138" t="s">
        <v>135</v>
      </c>
      <c r="B38" s="139">
        <v>0.0006456549</v>
      </c>
      <c r="C38" s="139">
        <v>0.0005734857</v>
      </c>
      <c r="D38" s="139">
        <v>0.0005011271</v>
      </c>
      <c r="E38" s="139">
        <v>0.0003341697</v>
      </c>
      <c r="F38" s="139">
        <v>0.0005766281</v>
      </c>
      <c r="G38" s="139">
        <v>0.0002461261</v>
      </c>
    </row>
    <row r="39" spans="1:7" ht="12.75">
      <c r="A39" s="138" t="s">
        <v>136</v>
      </c>
      <c r="B39" s="139">
        <v>0.002135624</v>
      </c>
      <c r="C39" s="139">
        <v>0.002113957</v>
      </c>
      <c r="D39" s="139">
        <v>0.002016553</v>
      </c>
      <c r="E39" s="139">
        <v>0.002193616</v>
      </c>
      <c r="F39" s="139">
        <v>0.002363827</v>
      </c>
      <c r="G39" s="139">
        <v>0.001075206</v>
      </c>
    </row>
    <row r="40" spans="2:5" ht="12.75">
      <c r="B40" s="138" t="s">
        <v>137</v>
      </c>
      <c r="C40" s="138">
        <v>0.00375</v>
      </c>
      <c r="D40" s="138" t="s">
        <v>138</v>
      </c>
      <c r="E40" s="138">
        <v>3.116376</v>
      </c>
    </row>
    <row r="42" ht="12.75">
      <c r="A42" s="138" t="s">
        <v>139</v>
      </c>
    </row>
    <row r="50" spans="1:8" ht="12.75">
      <c r="A50" s="138" t="s">
        <v>140</v>
      </c>
      <c r="B50" s="138">
        <f>-0.017/(B7*B7+B22*B22)*(B21*B22+B6*B7)</f>
        <v>0.000645654845607775</v>
      </c>
      <c r="C50" s="138">
        <f>-0.017/(C7*C7+C22*C22)*(C21*C22+C6*C7)</f>
        <v>0.0005734857493368358</v>
      </c>
      <c r="D50" s="138">
        <f>-0.017/(D7*D7+D22*D22)*(D21*D22+D6*D7)</f>
        <v>0.0005011270249578216</v>
      </c>
      <c r="E50" s="138">
        <f>-0.017/(E7*E7+E22*E22)*(E21*E22+E6*E7)</f>
        <v>0.0003341696726150994</v>
      </c>
      <c r="F50" s="138">
        <f>-0.017/(F7*F7+F22*F22)*(F21*F22+F6*F7)</f>
        <v>0.0005766280317482729</v>
      </c>
      <c r="G50" s="138">
        <f>(B50*B$4+C50*C$4+D50*D$4+E50*E$4+F50*F$4)/SUM(B$4:F$4)</f>
        <v>0.0005093136111557306</v>
      </c>
      <c r="H50"/>
    </row>
    <row r="51" spans="1:8" ht="12.75">
      <c r="A51" s="138" t="s">
        <v>141</v>
      </c>
      <c r="B51" s="138">
        <f>-0.017/(B7*B7+B22*B22)*(B21*B7-B6*B22)</f>
        <v>0.002135624206605237</v>
      </c>
      <c r="C51" s="138">
        <f>-0.017/(C7*C7+C22*C22)*(C21*C7-C6*C22)</f>
        <v>0.0021139574611156705</v>
      </c>
      <c r="D51" s="138">
        <f>-0.017/(D7*D7+D22*D22)*(D21*D7-D6*D22)</f>
        <v>0.002016553294730086</v>
      </c>
      <c r="E51" s="138">
        <f>-0.017/(E7*E7+E22*E22)*(E21*E7-E6*E22)</f>
        <v>0.002193615404081374</v>
      </c>
      <c r="F51" s="138">
        <f>-0.017/(F7*F7+F22*F22)*(F21*F7-F6*F22)</f>
        <v>0.002363826115871918</v>
      </c>
      <c r="G51" s="138">
        <f>(B51*B$4+C51*C$4+D51*D$4+E51*E$4+F51*F$4)/SUM(B$4:F$4)</f>
        <v>0.0021462734725226774</v>
      </c>
      <c r="H51"/>
    </row>
    <row r="58" ht="12.75">
      <c r="A58" s="138" t="s">
        <v>142</v>
      </c>
    </row>
    <row r="60" spans="2:6" ht="12.75">
      <c r="B60" s="138" t="s">
        <v>72</v>
      </c>
      <c r="C60" s="138" t="s">
        <v>73</v>
      </c>
      <c r="D60" s="138" t="s">
        <v>74</v>
      </c>
      <c r="E60" s="138" t="s">
        <v>75</v>
      </c>
      <c r="F60" s="138" t="s">
        <v>76</v>
      </c>
    </row>
    <row r="61" spans="1:6" ht="12.75">
      <c r="A61" s="138" t="s">
        <v>144</v>
      </c>
      <c r="B61" s="138">
        <f>B6+(1/0.017)*(B7*B50-B22*B51)</f>
        <v>0</v>
      </c>
      <c r="C61" s="138">
        <f>C6+(1/0.017)*(C7*C50-C22*C51)</f>
        <v>0</v>
      </c>
      <c r="D61" s="138">
        <f>D6+(1/0.017)*(D7*D50-D22*D51)</f>
        <v>0</v>
      </c>
      <c r="E61" s="138">
        <f>E6+(1/0.017)*(E7*E50-E22*E51)</f>
        <v>0</v>
      </c>
      <c r="F61" s="138">
        <f>F6+(1/0.017)*(F7*F50-F22*F51)</f>
        <v>0</v>
      </c>
    </row>
    <row r="62" spans="1:6" ht="12.75">
      <c r="A62" s="138" t="s">
        <v>147</v>
      </c>
      <c r="B62" s="138">
        <f>B7+(2/0.017)*(B8*B50-B23*B51)</f>
        <v>10000.231266081499</v>
      </c>
      <c r="C62" s="138">
        <f>C7+(2/0.017)*(C8*C50-C23*C51)</f>
        <v>10000.367583106972</v>
      </c>
      <c r="D62" s="138">
        <f>D7+(2/0.017)*(D8*D50-D23*D51)</f>
        <v>10000.191934562661</v>
      </c>
      <c r="E62" s="138">
        <f>E7+(2/0.017)*(E8*E50-E23*E51)</f>
        <v>10000.481190613773</v>
      </c>
      <c r="F62" s="138">
        <f>F7+(2/0.017)*(F8*F50-F23*F51)</f>
        <v>9998.983665978143</v>
      </c>
    </row>
    <row r="63" spans="1:6" ht="12.75">
      <c r="A63" s="138" t="s">
        <v>148</v>
      </c>
      <c r="B63" s="138">
        <f>B8+(3/0.017)*(B9*B50-B24*B51)</f>
        <v>0.29983140723272433</v>
      </c>
      <c r="C63" s="138">
        <f>C8+(3/0.017)*(C9*C50-C24*C51)</f>
        <v>-1.5968147192192728</v>
      </c>
      <c r="D63" s="138">
        <f>D8+(3/0.017)*(D9*D50-D24*D51)</f>
        <v>0.1978791358743261</v>
      </c>
      <c r="E63" s="138">
        <f>E8+(3/0.017)*(E9*E50-E24*E51)</f>
        <v>1.1467234076113515</v>
      </c>
      <c r="F63" s="138">
        <f>F8+(3/0.017)*(F9*F50-F24*F51)</f>
        <v>0.11202798821929294</v>
      </c>
    </row>
    <row r="64" spans="1:6" ht="12.75">
      <c r="A64" s="138" t="s">
        <v>149</v>
      </c>
      <c r="B64" s="138">
        <f>B9+(4/0.017)*(B10*B50-B25*B51)</f>
        <v>0.9701431721584106</v>
      </c>
      <c r="C64" s="138">
        <f>C9+(4/0.017)*(C10*C50-C25*C51)</f>
        <v>0.8285844484175531</v>
      </c>
      <c r="D64" s="138">
        <f>D9+(4/0.017)*(D10*D50-D25*D51)</f>
        <v>0.778004016400243</v>
      </c>
      <c r="E64" s="138">
        <f>E9+(4/0.017)*(E10*E50-E25*E51)</f>
        <v>0.7080878134444764</v>
      </c>
      <c r="F64" s="138">
        <f>F9+(4/0.017)*(F10*F50-F25*F51)</f>
        <v>1.8458514652662465</v>
      </c>
    </row>
    <row r="65" spans="1:6" ht="12.75">
      <c r="A65" s="138" t="s">
        <v>150</v>
      </c>
      <c r="B65" s="138">
        <f>B10+(5/0.017)*(B11*B50-B26*B51)</f>
        <v>0.01321954651503976</v>
      </c>
      <c r="C65" s="138">
        <f>C10+(5/0.017)*(C11*C50-C26*C51)</f>
        <v>0.3713318422885912</v>
      </c>
      <c r="D65" s="138">
        <f>D10+(5/0.017)*(D11*D50-D26*D51)</f>
        <v>0.028696807143008096</v>
      </c>
      <c r="E65" s="138">
        <f>E10+(5/0.017)*(E11*E50-E26*E51)</f>
        <v>-0.06248683166811414</v>
      </c>
      <c r="F65" s="138">
        <f>F10+(5/0.017)*(F11*F50-F26*F51)</f>
        <v>-0.810263239897459</v>
      </c>
    </row>
    <row r="66" spans="1:6" ht="12.75">
      <c r="A66" s="138" t="s">
        <v>151</v>
      </c>
      <c r="B66" s="138">
        <f>B11+(6/0.017)*(B12*B50-B27*B51)</f>
        <v>4.517521177358028</v>
      </c>
      <c r="C66" s="138">
        <f>C11+(6/0.017)*(C12*C50-C27*C51)</f>
        <v>5.322007361074752</v>
      </c>
      <c r="D66" s="138">
        <f>D11+(6/0.017)*(D12*D50-D27*D51)</f>
        <v>5.518221516531996</v>
      </c>
      <c r="E66" s="138">
        <f>E11+(6/0.017)*(E12*E50-E27*E51)</f>
        <v>5.3341390796628705</v>
      </c>
      <c r="F66" s="138">
        <f>F11+(6/0.017)*(F12*F50-F27*F51)</f>
        <v>15.05329937863498</v>
      </c>
    </row>
    <row r="67" spans="1:6" ht="12.75">
      <c r="A67" s="138" t="s">
        <v>152</v>
      </c>
      <c r="B67" s="138">
        <f>B12+(7/0.017)*(B13*B50-B28*B51)</f>
        <v>0.3116159918388391</v>
      </c>
      <c r="C67" s="138">
        <f>C12+(7/0.017)*(C13*C50-C28*C51)</f>
        <v>0.09402557626050881</v>
      </c>
      <c r="D67" s="138">
        <f>D12+(7/0.017)*(D13*D50-D28*D51)</f>
        <v>0.012399966984498911</v>
      </c>
      <c r="E67" s="138">
        <f>E12+(7/0.017)*(E13*E50-E28*E51)</f>
        <v>0.27753822148266594</v>
      </c>
      <c r="F67" s="138">
        <f>F12+(7/0.017)*(F13*F50-F28*F51)</f>
        <v>0.20007301230647812</v>
      </c>
    </row>
    <row r="68" spans="1:6" ht="12.75">
      <c r="A68" s="138" t="s">
        <v>153</v>
      </c>
      <c r="B68" s="138">
        <f>B13+(8/0.017)*(B14*B50-B29*B51)</f>
        <v>-0.23781793173011684</v>
      </c>
      <c r="C68" s="138">
        <f>C13+(8/0.017)*(C14*C50-C29*C51)</f>
        <v>-0.05433964660585472</v>
      </c>
      <c r="D68" s="138">
        <f>D13+(8/0.017)*(D14*D50-D29*D51)</f>
        <v>0.02761493857958538</v>
      </c>
      <c r="E68" s="138">
        <f>E13+(8/0.017)*(E14*E50-E29*E51)</f>
        <v>0.025909257989198506</v>
      </c>
      <c r="F68" s="138">
        <f>F13+(8/0.017)*(F14*F50-F29*F51)</f>
        <v>-0.2120180722057369</v>
      </c>
    </row>
    <row r="69" spans="1:6" ht="12.75">
      <c r="A69" s="138" t="s">
        <v>154</v>
      </c>
      <c r="B69" s="138">
        <f>B14+(9/0.017)*(B15*B50-B30*B51)</f>
        <v>-0.03238588788514889</v>
      </c>
      <c r="C69" s="138">
        <f>C14+(9/0.017)*(C15*C50-C30*C51)</f>
        <v>-0.036013497070996894</v>
      </c>
      <c r="D69" s="138">
        <f>D14+(9/0.017)*(D15*D50-D30*D51)</f>
        <v>-0.051827290996859246</v>
      </c>
      <c r="E69" s="138">
        <f>E14+(9/0.017)*(E15*E50-E30*E51)</f>
        <v>-0.06141182200301893</v>
      </c>
      <c r="F69" s="138">
        <f>F14+(9/0.017)*(F15*F50-F30*F51)</f>
        <v>-0.045729024430387843</v>
      </c>
    </row>
    <row r="70" spans="1:6" ht="12.75">
      <c r="A70" s="138" t="s">
        <v>155</v>
      </c>
      <c r="B70" s="138">
        <f>B15+(10/0.017)*(B16*B50-B31*B51)</f>
        <v>-0.3411878497222563</v>
      </c>
      <c r="C70" s="138">
        <f>C15+(10/0.017)*(C16*C50-C31*C51)</f>
        <v>-0.014323225227612472</v>
      </c>
      <c r="D70" s="138">
        <f>D15+(10/0.017)*(D16*D50-D31*D51)</f>
        <v>0.007827075268399087</v>
      </c>
      <c r="E70" s="138">
        <f>E15+(10/0.017)*(E16*E50-E31*E51)</f>
        <v>0.07958575871304464</v>
      </c>
      <c r="F70" s="138">
        <f>F15+(10/0.017)*(F16*F50-F31*F51)</f>
        <v>-0.3239469232332296</v>
      </c>
    </row>
    <row r="71" spans="1:6" ht="12.75">
      <c r="A71" s="138" t="s">
        <v>156</v>
      </c>
      <c r="B71" s="138">
        <f>B16+(11/0.017)*(B17*B50-B32*B51)</f>
        <v>0.15433617464267493</v>
      </c>
      <c r="C71" s="138">
        <f>C16+(11/0.017)*(C17*C50-C32*C51)</f>
        <v>0.15305586115781403</v>
      </c>
      <c r="D71" s="138">
        <f>D16+(11/0.017)*(D17*D50-D32*D51)</f>
        <v>0.10984086604653974</v>
      </c>
      <c r="E71" s="138">
        <f>E16+(11/0.017)*(E17*E50-E32*E51)</f>
        <v>0.0830220143550808</v>
      </c>
      <c r="F71" s="138">
        <f>F16+(11/0.017)*(F17*F50-F32*F51)</f>
        <v>0.05586092011921219</v>
      </c>
    </row>
    <row r="72" spans="1:6" ht="12.75">
      <c r="A72" s="138" t="s">
        <v>157</v>
      </c>
      <c r="B72" s="138">
        <f>B17+(12/0.017)*(B18*B50-B33*B51)</f>
        <v>-0.10760441792461803</v>
      </c>
      <c r="C72" s="138">
        <f>C17+(12/0.017)*(C18*C50-C33*C51)</f>
        <v>-0.08918878718191617</v>
      </c>
      <c r="D72" s="138">
        <f>D17+(12/0.017)*(D18*D50-D33*D51)</f>
        <v>-0.08086925834539618</v>
      </c>
      <c r="E72" s="138">
        <f>E17+(12/0.017)*(E18*E50-E33*E51)</f>
        <v>-0.114212083870052</v>
      </c>
      <c r="F72" s="138">
        <f>F17+(12/0.017)*(F18*F50-F33*F51)</f>
        <v>-0.11760753203200722</v>
      </c>
    </row>
    <row r="73" spans="1:6" ht="12.75">
      <c r="A73" s="138" t="s">
        <v>158</v>
      </c>
      <c r="B73" s="138">
        <f>B18+(13/0.017)*(B19*B50-B34*B51)</f>
        <v>-0.024455514265780375</v>
      </c>
      <c r="C73" s="138">
        <f>C18+(13/0.017)*(C19*C50-C34*C51)</f>
        <v>-0.028677950890145097</v>
      </c>
      <c r="D73" s="138">
        <f>D18+(13/0.017)*(D19*D50-D34*D51)</f>
        <v>-0.024713807592270556</v>
      </c>
      <c r="E73" s="138">
        <f>E18+(13/0.017)*(E19*E50-E34*E51)</f>
        <v>-0.03437696715398937</v>
      </c>
      <c r="F73" s="138">
        <f>F18+(13/0.017)*(F19*F50-F34*F51)</f>
        <v>-0.011146404615205042</v>
      </c>
    </row>
    <row r="74" spans="1:6" ht="12.75">
      <c r="A74" s="138" t="s">
        <v>159</v>
      </c>
      <c r="B74" s="138">
        <f>B19+(14/0.017)*(B20*B50-B35*B51)</f>
        <v>-0.18673799353714288</v>
      </c>
      <c r="C74" s="138">
        <f>C19+(14/0.017)*(C20*C50-C35*C51)</f>
        <v>-0.17695646718282035</v>
      </c>
      <c r="D74" s="138">
        <f>D19+(14/0.017)*(D20*D50-D35*D51)</f>
        <v>-0.17869787925675223</v>
      </c>
      <c r="E74" s="138">
        <f>E19+(14/0.017)*(E20*E50-E35*E51)</f>
        <v>-0.17565296967556568</v>
      </c>
      <c r="F74" s="138">
        <f>F19+(14/0.017)*(F20*F50-F35*F51)</f>
        <v>-0.14884963347184763</v>
      </c>
    </row>
    <row r="75" spans="1:6" ht="12.75">
      <c r="A75" s="138" t="s">
        <v>160</v>
      </c>
      <c r="B75" s="139">
        <f>B20</f>
        <v>-0.002507838</v>
      </c>
      <c r="C75" s="139">
        <f>C20</f>
        <v>-0.00125631</v>
      </c>
      <c r="D75" s="139">
        <f>D20</f>
        <v>-0.003277368</v>
      </c>
      <c r="E75" s="139">
        <f>E20</f>
        <v>-0.003473226</v>
      </c>
      <c r="F75" s="139">
        <f>F20</f>
        <v>-0.005749241</v>
      </c>
    </row>
    <row r="78" ht="12.75">
      <c r="A78" s="138" t="s">
        <v>142</v>
      </c>
    </row>
    <row r="80" spans="2:6" ht="12.75">
      <c r="B80" s="138" t="s">
        <v>72</v>
      </c>
      <c r="C80" s="138" t="s">
        <v>73</v>
      </c>
      <c r="D80" s="138" t="s">
        <v>74</v>
      </c>
      <c r="E80" s="138" t="s">
        <v>75</v>
      </c>
      <c r="F80" s="138" t="s">
        <v>76</v>
      </c>
    </row>
    <row r="81" spans="1:6" ht="12.75">
      <c r="A81" s="138" t="s">
        <v>161</v>
      </c>
      <c r="B81" s="138">
        <f>B21+(1/0.017)*(B7*B51+B22*B50)</f>
        <v>0</v>
      </c>
      <c r="C81" s="138">
        <f>C21+(1/0.017)*(C7*C51+C22*C50)</f>
        <v>0</v>
      </c>
      <c r="D81" s="138">
        <f>D21+(1/0.017)*(D7*D51+D22*D50)</f>
        <v>0</v>
      </c>
      <c r="E81" s="138">
        <f>E21+(1/0.017)*(E7*E51+E22*E50)</f>
        <v>0</v>
      </c>
      <c r="F81" s="138">
        <f>F21+(1/0.017)*(F7*F51+F22*F50)</f>
        <v>0</v>
      </c>
    </row>
    <row r="82" spans="1:6" ht="12.75">
      <c r="A82" s="138" t="s">
        <v>162</v>
      </c>
      <c r="B82" s="138">
        <f>B22+(2/0.017)*(B8*B51+B23*B50)</f>
        <v>71.79444274121289</v>
      </c>
      <c r="C82" s="138">
        <f>C22+(2/0.017)*(C8*C51+C23*C50)</f>
        <v>25.881210977928912</v>
      </c>
      <c r="D82" s="138">
        <f>D22+(2/0.017)*(D8*D51+D23*D50)</f>
        <v>-22.184387957072634</v>
      </c>
      <c r="E82" s="138">
        <f>E22+(2/0.017)*(E8*E51+E23*E50)</f>
        <v>-21.575595112778764</v>
      </c>
      <c r="F82" s="138">
        <f>F22+(2/0.017)*(F8*F51+F23*F50)</f>
        <v>-46.150041560217744</v>
      </c>
    </row>
    <row r="83" spans="1:6" ht="12.75">
      <c r="A83" s="138" t="s">
        <v>163</v>
      </c>
      <c r="B83" s="138">
        <f>B23+(3/0.017)*(B9*B51+B24*B50)</f>
        <v>-0.7802373749618867</v>
      </c>
      <c r="C83" s="138">
        <f>C23+(3/0.017)*(C9*C51+C24*C50)</f>
        <v>-2.2034538483820443</v>
      </c>
      <c r="D83" s="138">
        <f>D23+(3/0.017)*(D9*D51+D24*D50)</f>
        <v>-1.111678593731309</v>
      </c>
      <c r="E83" s="138">
        <f>E23+(3/0.017)*(E9*E51+E24*E50)</f>
        <v>-2.3380864829515904</v>
      </c>
      <c r="F83" s="138">
        <f>F23+(3/0.017)*(F9*F51+F24*F50)</f>
        <v>1.9093910687067368</v>
      </c>
    </row>
    <row r="84" spans="1:6" ht="12.75">
      <c r="A84" s="138" t="s">
        <v>164</v>
      </c>
      <c r="B84" s="138">
        <f>B24+(4/0.017)*(B10*B51+B25*B50)</f>
        <v>0.06245897393806965</v>
      </c>
      <c r="C84" s="138">
        <f>C24+(4/0.017)*(C10*C51+C25*C50)</f>
        <v>-0.24036067549848222</v>
      </c>
      <c r="D84" s="138">
        <f>D24+(4/0.017)*(D10*D51+D25*D50)</f>
        <v>-0.9590515474054895</v>
      </c>
      <c r="E84" s="138">
        <f>E24+(4/0.017)*(E10*E51+E25*E50)</f>
        <v>-1.6368664683841476</v>
      </c>
      <c r="F84" s="138">
        <f>F24+(4/0.017)*(F10*F51+F25*F50)</f>
        <v>-2.328108113392386</v>
      </c>
    </row>
    <row r="85" spans="1:6" ht="12.75">
      <c r="A85" s="138" t="s">
        <v>165</v>
      </c>
      <c r="B85" s="138">
        <f>B25+(5/0.017)*(B11*B51+B26*B50)</f>
        <v>-0.14847301653078704</v>
      </c>
      <c r="C85" s="138">
        <f>C25+(5/0.017)*(C11*C51+C26*C50)</f>
        <v>-0.4671489583217312</v>
      </c>
      <c r="D85" s="138">
        <f>D25+(5/0.017)*(D11*D51+D26*D50)</f>
        <v>-0.24277194861928475</v>
      </c>
      <c r="E85" s="138">
        <f>E25+(5/0.017)*(E11*E51+E26*E50)</f>
        <v>-0.6923931516289099</v>
      </c>
      <c r="F85" s="138">
        <f>F25+(5/0.017)*(F11*F51+F26*F50)</f>
        <v>-1.6571327707873262</v>
      </c>
    </row>
    <row r="86" spans="1:6" ht="12.75">
      <c r="A86" s="138" t="s">
        <v>166</v>
      </c>
      <c r="B86" s="138">
        <f>B26+(6/0.017)*(B12*B51+B27*B50)</f>
        <v>0.4001191595241893</v>
      </c>
      <c r="C86" s="138">
        <f>C26+(6/0.017)*(C12*C51+C27*C50)</f>
        <v>0.5994034580737352</v>
      </c>
      <c r="D86" s="138">
        <f>D26+(6/0.017)*(D12*D51+D27*D50)</f>
        <v>0.4365378955509408</v>
      </c>
      <c r="E86" s="138">
        <f>E26+(6/0.017)*(E12*E51+E27*E50)</f>
        <v>0.09085088196291503</v>
      </c>
      <c r="F86" s="138">
        <f>F26+(6/0.017)*(F12*F51+F27*F50)</f>
        <v>1.6868782886058407</v>
      </c>
    </row>
    <row r="87" spans="1:6" ht="12.75">
      <c r="A87" s="138" t="s">
        <v>167</v>
      </c>
      <c r="B87" s="138">
        <f>B27+(7/0.017)*(B13*B51+B28*B50)</f>
        <v>0.010587870110486244</v>
      </c>
      <c r="C87" s="138">
        <f>C27+(7/0.017)*(C13*C51+C28*C50)</f>
        <v>-0.03342179022466112</v>
      </c>
      <c r="D87" s="138">
        <f>D27+(7/0.017)*(D13*D51+D28*D50)</f>
        <v>0.058877715539494356</v>
      </c>
      <c r="E87" s="138">
        <f>E27+(7/0.017)*(E13*E51+E28*E50)</f>
        <v>-0.006964224637447419</v>
      </c>
      <c r="F87" s="138">
        <f>F27+(7/0.017)*(F13*F51+F28*F50)</f>
        <v>-0.11707940084015822</v>
      </c>
    </row>
    <row r="88" spans="1:6" ht="12.75">
      <c r="A88" s="138" t="s">
        <v>168</v>
      </c>
      <c r="B88" s="138">
        <f>B28+(8/0.017)*(B14*B51+B29*B50)</f>
        <v>0.18779956243678514</v>
      </c>
      <c r="C88" s="138">
        <f>C28+(8/0.017)*(C14*C51+C29*C50)</f>
        <v>0.011255900335547762</v>
      </c>
      <c r="D88" s="138">
        <f>D28+(8/0.017)*(D14*D51+D29*D50)</f>
        <v>-0.16436595940260462</v>
      </c>
      <c r="E88" s="138">
        <f>E28+(8/0.017)*(E14*E51+E29*E50)</f>
        <v>-0.2736257475772148</v>
      </c>
      <c r="F88" s="138">
        <f>F28+(8/0.017)*(F14*F51+F29*F50)</f>
        <v>0.1336150759992134</v>
      </c>
    </row>
    <row r="89" spans="1:6" ht="12.75">
      <c r="A89" s="138" t="s">
        <v>169</v>
      </c>
      <c r="B89" s="138">
        <f>B29+(9/0.017)*(B15*B51+B30*B50)</f>
        <v>-0.03929774615916393</v>
      </c>
      <c r="C89" s="138">
        <f>C29+(9/0.017)*(C15*C51+C30*C50)</f>
        <v>-0.017364493028736237</v>
      </c>
      <c r="D89" s="138">
        <f>D29+(9/0.017)*(D15*D51+D30*D50)</f>
        <v>-0.013695525672236825</v>
      </c>
      <c r="E89" s="138">
        <f>E29+(9/0.017)*(E15*E51+E30*E50)</f>
        <v>-0.053022474001606576</v>
      </c>
      <c r="F89" s="138">
        <f>F29+(9/0.017)*(F15*F51+F30*F50)</f>
        <v>-0.06118750768716785</v>
      </c>
    </row>
    <row r="90" spans="1:6" ht="12.75">
      <c r="A90" s="138" t="s">
        <v>170</v>
      </c>
      <c r="B90" s="138">
        <f>B30+(10/0.017)*(B16*B51+B31*B50)</f>
        <v>-0.08172272594330293</v>
      </c>
      <c r="C90" s="138">
        <f>C30+(10/0.017)*(C16*C51+C31*C50)</f>
        <v>-0.041967323647731064</v>
      </c>
      <c r="D90" s="138">
        <f>D30+(10/0.017)*(D16*D51+D31*D50)</f>
        <v>-0.045751400425739844</v>
      </c>
      <c r="E90" s="138">
        <f>E30+(10/0.017)*(E16*E51+E31*E50)</f>
        <v>-0.08555222389035429</v>
      </c>
      <c r="F90" s="138">
        <f>F30+(10/0.017)*(F16*F51+F31*F50)</f>
        <v>0.1004670454205169</v>
      </c>
    </row>
    <row r="91" spans="1:6" ht="12.75">
      <c r="A91" s="138" t="s">
        <v>171</v>
      </c>
      <c r="B91" s="138">
        <f>B31+(11/0.017)*(B17*B51+B32*B50)</f>
        <v>0.1367697118912521</v>
      </c>
      <c r="C91" s="138">
        <f>C31+(11/0.017)*(C17*C51+C32*C50)</f>
        <v>0.15476133835227257</v>
      </c>
      <c r="D91" s="138">
        <f>D31+(11/0.017)*(D17*D51+D32*D50)</f>
        <v>0.1262846990819159</v>
      </c>
      <c r="E91" s="138">
        <f>E31+(11/0.017)*(E17*E51+E32*E50)</f>
        <v>0.20217770254704165</v>
      </c>
      <c r="F91" s="138">
        <f>F31+(11/0.017)*(F17*F51+F32*F50)</f>
        <v>0.1580121362756213</v>
      </c>
    </row>
    <row r="92" spans="1:6" ht="12.75">
      <c r="A92" s="138" t="s">
        <v>172</v>
      </c>
      <c r="B92" s="138">
        <f>B32+(12/0.017)*(B18*B51+B33*B50)</f>
        <v>0.07301368142966755</v>
      </c>
      <c r="C92" s="138">
        <f>C32+(12/0.017)*(C18*C51+C33*C50)</f>
        <v>0.055357733932314426</v>
      </c>
      <c r="D92" s="138">
        <f>D32+(12/0.017)*(D18*D51+D33*D50)</f>
        <v>0.03253971743877648</v>
      </c>
      <c r="E92" s="138">
        <f>E32+(12/0.017)*(E18*E51+E33*E50)</f>
        <v>-0.0038265260348267216</v>
      </c>
      <c r="F92" s="138">
        <f>F32+(12/0.017)*(F18*F51+F33*F50)</f>
        <v>0.02271118695583843</v>
      </c>
    </row>
    <row r="93" spans="1:6" ht="12.75">
      <c r="A93" s="138" t="s">
        <v>173</v>
      </c>
      <c r="B93" s="138">
        <f>B33+(13/0.017)*(B19*B51+B34*B50)</f>
        <v>-0.1106539764363369</v>
      </c>
      <c r="C93" s="138">
        <f>C33+(13/0.017)*(C19*C51+C34*C50)</f>
        <v>-0.09899223285659853</v>
      </c>
      <c r="D93" s="138">
        <f>D33+(13/0.017)*(D19*D51+D34*D50)</f>
        <v>-0.0977925734890735</v>
      </c>
      <c r="E93" s="138">
        <f>E33+(13/0.017)*(E19*E51+E34*E50)</f>
        <v>-0.09928761625634008</v>
      </c>
      <c r="F93" s="138">
        <f>F33+(13/0.017)*(F19*F51+F34*F50)</f>
        <v>-0.09357522484731473</v>
      </c>
    </row>
    <row r="94" spans="1:6" ht="12.75">
      <c r="A94" s="138" t="s">
        <v>174</v>
      </c>
      <c r="B94" s="138">
        <f>B34+(14/0.017)*(B20*B51+B35*B50)</f>
        <v>-0.017697927128529037</v>
      </c>
      <c r="C94" s="138">
        <f>C34+(14/0.017)*(C20*C51+C35*C50)</f>
        <v>-0.0012003872496339808</v>
      </c>
      <c r="D94" s="138">
        <f>D34+(14/0.017)*(D20*D51+D35*D50)</f>
        <v>0.0026176945302429974</v>
      </c>
      <c r="E94" s="138">
        <f>E34+(14/0.017)*(E20*E51+E35*E50)</f>
        <v>-0.0027507650884345423</v>
      </c>
      <c r="F94" s="138">
        <f>F34+(14/0.017)*(F20*F51+F35*F50)</f>
        <v>-0.02751197586197241</v>
      </c>
    </row>
    <row r="95" spans="1:6" ht="12.75">
      <c r="A95" s="138" t="s">
        <v>175</v>
      </c>
      <c r="B95" s="139">
        <f>B35</f>
        <v>-0.002744998</v>
      </c>
      <c r="C95" s="139">
        <f>C35</f>
        <v>-0.002631541</v>
      </c>
      <c r="D95" s="139">
        <f>D35</f>
        <v>-0.003870598</v>
      </c>
      <c r="E95" s="139">
        <f>E35</f>
        <v>-0.006905126</v>
      </c>
      <c r="F95" s="139">
        <f>F35</f>
        <v>0.004575374</v>
      </c>
    </row>
    <row r="98" ht="12.75">
      <c r="A98" s="138" t="s">
        <v>143</v>
      </c>
    </row>
    <row r="100" spans="2:11" ht="12.75">
      <c r="B100" s="138" t="s">
        <v>72</v>
      </c>
      <c r="C100" s="138" t="s">
        <v>73</v>
      </c>
      <c r="D100" s="138" t="s">
        <v>74</v>
      </c>
      <c r="E100" s="138" t="s">
        <v>75</v>
      </c>
      <c r="F100" s="138" t="s">
        <v>76</v>
      </c>
      <c r="G100" s="138" t="s">
        <v>145</v>
      </c>
      <c r="H100" s="138" t="s">
        <v>146</v>
      </c>
      <c r="I100" s="138" t="s">
        <v>180</v>
      </c>
      <c r="K100" s="138" t="s">
        <v>176</v>
      </c>
    </row>
    <row r="101" spans="1:9" ht="12.75">
      <c r="A101" s="138" t="s">
        <v>144</v>
      </c>
      <c r="B101" s="138">
        <f>B61*10000/B62</f>
        <v>0</v>
      </c>
      <c r="C101" s="138">
        <f>C61*10000/C62</f>
        <v>0</v>
      </c>
      <c r="D101" s="138">
        <f>D61*10000/D62</f>
        <v>0</v>
      </c>
      <c r="E101" s="138">
        <f>E61*10000/E62</f>
        <v>0</v>
      </c>
      <c r="F101" s="138">
        <f>F61*10000/F62</f>
        <v>0</v>
      </c>
      <c r="G101" s="138">
        <f>AVERAGE(C101:E101)</f>
        <v>0</v>
      </c>
      <c r="H101" s="138">
        <f>STDEV(C101:E101)</f>
        <v>0</v>
      </c>
      <c r="I101" s="138">
        <f>(B101*B4+C101*C4+D101*D4+E101*E4+F101*F4)/SUM(B4:F4)</f>
        <v>0</v>
      </c>
    </row>
    <row r="102" spans="1:9" ht="12.75">
      <c r="A102" s="138" t="s">
        <v>147</v>
      </c>
      <c r="B102" s="138">
        <f>B62*10000/B62</f>
        <v>10000</v>
      </c>
      <c r="C102" s="138">
        <f>C62*10000/C62</f>
        <v>10000</v>
      </c>
      <c r="D102" s="138">
        <f>D62*10000/D62</f>
        <v>10000</v>
      </c>
      <c r="E102" s="138">
        <f>E62*10000/E62</f>
        <v>10000</v>
      </c>
      <c r="F102" s="138">
        <f>F62*10000/F62</f>
        <v>10000</v>
      </c>
      <c r="G102" s="138">
        <f>AVERAGE(C102:E102)</f>
        <v>10000</v>
      </c>
      <c r="H102" s="138">
        <f>STDEV(C102:E102)</f>
        <v>0</v>
      </c>
      <c r="I102" s="138">
        <f>(B102*B4+C102*C4+D102*D4+E102*E4+F102*F4)/SUM(B4:F4)</f>
        <v>10000.000000000002</v>
      </c>
    </row>
    <row r="103" spans="1:11" ht="12.75">
      <c r="A103" s="138" t="s">
        <v>148</v>
      </c>
      <c r="B103" s="138">
        <f>B63*10000/B62</f>
        <v>0.29982447330961637</v>
      </c>
      <c r="C103" s="138">
        <f>C63*10000/C62</f>
        <v>-1.596756025165192</v>
      </c>
      <c r="D103" s="138">
        <f>D63*10000/D62</f>
        <v>0.19787533796268075</v>
      </c>
      <c r="E103" s="138">
        <f>E63*10000/E62</f>
        <v>1.146668231012364</v>
      </c>
      <c r="F103" s="138">
        <f>F63*10000/F62</f>
        <v>0.11203937516216943</v>
      </c>
      <c r="G103" s="138">
        <f>AVERAGE(C103:E103)</f>
        <v>-0.08407081873004911</v>
      </c>
      <c r="H103" s="138">
        <f>STDEV(C103:E103)</f>
        <v>1.393274699691771</v>
      </c>
      <c r="I103" s="138">
        <f>(B103*B4+C103*C4+D103*D4+E103*E4+F103*F4)/SUM(B4:F4)</f>
        <v>-0.0024553993341181715</v>
      </c>
      <c r="K103" s="138">
        <f>(LN(H103)+LN(H123))/2-LN(K114*K115^3)</f>
        <v>-3.9110733104051865</v>
      </c>
    </row>
    <row r="104" spans="1:11" ht="12.75">
      <c r="A104" s="138" t="s">
        <v>149</v>
      </c>
      <c r="B104" s="138">
        <f>B64*10000/B62</f>
        <v>0.9701207365562782</v>
      </c>
      <c r="C104" s="138">
        <f>C64*10000/C62</f>
        <v>0.8285539921724793</v>
      </c>
      <c r="D104" s="138">
        <f>D64*10000/D62</f>
        <v>0.7779890841007817</v>
      </c>
      <c r="E104" s="138">
        <f>E64*10000/E62</f>
        <v>0.7080537425629795</v>
      </c>
      <c r="F104" s="138">
        <f>F64*10000/F62</f>
        <v>1.846039084498972</v>
      </c>
      <c r="G104" s="138">
        <f>AVERAGE(C104:E104)</f>
        <v>0.7715322729454135</v>
      </c>
      <c r="H104" s="138">
        <f>STDEV(C104:E104)</f>
        <v>0.0605090517750024</v>
      </c>
      <c r="I104" s="138">
        <f>(B104*B4+C104*C4+D104*D4+E104*E4+F104*F4)/SUM(B4:F4)</f>
        <v>0.9440633300197134</v>
      </c>
      <c r="K104" s="138">
        <f>(LN(H104)+LN(H124))/2-LN(K114*K115^4)</f>
        <v>-4.869259266048943</v>
      </c>
    </row>
    <row r="105" spans="1:11" ht="12.75">
      <c r="A105" s="138" t="s">
        <v>150</v>
      </c>
      <c r="B105" s="138">
        <f>B65*10000/B62</f>
        <v>0.013219240798837765</v>
      </c>
      <c r="C105" s="138">
        <f>C65*10000/C62</f>
        <v>0.37131819325907583</v>
      </c>
      <c r="D105" s="138">
        <f>D65*10000/D62</f>
        <v>0.028696256362666598</v>
      </c>
      <c r="E105" s="138">
        <f>E65*10000/E62</f>
        <v>-0.06248382500510363</v>
      </c>
      <c r="F105" s="138">
        <f>F65*10000/F62</f>
        <v>-0.8103455980775378</v>
      </c>
      <c r="G105" s="138">
        <f>AVERAGE(C105:E105)</f>
        <v>0.11251020820554626</v>
      </c>
      <c r="H105" s="138">
        <f>STDEV(C105:E105)</f>
        <v>0.22872392016393758</v>
      </c>
      <c r="I105" s="138">
        <f>(B105*B4+C105*C4+D105*D4+E105*E4+F105*F4)/SUM(B4:F4)</f>
        <v>-0.02539449350618822</v>
      </c>
      <c r="K105" s="138">
        <f>(LN(H105)+LN(H125))/2-LN(K114*K115^5)</f>
        <v>-4.179824664406107</v>
      </c>
    </row>
    <row r="106" spans="1:11" ht="12.75">
      <c r="A106" s="138" t="s">
        <v>151</v>
      </c>
      <c r="B106" s="138">
        <f>B66*10000/B62</f>
        <v>4.517416704832046</v>
      </c>
      <c r="C106" s="138">
        <f>C66*10000/C62</f>
        <v>5.321811740265331</v>
      </c>
      <c r="D106" s="138">
        <f>D66*10000/D62</f>
        <v>5.518115604821464</v>
      </c>
      <c r="E106" s="138">
        <f>E66*10000/E62</f>
        <v>5.333882418247408</v>
      </c>
      <c r="F106" s="138">
        <f>F66*10000/F62</f>
        <v>15.05482945217153</v>
      </c>
      <c r="G106" s="138">
        <f>AVERAGE(C106:E106)</f>
        <v>5.391269921111402</v>
      </c>
      <c r="H106" s="138">
        <f>STDEV(C106:E106)</f>
        <v>0.11001725284534278</v>
      </c>
      <c r="I106" s="138">
        <f>(B106*B4+C106*C4+D106*D4+E106*E4+F106*F4)/SUM(B4:F4)</f>
        <v>6.5594103577350396</v>
      </c>
      <c r="K106" s="138">
        <f>(LN(H106)+LN(H126))/2-LN(K114*K115^6)</f>
        <v>-3.8823093303558904</v>
      </c>
    </row>
    <row r="107" spans="1:11" ht="12.75">
      <c r="A107" s="138" t="s">
        <v>152</v>
      </c>
      <c r="B107" s="138">
        <f>B67*10000/B62</f>
        <v>0.31160878538456344</v>
      </c>
      <c r="C107" s="138">
        <f>C67*10000/C62</f>
        <v>0.09402212016620333</v>
      </c>
      <c r="D107" s="138">
        <f>D67*10000/D62</f>
        <v>0.012399728990842815</v>
      </c>
      <c r="E107" s="138">
        <f>E67*10000/E62</f>
        <v>0.2775248672465452</v>
      </c>
      <c r="F107" s="138">
        <f>F67*10000/F62</f>
        <v>0.20009334847423826</v>
      </c>
      <c r="G107" s="138">
        <f>AVERAGE(C107:E107)</f>
        <v>0.1279822388011971</v>
      </c>
      <c r="H107" s="138">
        <f>STDEV(C107:E107)</f>
        <v>0.13578586810509205</v>
      </c>
      <c r="I107" s="138">
        <f>(B107*B4+C107*C4+D107*D4+E107*E4+F107*F4)/SUM(B4:F4)</f>
        <v>0.1641157562588756</v>
      </c>
      <c r="K107" s="138">
        <f>(LN(H107)+LN(H127))/2-LN(K114*K115^7)</f>
        <v>-4.034851156988161</v>
      </c>
    </row>
    <row r="108" spans="1:9" ht="12.75">
      <c r="A108" s="138" t="s">
        <v>153</v>
      </c>
      <c r="B108" s="138">
        <f>B68*10000/B62</f>
        <v>-0.2378124319351903</v>
      </c>
      <c r="C108" s="138">
        <f>C68*10000/C62</f>
        <v>-0.05433764924566119</v>
      </c>
      <c r="D108" s="138">
        <f>D68*10000/D62</f>
        <v>0.0276144085636423</v>
      </c>
      <c r="E108" s="138">
        <f>E68*10000/E62</f>
        <v>0.025908011320011633</v>
      </c>
      <c r="F108" s="138">
        <f>F68*10000/F62</f>
        <v>-0.21203962251397118</v>
      </c>
      <c r="G108" s="138">
        <f>AVERAGE(C108:E108)</f>
        <v>-0.0002717431206690849</v>
      </c>
      <c r="H108" s="138">
        <f>STDEV(C108:E108)</f>
        <v>0.04683022103007428</v>
      </c>
      <c r="I108" s="138">
        <f>(B108*B4+C108*C4+D108*D4+E108*E4+F108*F4)/SUM(B4:F4)</f>
        <v>-0.06288169512657582</v>
      </c>
    </row>
    <row r="109" spans="1:9" ht="12.75">
      <c r="A109" s="138" t="s">
        <v>154</v>
      </c>
      <c r="B109" s="138">
        <f>B69*10000/B62</f>
        <v>-0.032385138926731054</v>
      </c>
      <c r="C109" s="138">
        <f>C69*10000/C62</f>
        <v>-0.03601217332434096</v>
      </c>
      <c r="D109" s="138">
        <f>D69*10000/D62</f>
        <v>-0.05182629627110833</v>
      </c>
      <c r="E109" s="138">
        <f>E69*10000/E62</f>
        <v>-0.06140886706597547</v>
      </c>
      <c r="F109" s="138">
        <f>F69*10000/F62</f>
        <v>-0.045733672499118375</v>
      </c>
      <c r="G109" s="138">
        <f>AVERAGE(C109:E109)</f>
        <v>-0.04974911222047492</v>
      </c>
      <c r="H109" s="138">
        <f>STDEV(C109:E109)</f>
        <v>0.01282513288183592</v>
      </c>
      <c r="I109" s="138">
        <f>(B109*B4+C109*C4+D109*D4+E109*E4+F109*F4)/SUM(B4:F4)</f>
        <v>-0.046707719080747404</v>
      </c>
    </row>
    <row r="110" spans="1:11" ht="12.75">
      <c r="A110" s="138" t="s">
        <v>155</v>
      </c>
      <c r="B110" s="138">
        <f>B70*10000/B62</f>
        <v>-0.341179959387027</v>
      </c>
      <c r="C110" s="138">
        <f>C70*10000/C62</f>
        <v>-0.014322698749401818</v>
      </c>
      <c r="D110" s="138">
        <f>D70*10000/D62</f>
        <v>0.007826925042655582</v>
      </c>
      <c r="E110" s="138">
        <f>E70*10000/E62</f>
        <v>0.07958192930530388</v>
      </c>
      <c r="F110" s="138">
        <f>F70*10000/F62</f>
        <v>-0.32397985040766614</v>
      </c>
      <c r="G110" s="138">
        <f>AVERAGE(C110:E110)</f>
        <v>0.02436205186618588</v>
      </c>
      <c r="H110" s="138">
        <f>STDEV(C110:E110)</f>
        <v>0.04908744856708106</v>
      </c>
      <c r="I110" s="138">
        <f>(B110*B4+C110*C4+D110*D4+E110*E4+F110*F4)/SUM(B4:F4)</f>
        <v>-0.07499385479009611</v>
      </c>
      <c r="K110" s="138">
        <f>EXP(AVERAGE(K103:K107))</f>
        <v>0.015368066203565968</v>
      </c>
    </row>
    <row r="111" spans="1:9" ht="12.75">
      <c r="A111" s="138" t="s">
        <v>156</v>
      </c>
      <c r="B111" s="138">
        <f>B71*10000/B62</f>
        <v>0.15433260545298386</v>
      </c>
      <c r="C111" s="138">
        <f>C71*10000/C62</f>
        <v>0.15305023528971295</v>
      </c>
      <c r="D111" s="138">
        <f>D71*10000/D62</f>
        <v>0.1098387578611444</v>
      </c>
      <c r="E111" s="138">
        <f>E71*10000/E62</f>
        <v>0.08301801960589997</v>
      </c>
      <c r="F111" s="138">
        <f>F71*10000/F62</f>
        <v>0.05586659803163868</v>
      </c>
      <c r="G111" s="138">
        <f>AVERAGE(C111:E111)</f>
        <v>0.11530233758558577</v>
      </c>
      <c r="H111" s="138">
        <f>STDEV(C111:E111)</f>
        <v>0.03533434357604548</v>
      </c>
      <c r="I111" s="138">
        <f>(B111*B4+C111*C4+D111*D4+E111*E4+F111*F4)/SUM(B4:F4)</f>
        <v>0.11297037040443561</v>
      </c>
    </row>
    <row r="112" spans="1:9" ht="12.75">
      <c r="A112" s="138" t="s">
        <v>157</v>
      </c>
      <c r="B112" s="138">
        <f>B72*10000/B62</f>
        <v>-0.1076019294569593</v>
      </c>
      <c r="C112" s="138">
        <f>C72*10000/C62</f>
        <v>-0.08918550887327131</v>
      </c>
      <c r="D112" s="138">
        <f>D72*10000/D62</f>
        <v>-0.0808677062146136</v>
      </c>
      <c r="E112" s="138">
        <f>E72*10000/E62</f>
        <v>-0.11420658835621719</v>
      </c>
      <c r="F112" s="138">
        <f>F72*10000/F62</f>
        <v>-0.11761948610054296</v>
      </c>
      <c r="G112" s="138">
        <f>AVERAGE(C112:E112)</f>
        <v>-0.09475326781470068</v>
      </c>
      <c r="H112" s="138">
        <f>STDEV(C112:E112)</f>
        <v>0.01735281591947943</v>
      </c>
      <c r="I112" s="138">
        <f>(B112*B4+C112*C4+D112*D4+E112*E4+F112*F4)/SUM(B4:F4)</f>
        <v>-0.09966809971105002</v>
      </c>
    </row>
    <row r="113" spans="1:9" ht="12.75">
      <c r="A113" s="138" t="s">
        <v>158</v>
      </c>
      <c r="B113" s="138">
        <f>B73*10000/B62</f>
        <v>-0.02445494870576433</v>
      </c>
      <c r="C113" s="138">
        <f>C73*10000/C62</f>
        <v>-0.02867689677586358</v>
      </c>
      <c r="D113" s="138">
        <f>D73*10000/D62</f>
        <v>-0.024713333257989478</v>
      </c>
      <c r="E113" s="138">
        <f>E73*10000/E62</f>
        <v>-0.034375313046191035</v>
      </c>
      <c r="F113" s="138">
        <f>F73*10000/F62</f>
        <v>-0.011147537577375024</v>
      </c>
      <c r="G113" s="138">
        <f>AVERAGE(C113:E113)</f>
        <v>-0.02925518102668136</v>
      </c>
      <c r="H113" s="138">
        <f>STDEV(C113:E113)</f>
        <v>0.004856878921999384</v>
      </c>
      <c r="I113" s="138">
        <f>(B113*B4+C113*C4+D113*D4+E113*E4+F113*F4)/SUM(B4:F4)</f>
        <v>-0.026138088245379842</v>
      </c>
    </row>
    <row r="114" spans="1:11" ht="12.75">
      <c r="A114" s="138" t="s">
        <v>159</v>
      </c>
      <c r="B114" s="138">
        <f>B74*10000/B62</f>
        <v>-0.18673367502061228</v>
      </c>
      <c r="C114" s="138">
        <f>C74*10000/C62</f>
        <v>-0.17694996280110983</v>
      </c>
      <c r="D114" s="138">
        <f>D74*10000/D62</f>
        <v>-0.1786944494926509</v>
      </c>
      <c r="E114" s="138">
        <f>E74*10000/E62</f>
        <v>-0.1756445178262318</v>
      </c>
      <c r="F114" s="138">
        <f>F74*10000/F62</f>
        <v>-0.14886476310418748</v>
      </c>
      <c r="G114" s="138">
        <f>AVERAGE(C114:E114)</f>
        <v>-0.1770963100399975</v>
      </c>
      <c r="H114" s="138">
        <f>STDEV(C114:E114)</f>
        <v>0.0015302234896250894</v>
      </c>
      <c r="I114" s="138">
        <f>(B114*B4+C114*C4+D114*D4+E114*E4+F114*F4)/SUM(B4:F4)</f>
        <v>-0.17470513451743627</v>
      </c>
      <c r="J114" s="138" t="s">
        <v>177</v>
      </c>
      <c r="K114" s="138">
        <v>285</v>
      </c>
    </row>
    <row r="115" spans="1:11" ht="12.75">
      <c r="A115" s="138" t="s">
        <v>160</v>
      </c>
      <c r="B115" s="138">
        <f>B75*10000/B62</f>
        <v>-0.0025077800035545315</v>
      </c>
      <c r="C115" s="138">
        <f>C75*10000/C62</f>
        <v>-0.0012562638218641183</v>
      </c>
      <c r="D115" s="138">
        <f>D75*10000/D62</f>
        <v>-0.0032773050971879464</v>
      </c>
      <c r="E115" s="138">
        <f>E75*10000/E62</f>
        <v>-0.003473058879666602</v>
      </c>
      <c r="F115" s="138">
        <f>F75*10000/F62</f>
        <v>-0.005749825374314766</v>
      </c>
      <c r="G115" s="138">
        <f>AVERAGE(C115:E115)</f>
        <v>-0.002668875932906222</v>
      </c>
      <c r="H115" s="138">
        <f>STDEV(C115:E115)</f>
        <v>0.0012272671339344978</v>
      </c>
      <c r="I115" s="138">
        <f>(B115*B4+C115*C4+D115*D4+E115*E4+F115*F4)/SUM(B4:F4)</f>
        <v>-0.0030582470142053995</v>
      </c>
      <c r="J115" s="138" t="s">
        <v>178</v>
      </c>
      <c r="K115" s="138">
        <v>0.5536</v>
      </c>
    </row>
    <row r="118" ht="12.75">
      <c r="A118" s="138" t="s">
        <v>143</v>
      </c>
    </row>
    <row r="120" spans="2:9" ht="12.75">
      <c r="B120" s="138" t="s">
        <v>72</v>
      </c>
      <c r="C120" s="138" t="s">
        <v>73</v>
      </c>
      <c r="D120" s="138" t="s">
        <v>74</v>
      </c>
      <c r="E120" s="138" t="s">
        <v>75</v>
      </c>
      <c r="F120" s="138" t="s">
        <v>76</v>
      </c>
      <c r="G120" s="138" t="s">
        <v>145</v>
      </c>
      <c r="H120" s="138" t="s">
        <v>146</v>
      </c>
      <c r="I120" s="138" t="s">
        <v>180</v>
      </c>
    </row>
    <row r="121" spans="1:9" ht="12.75">
      <c r="A121" s="138" t="s">
        <v>161</v>
      </c>
      <c r="B121" s="138">
        <f>B81*10000/B62</f>
        <v>0</v>
      </c>
      <c r="C121" s="138">
        <f>C81*10000/C62</f>
        <v>0</v>
      </c>
      <c r="D121" s="138">
        <f>D81*10000/D62</f>
        <v>0</v>
      </c>
      <c r="E121" s="138">
        <f>E81*10000/E62</f>
        <v>0</v>
      </c>
      <c r="F121" s="138">
        <f>F81*10000/F62</f>
        <v>0</v>
      </c>
      <c r="G121" s="138">
        <f>AVERAGE(C121:E121)</f>
        <v>0</v>
      </c>
      <c r="H121" s="138">
        <f>STDEV(C121:E121)</f>
        <v>0</v>
      </c>
      <c r="I121" s="138">
        <f>(B121*B4+C121*C4+D121*D4+E121*E4+F121*F4)/SUM(B4:F4)</f>
        <v>0</v>
      </c>
    </row>
    <row r="122" spans="1:9" ht="12.75">
      <c r="A122" s="138" t="s">
        <v>162</v>
      </c>
      <c r="B122" s="138">
        <f>B82*10000/B62</f>
        <v>71.79278241766593</v>
      </c>
      <c r="C122" s="138">
        <f>C82*10000/C62</f>
        <v>25.880259663303285</v>
      </c>
      <c r="D122" s="138">
        <f>D82*10000/D62</f>
        <v>-22.18396217016491</v>
      </c>
      <c r="E122" s="138">
        <f>E82*10000/E62</f>
        <v>-21.574556965347963</v>
      </c>
      <c r="F122" s="138">
        <f>F82*10000/F62</f>
        <v>-46.15473242270083</v>
      </c>
      <c r="G122" s="138">
        <f>AVERAGE(C122:E122)</f>
        <v>-5.959419824069863</v>
      </c>
      <c r="H122" s="138">
        <f>STDEV(C122:E122)</f>
        <v>27.5756547713722</v>
      </c>
      <c r="I122" s="138">
        <f>(B122*B4+C122*C4+D122*D4+E122*E4+F122*F4)/SUM(B4:F4)</f>
        <v>-0.13154629712956908</v>
      </c>
    </row>
    <row r="123" spans="1:9" ht="12.75">
      <c r="A123" s="138" t="s">
        <v>163</v>
      </c>
      <c r="B123" s="138">
        <f>B83*10000/B62</f>
        <v>-0.7802193311351445</v>
      </c>
      <c r="C123" s="138">
        <f>C83*10000/C62</f>
        <v>-2.2033728561180173</v>
      </c>
      <c r="D123" s="138">
        <f>D83*10000/D62</f>
        <v>-1.11165725718636</v>
      </c>
      <c r="E123" s="138">
        <f>E83*10000/E62</f>
        <v>-2.3379739818380596</v>
      </c>
      <c r="F123" s="138">
        <f>F83*10000/F62</f>
        <v>1.9095851463419227</v>
      </c>
      <c r="G123" s="138">
        <f>AVERAGE(C123:E123)</f>
        <v>-1.8843346983808125</v>
      </c>
      <c r="H123" s="138">
        <f>STDEV(C123:E123)</f>
        <v>0.6725341529315667</v>
      </c>
      <c r="I123" s="138">
        <f>(B123*B4+C123*C4+D123*D4+E123*E4+F123*F4)/SUM(B4:F4)</f>
        <v>-1.217056852761115</v>
      </c>
    </row>
    <row r="124" spans="1:9" ht="12.75">
      <c r="A124" s="138" t="s">
        <v>164</v>
      </c>
      <c r="B124" s="138">
        <f>B84*10000/B62</f>
        <v>0.06245752950725873</v>
      </c>
      <c r="C124" s="138">
        <f>C84*10000/C62</f>
        <v>-0.24035184057084985</v>
      </c>
      <c r="D124" s="138">
        <f>D84*10000/D62</f>
        <v>-0.9590331402448544</v>
      </c>
      <c r="E124" s="138">
        <f>E84*10000/E62</f>
        <v>-1.6367877076959794</v>
      </c>
      <c r="F124" s="138">
        <f>F84*10000/F62</f>
        <v>-2.3283447509908903</v>
      </c>
      <c r="G124" s="138">
        <f>AVERAGE(C124:E124)</f>
        <v>-0.9453908961705612</v>
      </c>
      <c r="H124" s="138">
        <f>STDEV(C124:E124)</f>
        <v>0.6983178831061934</v>
      </c>
      <c r="I124" s="138">
        <f>(B124*B4+C124*C4+D124*D4+E124*E4+F124*F4)/SUM(B4:F4)</f>
        <v>-0.9852772721017705</v>
      </c>
    </row>
    <row r="125" spans="1:9" ht="12.75">
      <c r="A125" s="138" t="s">
        <v>165</v>
      </c>
      <c r="B125" s="138">
        <f>B85*10000/B62</f>
        <v>-0.1484695829329204</v>
      </c>
      <c r="C125" s="138">
        <f>C85*10000/C62</f>
        <v>-0.4671317873463554</v>
      </c>
      <c r="D125" s="138">
        <f>D85*10000/D62</f>
        <v>-0.24276728907593903</v>
      </c>
      <c r="E125" s="138">
        <f>E85*10000/E62</f>
        <v>-0.69235983592347</v>
      </c>
      <c r="F125" s="138">
        <f>F85*10000/F62</f>
        <v>-1.6573012079475362</v>
      </c>
      <c r="G125" s="138">
        <f>AVERAGE(C125:E125)</f>
        <v>-0.46741963744858817</v>
      </c>
      <c r="H125" s="138">
        <f>STDEV(C125:E125)</f>
        <v>0.22479641164501107</v>
      </c>
      <c r="I125" s="138">
        <f>(B125*B4+C125*C4+D125*D4+E125*E4+F125*F4)/SUM(B4:F4)</f>
        <v>-0.580779626227759</v>
      </c>
    </row>
    <row r="126" spans="1:9" ht="12.75">
      <c r="A126" s="138" t="s">
        <v>166</v>
      </c>
      <c r="B126" s="138">
        <f>B86*10000/B62</f>
        <v>0.40010990633916854</v>
      </c>
      <c r="C126" s="138">
        <f>C86*10000/C62</f>
        <v>0.5993814258250585</v>
      </c>
      <c r="D126" s="138">
        <f>D86*10000/D62</f>
        <v>0.4365295170407466</v>
      </c>
      <c r="E126" s="138">
        <f>E86*10000/E62</f>
        <v>0.0908465105140997</v>
      </c>
      <c r="F126" s="138">
        <f>F86*10000/F62</f>
        <v>1.6870497492115093</v>
      </c>
      <c r="G126" s="138">
        <f>AVERAGE(C126:E126)</f>
        <v>0.3755858177933016</v>
      </c>
      <c r="H126" s="138">
        <f>STDEV(C126:E126)</f>
        <v>0.2596873906855188</v>
      </c>
      <c r="I126" s="138">
        <f>(B126*B4+C126*C4+D126*D4+E126*E4+F126*F4)/SUM(B4:F4)</f>
        <v>0.5547523252260764</v>
      </c>
    </row>
    <row r="127" spans="1:9" ht="12.75">
      <c r="A127" s="138" t="s">
        <v>167</v>
      </c>
      <c r="B127" s="138">
        <f>B87*10000/B62</f>
        <v>0.010587625254625742</v>
      </c>
      <c r="C127" s="138">
        <f>C87*10000/C62</f>
        <v>-0.033420561741268964</v>
      </c>
      <c r="D127" s="138">
        <f>D87*10000/D62</f>
        <v>0.05887658549432557</v>
      </c>
      <c r="E127" s="138">
        <f>E87*10000/E62</f>
        <v>-0.006963889541619142</v>
      </c>
      <c r="F127" s="138">
        <f>F87*10000/F62</f>
        <v>-0.11709130122746832</v>
      </c>
      <c r="G127" s="138">
        <f>AVERAGE(C127:E127)</f>
        <v>0.0061640447371458205</v>
      </c>
      <c r="H127" s="138">
        <f>STDEV(C127:E127)</f>
        <v>0.04752838983994654</v>
      </c>
      <c r="I127" s="138">
        <f>(B127*B4+C127*C4+D127*D4+E127*E4+F127*F4)/SUM(B4:F4)</f>
        <v>-0.009704417891535666</v>
      </c>
    </row>
    <row r="128" spans="1:9" ht="12.75">
      <c r="A128" s="138" t="s">
        <v>168</v>
      </c>
      <c r="B128" s="138">
        <f>B88*10000/B62</f>
        <v>0.18779521937033433</v>
      </c>
      <c r="C128" s="138">
        <f>C88*10000/C62</f>
        <v>0.011255486602874166</v>
      </c>
      <c r="D128" s="138">
        <f>D88*10000/D62</f>
        <v>-0.1643628047123006</v>
      </c>
      <c r="E128" s="138">
        <f>E88*10000/E62</f>
        <v>-0.2736125815966074</v>
      </c>
      <c r="F128" s="138">
        <f>F88*10000/F62</f>
        <v>0.13362865713426747</v>
      </c>
      <c r="G128" s="138">
        <f>AVERAGE(C128:E128)</f>
        <v>-0.14223996656867796</v>
      </c>
      <c r="H128" s="138">
        <f>STDEV(C128:E128)</f>
        <v>0.1437168015423834</v>
      </c>
      <c r="I128" s="138">
        <f>(B128*B4+C128*C4+D128*D4+E128*E4+F128*F4)/SUM(B4:F4)</f>
        <v>-0.057709237585553734</v>
      </c>
    </row>
    <row r="129" spans="1:9" ht="12.75">
      <c r="A129" s="138" t="s">
        <v>169</v>
      </c>
      <c r="B129" s="138">
        <f>B89*10000/B62</f>
        <v>-0.03929683735660485</v>
      </c>
      <c r="C129" s="138">
        <f>C89*10000/C62</f>
        <v>-0.017363854762767965</v>
      </c>
      <c r="D129" s="138">
        <f>D89*10000/D62</f>
        <v>-0.013695262812808976</v>
      </c>
      <c r="E129" s="138">
        <f>E89*10000/E62</f>
        <v>-0.053019922732690385</v>
      </c>
      <c r="F129" s="138">
        <f>F89*10000/F62</f>
        <v>-0.06119372701383669</v>
      </c>
      <c r="G129" s="138">
        <f>AVERAGE(C129:E129)</f>
        <v>-0.02802634676942244</v>
      </c>
      <c r="H129" s="138">
        <f>STDEV(C129:E129)</f>
        <v>0.02172265571465791</v>
      </c>
      <c r="I129" s="138">
        <f>(B129*B4+C129*C4+D129*D4+E129*E4+F129*F4)/SUM(B4:F4)</f>
        <v>-0.03409315342493396</v>
      </c>
    </row>
    <row r="130" spans="1:9" ht="12.75">
      <c r="A130" s="138" t="s">
        <v>170</v>
      </c>
      <c r="B130" s="138">
        <f>B90*10000/B62</f>
        <v>-0.08172083601755067</v>
      </c>
      <c r="C130" s="138">
        <f>C90*10000/C62</f>
        <v>-0.04196578105651234</v>
      </c>
      <c r="D130" s="138">
        <f>D90*10000/D62</f>
        <v>-0.045750522315090636</v>
      </c>
      <c r="E130" s="138">
        <f>E90*10000/E62</f>
        <v>-0.0855481073957238</v>
      </c>
      <c r="F130" s="138">
        <f>F90*10000/F62</f>
        <v>0.10047725726601513</v>
      </c>
      <c r="G130" s="138">
        <f>AVERAGE(C130:E130)</f>
        <v>-0.05775480358910892</v>
      </c>
      <c r="H130" s="138">
        <f>STDEV(C130:E130)</f>
        <v>0.024143982044470026</v>
      </c>
      <c r="I130" s="138">
        <f>(B130*B4+C130*C4+D130*D4+E130*E4+F130*F4)/SUM(B4:F4)</f>
        <v>-0.04002003484309152</v>
      </c>
    </row>
    <row r="131" spans="1:9" ht="12.75">
      <c r="A131" s="138" t="s">
        <v>171</v>
      </c>
      <c r="B131" s="138">
        <f>B91*10000/B62</f>
        <v>0.13676654894486662</v>
      </c>
      <c r="C131" s="138">
        <f>C91*10000/C62</f>
        <v>0.15475564979601522</v>
      </c>
      <c r="D131" s="138">
        <f>D91*10000/D62</f>
        <v>0.12628227528858796</v>
      </c>
      <c r="E131" s="138">
        <f>E91*10000/E62</f>
        <v>0.2021679744138723</v>
      </c>
      <c r="F131" s="138">
        <f>F91*10000/F62</f>
        <v>0.15802819721894595</v>
      </c>
      <c r="G131" s="138">
        <f>AVERAGE(C131:E131)</f>
        <v>0.1610686331661585</v>
      </c>
      <c r="H131" s="138">
        <f>STDEV(C131:E131)</f>
        <v>0.03833471210544137</v>
      </c>
      <c r="I131" s="138">
        <f>(B131*B4+C131*C4+D131*D4+E131*E4+F131*F4)/SUM(B4:F4)</f>
        <v>0.1571574310956326</v>
      </c>
    </row>
    <row r="132" spans="1:9" ht="12.75">
      <c r="A132" s="138" t="s">
        <v>172</v>
      </c>
      <c r="B132" s="138">
        <f>B92*10000/B62</f>
        <v>0.07301199290991729</v>
      </c>
      <c r="C132" s="138">
        <f>C92*10000/C62</f>
        <v>0.055355699150326204</v>
      </c>
      <c r="D132" s="138">
        <f>D92*10000/D62</f>
        <v>0.03253909290111995</v>
      </c>
      <c r="E132" s="138">
        <f>E92*10000/E62</f>
        <v>-0.0038263419148452707</v>
      </c>
      <c r="F132" s="138">
        <f>F92*10000/F62</f>
        <v>0.022713495405652036</v>
      </c>
      <c r="G132" s="138">
        <f>AVERAGE(C132:E132)</f>
        <v>0.028022816712200294</v>
      </c>
      <c r="H132" s="138">
        <f>STDEV(C132:E132)</f>
        <v>0.02984838453117459</v>
      </c>
      <c r="I132" s="138">
        <f>(B132*B4+C132*C4+D132*D4+E132*E4+F132*F4)/SUM(B4:F4)</f>
        <v>0.03379862044355963</v>
      </c>
    </row>
    <row r="133" spans="1:9" ht="12.75">
      <c r="A133" s="138" t="s">
        <v>173</v>
      </c>
      <c r="B133" s="138">
        <f>B93*10000/B62</f>
        <v>-0.11065141744436444</v>
      </c>
      <c r="C133" s="138">
        <f>C93*10000/C62</f>
        <v>-0.09898859420309733</v>
      </c>
      <c r="D133" s="138">
        <f>D93*10000/D62</f>
        <v>-0.09779069654761607</v>
      </c>
      <c r="E133" s="138">
        <f>E93*10000/E62</f>
        <v>-0.0992828388593233</v>
      </c>
      <c r="F133" s="138">
        <f>F93*10000/F62</f>
        <v>-0.0935847361824456</v>
      </c>
      <c r="G133" s="138">
        <f>AVERAGE(C133:E133)</f>
        <v>-0.0986873765366789</v>
      </c>
      <c r="H133" s="138">
        <f>STDEV(C133:E133)</f>
        <v>0.0007903614562471847</v>
      </c>
      <c r="I133" s="138">
        <f>(B133*B4+C133*C4+D133*D4+E133*E4+F133*F4)/SUM(B4:F4)</f>
        <v>-0.0997290853085144</v>
      </c>
    </row>
    <row r="134" spans="1:9" ht="12.75">
      <c r="A134" s="138" t="s">
        <v>174</v>
      </c>
      <c r="B134" s="138">
        <f>B94*10000/B62</f>
        <v>-0.017697517844968612</v>
      </c>
      <c r="C134" s="138">
        <f>C94*10000/C62</f>
        <v>-0.0012003431270483735</v>
      </c>
      <c r="D134" s="138">
        <f>D94*10000/D62</f>
        <v>0.002617644288601824</v>
      </c>
      <c r="E134" s="138">
        <f>E94*10000/E62</f>
        <v>-0.0027506327305693535</v>
      </c>
      <c r="F134" s="138">
        <f>F94*10000/F62</f>
        <v>-0.027514772281889782</v>
      </c>
      <c r="G134" s="138">
        <f>AVERAGE(C134:E134)</f>
        <v>-0.0004444438563386344</v>
      </c>
      <c r="H134" s="138">
        <f>STDEV(C134:E134)</f>
        <v>0.002762813297932921</v>
      </c>
      <c r="I134" s="138">
        <f>(B134*B4+C134*C4+D134*D4+E134*E4+F134*F4)/SUM(B4:F4)</f>
        <v>-0.0065573437970840665</v>
      </c>
    </row>
    <row r="135" spans="1:9" ht="12.75">
      <c r="A135" s="138" t="s">
        <v>175</v>
      </c>
      <c r="B135" s="138">
        <f>B95*10000/B62</f>
        <v>-0.0027449345189749824</v>
      </c>
      <c r="C135" s="138">
        <f>C95*10000/C62</f>
        <v>-0.002631444272553847</v>
      </c>
      <c r="D135" s="138">
        <f>D95*10000/D62</f>
        <v>-0.0038705237112724206</v>
      </c>
      <c r="E135" s="138">
        <f>E95*10000/E62</f>
        <v>-0.006904793747805851</v>
      </c>
      <c r="F135" s="138">
        <f>F95*10000/F62</f>
        <v>0.004575839058091328</v>
      </c>
      <c r="G135" s="138">
        <f>AVERAGE(C135:E135)</f>
        <v>-0.004468920577210707</v>
      </c>
      <c r="H135" s="138">
        <f>STDEV(C135:E135)</f>
        <v>0.0021986218504514853</v>
      </c>
      <c r="I135" s="138">
        <f>(B135*B4+C135*C4+D135*D4+E135*E4+F135*F4)/SUM(B4:F4)</f>
        <v>-0.0030090765043326896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touet</dc:creator>
  <cp:keywords/>
  <dc:description/>
  <cp:lastModifiedBy>hagen</cp:lastModifiedBy>
  <cp:lastPrinted>2003-02-24T16:22:43Z</cp:lastPrinted>
  <dcterms:created xsi:type="dcterms:W3CDTF">2002-03-14T07:46:46Z</dcterms:created>
  <dcterms:modified xsi:type="dcterms:W3CDTF">2003-09-26T12:33:20Z</dcterms:modified>
  <cp:category/>
  <cp:version/>
  <cp:contentType/>
  <cp:contentStatus/>
</cp:coreProperties>
</file>