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0000_23A_pos1ap2" sheetId="2" r:id="rId2"/>
    <sheet name="HCMQAP0000_23A_pos2ap2" sheetId="3" r:id="rId3"/>
    <sheet name="HCMQAP0000_23A_pos3ap2" sheetId="4" r:id="rId4"/>
    <sheet name="HCMQAP0000_23A_pos4ap2" sheetId="5" r:id="rId5"/>
    <sheet name="HCMQAP0000_23A_pos5ap2" sheetId="6" r:id="rId6"/>
    <sheet name="Lmag_hcmqap" sheetId="7" r:id="rId7"/>
    <sheet name="Result_HCMQAP" sheetId="8" r:id="rId8"/>
  </sheets>
  <definedNames>
    <definedName name="_xlnm.Print_Area" localSheetId="1">'HCMQAP0000_23A_pos1ap2'!$A$1:$N$28</definedName>
    <definedName name="_xlnm.Print_Area" localSheetId="2">'HCMQAP0000_23A_pos2ap2'!$A$1:$N$28</definedName>
    <definedName name="_xlnm.Print_Area" localSheetId="3">'HCMQAP0000_23A_pos3ap2'!$A$1:$N$28</definedName>
    <definedName name="_xlnm.Print_Area" localSheetId="4">'HCMQAP0000_23A_pos4ap2'!$A$1:$N$28</definedName>
    <definedName name="_xlnm.Print_Area" localSheetId="5">'HCMQAP0000_23A_pos5ap2'!$A$1:$N$28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<sst xmlns="http://schemas.openxmlformats.org/spreadsheetml/2006/main" count="558" uniqueCount="227">
  <si>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</si>
  <si>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</si>
  <si>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</si>
  <si>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</si>
  <si>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</si>
  <si>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</si>
  <si>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</si>
  <si>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</si>
  <si>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</si>
  <si>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</si>
  <si>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</si>
  <si>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</si>
  <si>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</si>
  <si>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</si>
  <si>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</si>
  <si>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</si>
  <si>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</si>
  <si>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</si>
  <si>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</si>
  <si>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</si>
  <si>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</si>
  <si>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</si>
  <si>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</si>
  <si>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</si>
  <si>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</si>
  <si>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</si>
  <si>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</si>
  <si>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</si>
  <si>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</si>
  <si>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</si>
  <si>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</si>
  <si>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</si>
  <si>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</si>
  <si>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</si>
  <si>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</si>
  <si>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</si>
  <si>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</si>
  <si>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</si>
  <si>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</si>
  <si>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</si>
  <si>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</si>
  <si>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</si>
  <si>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</si>
  <si>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</si>
  <si>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</si>
  <si>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</si>
  <si>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</si>
  <si>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</si>
  <si>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</si>
  <si>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</si>
  <si>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</si>
  <si>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</si>
  <si>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</si>
  <si>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</si>
  <si>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</si>
  <si>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</si>
  <si>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</si>
  <si>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</si>
  <si>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</si>
  <si>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</si>
  <si>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</si>
  <si>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</si>
  <si>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</si>
  <si>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</si>
  <si>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</si>
  <si>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</si>
  <si>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HCMQAP023_pos1ap2</t>
  </si>
  <si>
    <t>±12.5</t>
  </si>
  <si>
    <t>THCMQAP023_pos1ap2.xls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</si>
  <si>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</si>
  <si>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HCMQAP023_pos2ap2</t>
  </si>
  <si>
    <t>THCMQAP023_pos2ap2.xls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</si>
  <si>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</si>
  <si>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HCMQAP023_pos3ap2</t>
  </si>
  <si>
    <t>THCMQAP023_pos3ap2.xls</t>
  </si>
  <si>
    <t>HCMQAP023_pos4ap2</t>
  </si>
  <si>
    <t>THCMQAP023_pos4ap2.xls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</si>
  <si>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-2.087 mT)</t>
    </r>
  </si>
  <si>
    <t>HCMQAP023_pos5ap2</t>
  </si>
  <si>
    <t>THCMQAP023_pos5ap2.xls</t>
  </si>
  <si>
    <t>Sommaire : Valeurs intégrales calculées avec les fichiers: HCMQAP023_pos1ap2+HCMQAP023_pos2ap2+HCMQAP023_pos3ap2+HCMQAP023_pos4ap2+HCMQAP023_pos5ap2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</si>
  <si>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</si>
  <si>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</si>
  <si>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</si>
  <si>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</si>
  <si>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</si>
  <si>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</si>
  <si>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</si>
  <si>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</si>
  <si>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</si>
  <si>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</si>
  <si>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</si>
  <si>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</si>
  <si>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</si>
  <si>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</si>
  <si>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</si>
  <si>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</si>
  <si>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</si>
  <si>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</si>
  <si>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</si>
  <si>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</si>
  <si>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</si>
  <si>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</si>
  <si>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</si>
  <si>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</si>
  <si>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</si>
  <si>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</si>
  <si>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</si>
  <si>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</si>
  <si>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</si>
  <si>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</si>
  <si>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</si>
  <si>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</si>
  <si>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</si>
  <si>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</si>
  <si>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</si>
  <si>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</si>
  <si>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</si>
  <si>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</si>
  <si>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</si>
  <si>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</si>
  <si>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</si>
  <si>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</si>
  <si>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</si>
  <si>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</si>
  <si>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</si>
  <si>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>hcmqap0000_23a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</si>
  <si>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</si>
  <si>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t>HCMQAP0000_23A_pos1ap2</t>
  </si>
  <si>
    <t>THCMQAP0000_23A_pos1ap2.xls</t>
  </si>
  <si>
    <t>HCMQAP0000_23A_pos2ap2</t>
  </si>
  <si>
    <t>THCMQAP0000_23A_pos2ap2.xls</t>
  </si>
  <si>
    <t>HCMQAP0000_23A_pos3ap2</t>
  </si>
  <si>
    <t>THCMQAP0000_23A_pos3ap2.xls</t>
  </si>
  <si>
    <t>HCMQAP0000_23A_pos4ap2</t>
  </si>
  <si>
    <t>THCMQAP0000_23A_pos4ap2.xls</t>
  </si>
  <si>
    <t>HCMQAP0000_23A_pos5ap2</t>
  </si>
  <si>
    <t>THCMQAP0000_23A_pos5ap2.xls</t>
  </si>
  <si>
    <t>HCMQAP0000_23A_A_pos1ap2</t>
  </si>
  <si>
    <t>THCMQAP0000_23A_A_pos1ap2.xls</t>
  </si>
  <si>
    <t>HCMQAP0000_23A_A_pos2ap2</t>
  </si>
  <si>
    <t>THCMQAP0000_23A_A_pos2ap2.xls</t>
  </si>
  <si>
    <t>HCMQAP0000_23A_A_pos3ap2</t>
  </si>
  <si>
    <t>THCMQAP0000_23A_A_pos3ap2.xls</t>
  </si>
  <si>
    <t>HCMQAP0000_23A_A_pos4ap2</t>
  </si>
  <si>
    <t>THCMQAP0000_23A_A_pos4ap2.xls</t>
  </si>
  <si>
    <t>HCMQAP0000_23A_A_pos5ap2</t>
  </si>
  <si>
    <t>THCMQAP0000_23A_A_pos5ap2.xls</t>
  </si>
  <si>
    <t>tournée de 90°</t>
  </si>
  <si>
    <t>HCMQAP0000_23B_pos1ap2</t>
  </si>
  <si>
    <t>THCMQAP0000_23B_pos1ap2.xls</t>
  </si>
  <si>
    <t>HCMQAP0000_23B_pos2ap2</t>
  </si>
  <si>
    <t>THCMQAP0000_23B_pos2ap2.xls</t>
  </si>
  <si>
    <t>HCMQAP0000_23B_pos3ap2</t>
  </si>
  <si>
    <t>THCMQAP0000_23B_pos3ap2.xls</t>
  </si>
  <si>
    <t>HCMQAP0000_23B_pos4ap2</t>
  </si>
  <si>
    <t>THCMQAP0000_23B_pos4ap2.xls</t>
  </si>
  <si>
    <t>HCMQAP0000_23B_pos5ap2</t>
  </si>
  <si>
    <t>THCMQAP0000_23B_pos5ap2.xls</t>
  </si>
  <si>
    <t>Sommaire : Valeurs intégrales calculées avec les fichiers: HCMQAP0000_23A_pos1ap2+HCMQAP0000_23A_pos2ap2+HCMQAP0000_23A_pos3ap2+HCMQAP0000_23A_pos4ap2+HCMQAP0000_23A_pos5ap2</t>
  </si>
  <si>
    <t>Sommaire : Valeurs intégrales calculées avec les fichiers: HCMQAP0000_23A_A_pos1ap2+HCMQAP0000_23A_A_pos2ap2+HCMQAP0000_23A_A_pos3ap2+HCMQAP0000_23A_A_pos4ap2+HCMQAP0000_23A_A_pos5ap2</t>
  </si>
  <si>
    <t>Sommaire : Valeurs intégrales calculées avec les fichiers: HCMQAP0000_23B_pos1ap2+HCMQAP0000_23B_pos2ap2+HCMQAP0000_23B_pos3ap2+HCMQAP0000_23B_pos4ap2+HCMQAP0000_23B_pos5ap2</t>
  </si>
  <si>
    <t>HCMQAP023b_pos1ap2</t>
  </si>
  <si>
    <t xml:space="preserve"> Fri 07/03/2003       12:14:15</t>
  </si>
  <si>
    <t>STEPHANI</t>
  </si>
  <si>
    <t>HCMQAP023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</si>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</sst>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73" fontId="3" fillId="0" borderId="2" xfId="0" applyNumberFormat="1" applyFont="1" applyFill="1" applyBorder="1" applyAlignment="1">
      <alignment horizontal="right" vertical="top" wrapText="1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 vertical="top" wrapText="1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3b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4.4327379</c:v>
                </c:pt>
                <c:pt idx="1">
                  <c:v>0.12932690600000002</c:v>
                </c:pt>
                <c:pt idx="2">
                  <c:v>-3.4041806</c:v>
                </c:pt>
                <c:pt idx="3">
                  <c:v>0.36764655</c:v>
                </c:pt>
                <c:pt idx="4">
                  <c:v>1.9166474999999998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2.4360599</c:v>
                </c:pt>
                <c:pt idx="1">
                  <c:v>0.13007174999999999</c:v>
                </c:pt>
                <c:pt idx="2">
                  <c:v>-0.5591882000000001</c:v>
                </c:pt>
                <c:pt idx="3">
                  <c:v>-0.7918499600000001</c:v>
                </c:pt>
                <c:pt idx="4">
                  <c:v>8.176649900000001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3.6985883</c:v>
                </c:pt>
                <c:pt idx="1">
                  <c:v>4.5160298</c:v>
                </c:pt>
                <c:pt idx="2">
                  <c:v>5.0187769</c:v>
                </c:pt>
                <c:pt idx="3">
                  <c:v>4.406824599999999</c:v>
                </c:pt>
                <c:pt idx="4">
                  <c:v>14.362870000000001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0.35476089</c:v>
                </c:pt>
                <c:pt idx="1">
                  <c:v>0.011413409999999999</c:v>
                </c:pt>
                <c:pt idx="2">
                  <c:v>-0.36085508</c:v>
                </c:pt>
                <c:pt idx="3">
                  <c:v>0.057309548</c:v>
                </c:pt>
                <c:pt idx="4">
                  <c:v>2.612877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-0.3802058300000001</c:v>
                </c:pt>
                <c:pt idx="1">
                  <c:v>-0.060776938</c:v>
                </c:pt>
                <c:pt idx="2">
                  <c:v>0.0183130978</c:v>
                </c:pt>
                <c:pt idx="3">
                  <c:v>-0.032368733</c:v>
                </c:pt>
                <c:pt idx="4">
                  <c:v>-0.30446346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0.098044626</c:v>
                </c:pt>
                <c:pt idx="1">
                  <c:v>0.15010275</c:v>
                </c:pt>
                <c:pt idx="2">
                  <c:v>0.0345762878</c:v>
                </c:pt>
                <c:pt idx="3">
                  <c:v>0.0379524019</c:v>
                </c:pt>
                <c:pt idx="4">
                  <c:v>0.21093278999999998</c:v>
                </c:pt>
              </c:numCache>
            </c:numRef>
          </c:val>
          <c:smooth val="0"/>
        </c:ser>
        <c:marker val="1"/>
        <c:axId val="46120616"/>
        <c:axId val="45317673"/>
      </c:lineChart>
      <c:catAx>
        <c:axId val="46120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317673"/>
        <c:crosses val="autoZero"/>
        <c:auto val="1"/>
        <c:lblOffset val="100"/>
        <c:noMultiLvlLbl val="0"/>
      </c:catAx>
      <c:valAx>
        <c:axId val="4531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61206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5"/>
  <sheetViews>
    <sheetView workbookViewId="0" topLeftCell="A1">
      <selection activeCell="K22" sqref="K22"/>
    </sheetView>
  </sheetViews>
  <sheetFormatPr defaultColWidth="9.33203125" defaultRowHeight="15" customHeight="1"/>
  <cols>
    <col min="1" max="1" width="8.33203125" style="36" customWidth="1"/>
    <col min="2" max="2" width="5.5" style="16" customWidth="1"/>
    <col min="3" max="3" width="5.66015625" style="16" customWidth="1"/>
    <col min="4" max="4" width="8.16015625" style="12" customWidth="1"/>
    <col min="5" max="5" width="4.66015625" style="12" customWidth="1"/>
    <col min="6" max="6" width="8.33203125" style="9" customWidth="1"/>
    <col min="7" max="7" width="8" style="9" customWidth="1"/>
    <col min="8" max="8" width="6.16015625" style="12" customWidth="1"/>
    <col min="9" max="9" width="10.83203125" style="8" customWidth="1"/>
    <col min="10" max="10" width="11" style="10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4" customFormat="1" ht="29.25" customHeight="1" thickBot="1">
      <c r="A1" s="33" t="s">
        <v>0</v>
      </c>
      <c r="B1" s="15" t="s">
        <v>1</v>
      </c>
      <c r="C1" s="15" t="s">
        <v>2</v>
      </c>
      <c r="D1" s="13" t="s">
        <v>3</v>
      </c>
      <c r="E1" s="13" t="s">
        <v>4</v>
      </c>
      <c r="F1" s="17" t="s">
        <v>10</v>
      </c>
      <c r="G1" s="17" t="s">
        <v>11</v>
      </c>
      <c r="H1" s="13" t="s">
        <v>5</v>
      </c>
      <c r="I1" s="7" t="s">
        <v>6</v>
      </c>
      <c r="J1" s="14" t="s">
        <v>7</v>
      </c>
      <c r="K1" s="5" t="s">
        <v>8</v>
      </c>
      <c r="L1" s="5"/>
      <c r="M1" s="11" t="s">
        <v>9</v>
      </c>
      <c r="N1" s="6">
        <v>24</v>
      </c>
    </row>
    <row r="2" spans="1:14" s="23" customFormat="1" ht="15" customHeight="1" thickTop="1">
      <c r="A2" s="34">
        <v>37775</v>
      </c>
      <c r="B2" s="18">
        <v>80</v>
      </c>
      <c r="C2" s="18" t="s">
        <v>67</v>
      </c>
      <c r="D2" s="19">
        <v>5</v>
      </c>
      <c r="E2" s="19">
        <v>1</v>
      </c>
      <c r="F2" s="20"/>
      <c r="G2" s="20" t="s">
        <v>66</v>
      </c>
      <c r="H2" s="19">
        <v>1459</v>
      </c>
      <c r="I2" s="21" t="s">
        <v>68</v>
      </c>
      <c r="J2" s="24"/>
      <c r="K2" s="22"/>
      <c r="L2" s="22"/>
      <c r="M2" s="22"/>
      <c r="N2" s="22"/>
    </row>
    <row r="3" spans="1:14" s="23" customFormat="1" ht="15" customHeight="1">
      <c r="A3" s="34">
        <v>37775</v>
      </c>
      <c r="B3" s="18">
        <v>80</v>
      </c>
      <c r="C3" s="18" t="s">
        <v>67</v>
      </c>
      <c r="D3" s="19">
        <v>5</v>
      </c>
      <c r="E3" s="19">
        <v>2</v>
      </c>
      <c r="F3" s="20"/>
      <c r="G3" s="20" t="s">
        <v>70</v>
      </c>
      <c r="H3" s="19">
        <v>1459</v>
      </c>
      <c r="I3" s="21" t="s">
        <v>71</v>
      </c>
      <c r="J3" s="24"/>
      <c r="K3" s="22"/>
      <c r="L3" s="22"/>
      <c r="M3" s="22"/>
      <c r="N3" s="22"/>
    </row>
    <row r="4" spans="1:14" s="23" customFormat="1" ht="15" customHeight="1">
      <c r="A4" s="34">
        <v>37775</v>
      </c>
      <c r="B4" s="18">
        <v>80</v>
      </c>
      <c r="C4" s="18" t="s">
        <v>67</v>
      </c>
      <c r="D4" s="19">
        <v>5</v>
      </c>
      <c r="E4" s="19">
        <v>3</v>
      </c>
      <c r="F4" s="20"/>
      <c r="G4" s="20" t="s">
        <v>73</v>
      </c>
      <c r="H4" s="19">
        <v>1459</v>
      </c>
      <c r="I4" s="21" t="s">
        <v>74</v>
      </c>
      <c r="J4" s="24"/>
      <c r="K4" s="25"/>
      <c r="L4" s="25"/>
      <c r="M4" s="25"/>
      <c r="N4" s="22"/>
    </row>
    <row r="5" spans="1:14" s="23" customFormat="1" ht="15" customHeight="1">
      <c r="A5" s="34">
        <v>37775</v>
      </c>
      <c r="B5" s="18">
        <v>80</v>
      </c>
      <c r="C5" s="18" t="s">
        <v>67</v>
      </c>
      <c r="D5" s="19">
        <v>5</v>
      </c>
      <c r="E5" s="19">
        <v>4</v>
      </c>
      <c r="F5" s="20"/>
      <c r="G5" s="20" t="s">
        <v>75</v>
      </c>
      <c r="H5" s="19">
        <v>1459</v>
      </c>
      <c r="I5" s="21" t="s">
        <v>76</v>
      </c>
      <c r="J5" s="24"/>
      <c r="K5" s="22"/>
      <c r="L5" s="22"/>
      <c r="M5" s="22"/>
      <c r="N5" s="22"/>
    </row>
    <row r="6" spans="1:9" ht="15" customHeight="1">
      <c r="A6">
        <v>37775</v>
      </c>
      <c r="B6">
        <v>80</v>
      </c>
      <c r="C6" t="s">
        <v>67</v>
      </c>
      <c r="D6">
        <v>5</v>
      </c>
      <c r="E6">
        <v>5</v>
      </c>
      <c r="G6" t="s">
        <v>78</v>
      </c>
      <c r="H6">
        <v>1459</v>
      </c>
      <c r="I6" t="s">
        <v>79</v>
      </c>
    </row>
    <row r="7" spans="1:14" s="23" customFormat="1" ht="15" customHeight="1">
      <c r="A7" s="34" t="s">
        <v>80</v>
      </c>
      <c r="B7" s="18"/>
      <c r="C7" s="18"/>
      <c r="D7" s="19"/>
      <c r="E7" s="19"/>
      <c r="F7" s="20"/>
      <c r="G7" s="20"/>
      <c r="H7" s="19"/>
      <c r="I7" s="21"/>
      <c r="J7" s="24"/>
      <c r="K7" s="22"/>
      <c r="L7" s="22"/>
      <c r="M7" s="22"/>
      <c r="N7" s="22"/>
    </row>
    <row r="8" spans="1:14" s="23" customFormat="1" ht="15" customHeight="1">
      <c r="A8" s="34">
        <v>37805</v>
      </c>
      <c r="B8" s="18">
        <v>80</v>
      </c>
      <c r="C8" s="18" t="s">
        <v>67</v>
      </c>
      <c r="D8" s="19">
        <v>5</v>
      </c>
      <c r="E8" s="19">
        <v>1</v>
      </c>
      <c r="F8" s="20"/>
      <c r="G8" s="20" t="s">
        <v>128</v>
      </c>
      <c r="H8" s="19">
        <v>1464</v>
      </c>
      <c r="I8" s="21" t="s">
        <v>129</v>
      </c>
      <c r="J8" s="24"/>
      <c r="K8" s="22"/>
      <c r="L8" s="22"/>
      <c r="M8" s="22"/>
      <c r="N8" s="22"/>
    </row>
    <row r="9" spans="1:14" s="23" customFormat="1" ht="15" customHeight="1">
      <c r="A9" s="34">
        <v>37805</v>
      </c>
      <c r="B9" s="18">
        <v>80</v>
      </c>
      <c r="C9" s="18" t="s">
        <v>67</v>
      </c>
      <c r="D9" s="19">
        <v>5</v>
      </c>
      <c r="E9" s="19">
        <v>2</v>
      </c>
      <c r="F9" s="20"/>
      <c r="G9" s="20" t="s">
        <v>130</v>
      </c>
      <c r="H9" s="19">
        <v>1464</v>
      </c>
      <c r="I9" s="21" t="s">
        <v>131</v>
      </c>
      <c r="J9" s="24"/>
      <c r="K9" s="22"/>
      <c r="L9" s="22"/>
      <c r="M9" s="22"/>
      <c r="N9" s="22"/>
    </row>
    <row r="10" spans="1:14" s="23" customFormat="1" ht="18" customHeight="1">
      <c r="A10" s="35">
        <v>37805</v>
      </c>
      <c r="B10" s="18">
        <v>80</v>
      </c>
      <c r="C10" s="18" t="s">
        <v>67</v>
      </c>
      <c r="D10" s="19">
        <v>5</v>
      </c>
      <c r="E10" s="27">
        <v>3</v>
      </c>
      <c r="F10" s="28"/>
      <c r="G10" s="158" t="s">
        <v>132</v>
      </c>
      <c r="H10" s="27">
        <v>1464</v>
      </c>
      <c r="I10" s="29" t="s">
        <v>133</v>
      </c>
      <c r="J10" s="30"/>
      <c r="K10" s="31"/>
      <c r="L10" s="31"/>
      <c r="M10" s="22"/>
      <c r="N10" s="22"/>
    </row>
    <row r="11" spans="1:14" s="23" customFormat="1" ht="18" customHeight="1">
      <c r="A11" s="34">
        <v>37805</v>
      </c>
      <c r="B11" s="18">
        <v>80</v>
      </c>
      <c r="C11" s="18" t="s">
        <v>67</v>
      </c>
      <c r="D11" s="32">
        <v>5</v>
      </c>
      <c r="E11" s="27">
        <v>4</v>
      </c>
      <c r="F11" s="28"/>
      <c r="G11" s="28" t="s">
        <v>134</v>
      </c>
      <c r="H11" s="27">
        <v>1464</v>
      </c>
      <c r="I11" s="29" t="s">
        <v>135</v>
      </c>
      <c r="J11" s="30"/>
      <c r="K11" s="31"/>
      <c r="L11" s="31"/>
      <c r="M11" s="22"/>
      <c r="N11" s="22"/>
    </row>
    <row r="12" spans="1:14" s="23" customFormat="1" ht="18" customHeight="1">
      <c r="A12" s="34">
        <v>37805</v>
      </c>
      <c r="B12" s="18">
        <v>80</v>
      </c>
      <c r="C12" s="18" t="s">
        <v>67</v>
      </c>
      <c r="D12" s="19">
        <v>5</v>
      </c>
      <c r="E12" s="27">
        <v>5</v>
      </c>
      <c r="F12" s="28"/>
      <c r="G12" s="28" t="s">
        <v>136</v>
      </c>
      <c r="H12" s="27">
        <v>1464</v>
      </c>
      <c r="I12" s="29" t="s">
        <v>137</v>
      </c>
      <c r="J12" s="30"/>
      <c r="K12" s="31"/>
      <c r="L12" s="31"/>
      <c r="M12" s="22"/>
      <c r="N12" s="22"/>
    </row>
    <row r="13" spans="1:14" s="23" customFormat="1" ht="18" customHeight="1">
      <c r="A13" s="34" t="s">
        <v>159</v>
      </c>
      <c r="B13" s="18"/>
      <c r="C13" s="18"/>
      <c r="D13" s="19"/>
      <c r="E13" s="27"/>
      <c r="F13" s="28"/>
      <c r="G13" s="28"/>
      <c r="H13" s="27"/>
      <c r="I13" s="29"/>
      <c r="J13" s="30"/>
      <c r="K13" s="31"/>
      <c r="L13" s="31"/>
      <c r="M13" s="22"/>
      <c r="N13" s="22"/>
    </row>
    <row r="14" spans="1:14" s="23" customFormat="1" ht="15" customHeight="1">
      <c r="A14" s="34">
        <v>37897</v>
      </c>
      <c r="B14" s="18">
        <v>80</v>
      </c>
      <c r="C14" s="18" t="s">
        <v>67</v>
      </c>
      <c r="D14" s="19">
        <v>5</v>
      </c>
      <c r="E14" s="19">
        <v>1</v>
      </c>
      <c r="F14" s="20"/>
      <c r="G14" s="20" t="s">
        <v>138</v>
      </c>
      <c r="H14" s="19">
        <v>1469</v>
      </c>
      <c r="I14" s="21" t="s">
        <v>139</v>
      </c>
      <c r="J14" s="24"/>
      <c r="K14" s="25"/>
      <c r="L14" s="22"/>
      <c r="M14" s="22"/>
      <c r="N14" s="22"/>
    </row>
    <row r="15" spans="1:14" s="23" customFormat="1" ht="15" customHeight="1">
      <c r="A15" s="34">
        <v>37897</v>
      </c>
      <c r="B15" s="18">
        <v>80</v>
      </c>
      <c r="C15" s="18" t="s">
        <v>67</v>
      </c>
      <c r="D15" s="19">
        <v>5</v>
      </c>
      <c r="E15" s="19">
        <v>2</v>
      </c>
      <c r="F15" s="20"/>
      <c r="G15" s="20" t="s">
        <v>140</v>
      </c>
      <c r="H15" s="19">
        <v>1469</v>
      </c>
      <c r="I15" s="22" t="s">
        <v>141</v>
      </c>
      <c r="J15" s="24"/>
      <c r="K15" s="25"/>
      <c r="L15" s="22"/>
      <c r="M15" s="22"/>
      <c r="N15" s="22"/>
    </row>
    <row r="16" spans="1:14" s="23" customFormat="1" ht="18" customHeight="1">
      <c r="A16" s="34">
        <v>37897</v>
      </c>
      <c r="B16" s="18">
        <v>80</v>
      </c>
      <c r="C16" s="18" t="s">
        <v>67</v>
      </c>
      <c r="D16" s="19">
        <v>5</v>
      </c>
      <c r="E16" s="19">
        <v>3</v>
      </c>
      <c r="F16" s="20"/>
      <c r="G16" s="20" t="s">
        <v>142</v>
      </c>
      <c r="H16" s="19">
        <v>1469</v>
      </c>
      <c r="I16" s="161" t="s">
        <v>143</v>
      </c>
      <c r="J16" s="24"/>
      <c r="K16" s="22"/>
      <c r="L16" s="22"/>
      <c r="M16" s="22"/>
      <c r="N16" s="22"/>
    </row>
    <row r="17" spans="1:14" s="23" customFormat="1" ht="15" customHeight="1">
      <c r="A17" s="34">
        <v>37897</v>
      </c>
      <c r="B17" s="18">
        <v>80</v>
      </c>
      <c r="C17" s="18" t="s">
        <v>67</v>
      </c>
      <c r="D17" s="19">
        <v>5</v>
      </c>
      <c r="E17" s="19">
        <v>4</v>
      </c>
      <c r="F17" s="20"/>
      <c r="G17" s="20" t="s">
        <v>144</v>
      </c>
      <c r="H17" s="19">
        <v>1469</v>
      </c>
      <c r="I17" s="21" t="s">
        <v>145</v>
      </c>
      <c r="J17" s="160"/>
      <c r="K17" s="22"/>
      <c r="L17" s="22"/>
      <c r="M17" s="25"/>
      <c r="N17" s="25"/>
    </row>
    <row r="18" spans="1:14" s="23" customFormat="1" ht="15" customHeight="1">
      <c r="A18" s="34">
        <v>37897</v>
      </c>
      <c r="B18" s="18">
        <v>80</v>
      </c>
      <c r="C18" s="18" t="s">
        <v>67</v>
      </c>
      <c r="D18" s="19">
        <v>5</v>
      </c>
      <c r="E18" s="19">
        <v>5</v>
      </c>
      <c r="F18" s="20"/>
      <c r="G18" s="20" t="s">
        <v>146</v>
      </c>
      <c r="H18" s="19">
        <v>1469</v>
      </c>
      <c r="I18" s="21" t="s">
        <v>147</v>
      </c>
      <c r="J18" s="24"/>
      <c r="K18" s="22"/>
      <c r="L18" s="22"/>
      <c r="M18" s="22"/>
      <c r="N18" s="22"/>
    </row>
    <row r="19" spans="1:14" s="23" customFormat="1" ht="15" customHeight="1">
      <c r="A19" s="34" t="s">
        <v>160</v>
      </c>
      <c r="B19" s="18"/>
      <c r="C19" s="18"/>
      <c r="D19" s="19"/>
      <c r="E19" s="19"/>
      <c r="F19" s="20"/>
      <c r="G19" s="20"/>
      <c r="H19" s="19"/>
      <c r="I19" s="21"/>
      <c r="J19" s="24"/>
      <c r="K19" s="22"/>
      <c r="L19" s="22"/>
      <c r="M19" s="22"/>
      <c r="N19" s="22"/>
    </row>
    <row r="20" spans="1:14" s="23" customFormat="1" ht="15" customHeight="1">
      <c r="A20" s="34">
        <v>37897</v>
      </c>
      <c r="B20" s="18">
        <v>80</v>
      </c>
      <c r="C20" s="18" t="s">
        <v>67</v>
      </c>
      <c r="D20" s="19">
        <v>5</v>
      </c>
      <c r="E20" s="19">
        <v>1</v>
      </c>
      <c r="F20" s="20"/>
      <c r="G20" s="20" t="s">
        <v>149</v>
      </c>
      <c r="H20" s="19">
        <v>1474</v>
      </c>
      <c r="I20" s="21" t="s">
        <v>150</v>
      </c>
      <c r="J20" s="24"/>
      <c r="K20" s="22" t="s">
        <v>148</v>
      </c>
      <c r="L20" s="22"/>
      <c r="M20" s="22"/>
      <c r="N20" s="22"/>
    </row>
    <row r="21" spans="1:14" s="23" customFormat="1" ht="15" customHeight="1">
      <c r="A21" s="34">
        <v>37897</v>
      </c>
      <c r="B21" s="18">
        <v>80</v>
      </c>
      <c r="C21" s="18" t="s">
        <v>67</v>
      </c>
      <c r="D21" s="19">
        <v>5</v>
      </c>
      <c r="E21" s="19">
        <v>2</v>
      </c>
      <c r="F21" s="20"/>
      <c r="G21" s="20" t="s">
        <v>151</v>
      </c>
      <c r="H21" s="19">
        <v>1474</v>
      </c>
      <c r="I21" s="21" t="s">
        <v>152</v>
      </c>
      <c r="J21" s="24"/>
      <c r="K21" s="22" t="s">
        <v>148</v>
      </c>
      <c r="L21" s="22"/>
      <c r="M21" s="22"/>
      <c r="N21" s="22"/>
    </row>
    <row r="22" spans="1:14" s="23" customFormat="1" ht="15" customHeight="1">
      <c r="A22" s="34">
        <v>37897</v>
      </c>
      <c r="B22" s="18">
        <v>80</v>
      </c>
      <c r="C22" s="18" t="s">
        <v>67</v>
      </c>
      <c r="D22" s="19">
        <v>5</v>
      </c>
      <c r="E22" s="19">
        <v>3</v>
      </c>
      <c r="F22" s="20"/>
      <c r="G22" s="20" t="s">
        <v>153</v>
      </c>
      <c r="H22" s="19">
        <v>1474</v>
      </c>
      <c r="I22" s="21" t="s">
        <v>154</v>
      </c>
      <c r="J22" s="24"/>
      <c r="K22" s="22" t="s">
        <v>148</v>
      </c>
      <c r="L22" s="22"/>
      <c r="M22" s="22"/>
      <c r="N22" s="22"/>
    </row>
    <row r="23" spans="1:14" s="23" customFormat="1" ht="15" customHeight="1">
      <c r="A23" s="34">
        <v>37897</v>
      </c>
      <c r="B23" s="18">
        <v>80</v>
      </c>
      <c r="C23" s="18" t="s">
        <v>67</v>
      </c>
      <c r="D23" s="19">
        <v>5</v>
      </c>
      <c r="E23" s="19">
        <v>4</v>
      </c>
      <c r="F23" s="20"/>
      <c r="G23" s="20" t="s">
        <v>155</v>
      </c>
      <c r="H23" s="19">
        <v>1474</v>
      </c>
      <c r="I23" s="21" t="s">
        <v>156</v>
      </c>
      <c r="J23" s="24"/>
      <c r="K23" s="22" t="s">
        <v>148</v>
      </c>
      <c r="L23" s="22"/>
      <c r="M23" s="22"/>
      <c r="N23" s="22"/>
    </row>
    <row r="24" spans="1:14" s="23" customFormat="1" ht="15" customHeight="1">
      <c r="A24" s="34">
        <v>37897</v>
      </c>
      <c r="B24" s="18">
        <v>80</v>
      </c>
      <c r="C24" s="18" t="s">
        <v>67</v>
      </c>
      <c r="D24" s="19">
        <v>5</v>
      </c>
      <c r="E24" s="19">
        <v>5</v>
      </c>
      <c r="F24" s="20"/>
      <c r="G24" s="20" t="s">
        <v>157</v>
      </c>
      <c r="H24" s="19">
        <v>1474</v>
      </c>
      <c r="I24" s="21" t="s">
        <v>158</v>
      </c>
      <c r="J24" s="24"/>
      <c r="K24" s="22" t="s">
        <v>148</v>
      </c>
      <c r="L24" s="22"/>
      <c r="M24" s="22"/>
      <c r="N24" s="22"/>
    </row>
    <row r="25" spans="1:14" s="23" customFormat="1" ht="15" customHeight="1">
      <c r="A25" s="34" t="s">
        <v>161</v>
      </c>
      <c r="B25" s="18"/>
      <c r="C25" s="18"/>
      <c r="D25" s="19"/>
      <c r="E25" s="19"/>
      <c r="F25" s="20"/>
      <c r="G25" s="20"/>
      <c r="H25" s="19"/>
      <c r="I25" s="21"/>
      <c r="J25" s="24"/>
      <c r="K25" s="22"/>
      <c r="L25" s="22"/>
      <c r="M25" s="22"/>
      <c r="N25" s="22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126</v>
      </c>
      <c r="D2" s="44" t="s">
        <v>55</v>
      </c>
      <c r="E2" s="45"/>
      <c r="F2" s="45"/>
      <c r="G2" s="45"/>
      <c r="H2" s="45"/>
      <c r="I2" s="45"/>
      <c r="J2" s="46"/>
      <c r="K2" s="47">
        <v>1.3057000000000644E-08</v>
      </c>
      <c r="L2" s="47">
        <v>3.5075405073355845E-07</v>
      </c>
      <c r="M2" s="47">
        <v>0.00014834064</v>
      </c>
      <c r="N2" s="48">
        <v>7.683885995924762E-08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-3.1458421E-05</v>
      </c>
      <c r="L3" s="47">
        <v>1.527627857624831E-07</v>
      </c>
      <c r="M3" s="47">
        <v>1.3802719999999997E-05</v>
      </c>
      <c r="N3" s="48">
        <v>2.5724172600881116E-07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-0.002254267690486206</v>
      </c>
      <c r="L4" s="47">
        <v>6.4786077969741565E-06</v>
      </c>
      <c r="M4" s="47">
        <v>3.713757516304165E-08</v>
      </c>
      <c r="N4" s="48">
        <v>-1.4369611</v>
      </c>
    </row>
    <row r="5" spans="1:14" ht="15" customHeight="1" thickBot="1">
      <c r="A5" t="s">
        <v>17</v>
      </c>
      <c r="B5" s="51">
        <v>37687.48780092593</v>
      </c>
      <c r="D5" s="52"/>
      <c r="E5" s="53" t="s">
        <v>127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1464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58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59</v>
      </c>
      <c r="E7" s="66" t="s">
        <v>60</v>
      </c>
      <c r="F7" s="67" t="s">
        <v>61</v>
      </c>
      <c r="G7" s="66" t="s">
        <v>62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4.4327379</v>
      </c>
      <c r="E8" s="70">
        <v>0.022424246960404192</v>
      </c>
      <c r="F8" s="70">
        <v>2.4360599</v>
      </c>
      <c r="G8" s="70">
        <v>0.00814999503922373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-0.28308194000000003</v>
      </c>
      <c r="E9" s="72">
        <v>0.016046363058630934</v>
      </c>
      <c r="F9" s="76">
        <v>4.1977867</v>
      </c>
      <c r="G9" s="72">
        <v>0.038106631666329625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-0.20876106</v>
      </c>
      <c r="E10" s="72">
        <v>0.010322748403469912</v>
      </c>
      <c r="F10" s="72">
        <v>-2.1700181</v>
      </c>
      <c r="G10" s="72">
        <v>0.010456416687326296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1</v>
      </c>
      <c r="D11" s="69">
        <v>3.6985883</v>
      </c>
      <c r="E11" s="70">
        <v>0.007584250823737353</v>
      </c>
      <c r="F11" s="70">
        <v>0.35476089</v>
      </c>
      <c r="G11" s="70">
        <v>0.01446293496989517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0.174108456</v>
      </c>
      <c r="E12" s="72">
        <v>0.008079787540917378</v>
      </c>
      <c r="F12" s="72">
        <v>0.08632954699999999</v>
      </c>
      <c r="G12" s="72">
        <v>0.009425336570325054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20.709229</v>
      </c>
      <c r="D13" s="75">
        <v>0.31104612000000004</v>
      </c>
      <c r="E13" s="72">
        <v>0.0061109798267212</v>
      </c>
      <c r="F13" s="72">
        <v>0.32573672</v>
      </c>
      <c r="G13" s="72">
        <v>0.0024028693794251148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0.050301198000000005</v>
      </c>
      <c r="E14" s="72">
        <v>0.004456278892673344</v>
      </c>
      <c r="F14" s="76">
        <v>0.41841633</v>
      </c>
      <c r="G14" s="72">
        <v>0.00810868998658864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-0.3802058300000001</v>
      </c>
      <c r="E15" s="70">
        <v>0.005043179476241931</v>
      </c>
      <c r="F15" s="70">
        <v>0.098044626</v>
      </c>
      <c r="G15" s="70">
        <v>0.004961505917044316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0.028770759</v>
      </c>
      <c r="E16" s="72">
        <v>0.004370339709747273</v>
      </c>
      <c r="F16" s="72">
        <v>-0.091721222</v>
      </c>
      <c r="G16" s="72">
        <v>0.004555672508670478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-0.1899999976158142</v>
      </c>
      <c r="D17" s="79">
        <v>0.20960011</v>
      </c>
      <c r="E17" s="72">
        <v>0.003976723142788936</v>
      </c>
      <c r="F17" s="72">
        <v>0.02365316782</v>
      </c>
      <c r="G17" s="72">
        <v>0.0032887877347528975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123.59600067138672</v>
      </c>
      <c r="D18" s="75">
        <v>-0.00037476429999999976</v>
      </c>
      <c r="E18" s="72">
        <v>0.002045345684160763</v>
      </c>
      <c r="F18" s="76">
        <v>0.21353481</v>
      </c>
      <c r="G18" s="72">
        <v>0.0006876774704861953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-0.36899998784065247</v>
      </c>
      <c r="D19" s="79">
        <v>-0.19015621</v>
      </c>
      <c r="E19" s="72">
        <v>0.0013074866566841073</v>
      </c>
      <c r="F19" s="72">
        <v>-0.004652925400000001</v>
      </c>
      <c r="G19" s="72">
        <v>0.0014185596619999928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-0.0030160999999999994</v>
      </c>
      <c r="D20" s="81">
        <v>0.0048748720300000005</v>
      </c>
      <c r="E20" s="82">
        <v>0.0010908011474425182</v>
      </c>
      <c r="F20" s="82">
        <v>-0.0041524691</v>
      </c>
      <c r="G20" s="82">
        <v>0.0011634710867883826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1.118663</v>
      </c>
      <c r="F21" s="3" t="s">
        <v>63</v>
      </c>
    </row>
    <row r="22" spans="1:6" ht="15" customHeight="1">
      <c r="A22" s="49" t="s">
        <v>42</v>
      </c>
      <c r="B22" s="64" t="s">
        <v>43</v>
      </c>
      <c r="F22" s="3" t="s">
        <v>64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65</v>
      </c>
      <c r="B24" s="88">
        <v>-0.08233187589723676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-2.2542769999999996</v>
      </c>
      <c r="I25" s="94" t="s">
        <v>48</v>
      </c>
      <c r="J25" s="95"/>
      <c r="K25" s="94"/>
      <c r="L25" s="97">
        <v>3.7155633088362903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5.058018695742872</v>
      </c>
      <c r="I26" s="99" t="s">
        <v>52</v>
      </c>
      <c r="J26" s="100"/>
      <c r="K26" s="99"/>
      <c r="L26" s="102">
        <v>0.3926438868153544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126</v>
      </c>
      <c r="D2" s="44" t="s">
        <v>55</v>
      </c>
      <c r="E2" s="45"/>
      <c r="F2" s="45"/>
      <c r="G2" s="45"/>
      <c r="H2" s="45"/>
      <c r="I2" s="45"/>
      <c r="J2" s="46"/>
      <c r="K2" s="47">
        <v>5.717762E-05</v>
      </c>
      <c r="L2" s="47">
        <v>1.2583277394611448E-07</v>
      </c>
      <c r="M2" s="47">
        <v>0.00020794112000000002</v>
      </c>
      <c r="N2" s="48">
        <v>1.450804659112466E-07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-2.8726834000000004E-05</v>
      </c>
      <c r="L3" s="47">
        <v>1.3502865038180755E-07</v>
      </c>
      <c r="M3" s="47">
        <v>1.2188220000000004E-05</v>
      </c>
      <c r="N3" s="48">
        <v>1.340196910904461E-07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-0.003759821984039263</v>
      </c>
      <c r="L4" s="47">
        <v>2.185455205014559E-05</v>
      </c>
      <c r="M4" s="47">
        <v>8.317392368671544E-08</v>
      </c>
      <c r="N4" s="48">
        <v>-2.9062953</v>
      </c>
    </row>
    <row r="5" spans="1:14" ht="15" customHeight="1" thickBot="1">
      <c r="A5" t="s">
        <v>17</v>
      </c>
      <c r="B5" s="51">
        <v>37687.492627314816</v>
      </c>
      <c r="D5" s="52"/>
      <c r="E5" s="53" t="s">
        <v>69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1464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58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59</v>
      </c>
      <c r="E7" s="66" t="s">
        <v>60</v>
      </c>
      <c r="F7" s="67" t="s">
        <v>61</v>
      </c>
      <c r="G7" s="66" t="s">
        <v>62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0.12932690600000002</v>
      </c>
      <c r="E8" s="70">
        <v>0.014950676802487258</v>
      </c>
      <c r="F8" s="70">
        <v>0.13007174999999999</v>
      </c>
      <c r="G8" s="70">
        <v>0.008237481222072832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0.21072273400000002</v>
      </c>
      <c r="E9" s="72">
        <v>0.007249791715657912</v>
      </c>
      <c r="F9" s="72">
        <v>1.7762943</v>
      </c>
      <c r="G9" s="72">
        <v>0.016249367029515658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-0.84696219</v>
      </c>
      <c r="E10" s="72">
        <v>0.0034490489210074983</v>
      </c>
      <c r="F10" s="76">
        <v>-2.5638300000000003</v>
      </c>
      <c r="G10" s="72">
        <v>0.006917017254497775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2</v>
      </c>
      <c r="D11" s="69">
        <v>4.5160298</v>
      </c>
      <c r="E11" s="70">
        <v>0.005967273636934385</v>
      </c>
      <c r="F11" s="70">
        <v>0.011413409999999999</v>
      </c>
      <c r="G11" s="70">
        <v>0.0076995332020454365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0.04492924499999999</v>
      </c>
      <c r="E12" s="72">
        <v>0.003232582353415068</v>
      </c>
      <c r="F12" s="72">
        <v>0.006629322999999998</v>
      </c>
      <c r="G12" s="72">
        <v>0.003260855839669396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20.666504</v>
      </c>
      <c r="D13" s="75">
        <v>-0.09292175999999999</v>
      </c>
      <c r="E13" s="72">
        <v>0.0020831593126379934</v>
      </c>
      <c r="F13" s="72">
        <v>0.099921947</v>
      </c>
      <c r="G13" s="72">
        <v>0.002729794281669675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0.10389631299999999</v>
      </c>
      <c r="E14" s="72">
        <v>0.0017234378915805522</v>
      </c>
      <c r="F14" s="72">
        <v>0.014101916</v>
      </c>
      <c r="G14" s="72">
        <v>0.0016900105015040462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-0.060776938</v>
      </c>
      <c r="E15" s="70">
        <v>0.001441473653448475</v>
      </c>
      <c r="F15" s="70">
        <v>0.15010275</v>
      </c>
      <c r="G15" s="70">
        <v>0.002487153183862332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-0.051004081</v>
      </c>
      <c r="E16" s="72">
        <v>0.0020034183916454954</v>
      </c>
      <c r="F16" s="72">
        <v>-0.059141846</v>
      </c>
      <c r="G16" s="72">
        <v>0.003200556180196474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0.40299999713897705</v>
      </c>
      <c r="D17" s="75">
        <v>0.13427538</v>
      </c>
      <c r="E17" s="72">
        <v>0.0013358914714919257</v>
      </c>
      <c r="F17" s="72">
        <v>-0.08491860800000002</v>
      </c>
      <c r="G17" s="72">
        <v>0.0011667798710311684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-6.104000091552734</v>
      </c>
      <c r="D18" s="75">
        <v>0.058737937000000004</v>
      </c>
      <c r="E18" s="72">
        <v>0.0008141024046674443</v>
      </c>
      <c r="F18" s="76">
        <v>0.17286397999999997</v>
      </c>
      <c r="G18" s="72">
        <v>0.0017883678801072819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0.10599999874830246</v>
      </c>
      <c r="D19" s="79">
        <v>-0.18595166000000002</v>
      </c>
      <c r="E19" s="72">
        <v>0.0009452614889031141</v>
      </c>
      <c r="F19" s="72">
        <v>0.00927112949</v>
      </c>
      <c r="G19" s="72">
        <v>0.0013549170297216626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0.2530664</v>
      </c>
      <c r="D20" s="81">
        <v>-0.0014627550000000003</v>
      </c>
      <c r="E20" s="82">
        <v>0.0006054743761674809</v>
      </c>
      <c r="F20" s="82">
        <v>-0.0045175622</v>
      </c>
      <c r="G20" s="82">
        <v>0.0009962207661888315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0.9416689</v>
      </c>
      <c r="F21" s="3" t="s">
        <v>63</v>
      </c>
    </row>
    <row r="22" spans="1:6" ht="15" customHeight="1">
      <c r="A22" s="49" t="s">
        <v>42</v>
      </c>
      <c r="B22" s="64" t="s">
        <v>43</v>
      </c>
      <c r="F22" s="3" t="s">
        <v>64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65</v>
      </c>
      <c r="B24" s="88">
        <v>-0.1665185953609478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-3.7598854999999998</v>
      </c>
      <c r="I25" s="94" t="s">
        <v>48</v>
      </c>
      <c r="J25" s="95"/>
      <c r="K25" s="94"/>
      <c r="L25" s="97">
        <v>4.516044222593028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0.18342330485408698</v>
      </c>
      <c r="I26" s="99" t="s">
        <v>52</v>
      </c>
      <c r="J26" s="100"/>
      <c r="K26" s="99"/>
      <c r="L26" s="102">
        <v>0.16194033392030024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126</v>
      </c>
      <c r="D2" s="44" t="s">
        <v>55</v>
      </c>
      <c r="E2" s="45"/>
      <c r="F2" s="45"/>
      <c r="G2" s="45"/>
      <c r="H2" s="45"/>
      <c r="I2" s="45"/>
      <c r="J2" s="46"/>
      <c r="K2" s="47">
        <v>4.933149499999999E-05</v>
      </c>
      <c r="L2" s="47">
        <v>1.0842817037603279E-07</v>
      </c>
      <c r="M2" s="47">
        <v>0.00020937214999999998</v>
      </c>
      <c r="N2" s="48">
        <v>1.3165204519679947E-07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-2.7637539E-05</v>
      </c>
      <c r="L3" s="47">
        <v>1.0161829930738485E-07</v>
      </c>
      <c r="M3" s="47">
        <v>1.045923E-05</v>
      </c>
      <c r="N3" s="48">
        <v>1.345156741796454E-07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-0.003758866402491878</v>
      </c>
      <c r="L4" s="47">
        <v>3.579150698145852E-05</v>
      </c>
      <c r="M4" s="47">
        <v>6.625075580283592E-08</v>
      </c>
      <c r="N4" s="48">
        <v>-4.760800400000001</v>
      </c>
    </row>
    <row r="5" spans="1:14" ht="15" customHeight="1" thickBot="1">
      <c r="A5" t="s">
        <v>17</v>
      </c>
      <c r="B5" s="51">
        <v>37687.4971875</v>
      </c>
      <c r="D5" s="52"/>
      <c r="E5" s="53" t="s">
        <v>72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1464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58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59</v>
      </c>
      <c r="E7" s="66" t="s">
        <v>60</v>
      </c>
      <c r="F7" s="67" t="s">
        <v>61</v>
      </c>
      <c r="G7" s="66" t="s">
        <v>62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-3.4041806</v>
      </c>
      <c r="E8" s="70">
        <v>0.01908285657712595</v>
      </c>
      <c r="F8" s="70">
        <v>-0.5591882000000001</v>
      </c>
      <c r="G8" s="70">
        <v>0.006886602527002222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1.2835439</v>
      </c>
      <c r="E9" s="72">
        <v>0.01825305692589546</v>
      </c>
      <c r="F9" s="72">
        <v>-0.49202781</v>
      </c>
      <c r="G9" s="72">
        <v>0.012703941549628844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-1.3603779</v>
      </c>
      <c r="E10" s="72">
        <v>0.006031580028479395</v>
      </c>
      <c r="F10" s="72">
        <v>-1.9675486</v>
      </c>
      <c r="G10" s="72">
        <v>0.008607297731551708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3</v>
      </c>
      <c r="D11" s="69">
        <v>5.0187769</v>
      </c>
      <c r="E11" s="70">
        <v>0.006671356724347005</v>
      </c>
      <c r="F11" s="70">
        <v>-0.36085508</v>
      </c>
      <c r="G11" s="70">
        <v>0.007558212256388572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-0.19913834699999997</v>
      </c>
      <c r="E12" s="72">
        <v>0.002408595025557754</v>
      </c>
      <c r="F12" s="72">
        <v>0.104649858</v>
      </c>
      <c r="G12" s="72">
        <v>0.004606362997826547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20.599366</v>
      </c>
      <c r="D13" s="75">
        <v>0.10306008200000001</v>
      </c>
      <c r="E13" s="72">
        <v>0.0028937261859212594</v>
      </c>
      <c r="F13" s="72">
        <v>-0.007144457999999999</v>
      </c>
      <c r="G13" s="72">
        <v>0.003390321901640904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-0.032113366</v>
      </c>
      <c r="E14" s="72">
        <v>0.0017700278051443136</v>
      </c>
      <c r="F14" s="72">
        <v>0.06103147330000001</v>
      </c>
      <c r="G14" s="72">
        <v>0.0027269998275077987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0.0183130978</v>
      </c>
      <c r="E15" s="70">
        <v>0.0031818828078104744</v>
      </c>
      <c r="F15" s="70">
        <v>0.0345762878</v>
      </c>
      <c r="G15" s="70">
        <v>0.003076956021241651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-0.04394031699999999</v>
      </c>
      <c r="E16" s="72">
        <v>0.0023376331793966707</v>
      </c>
      <c r="F16" s="72">
        <v>-0.025873357000000003</v>
      </c>
      <c r="G16" s="72">
        <v>0.0030751221765737712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-0.35199999809265137</v>
      </c>
      <c r="D17" s="157">
        <v>0.15095339</v>
      </c>
      <c r="E17" s="72">
        <v>0.002467831603534716</v>
      </c>
      <c r="F17" s="72">
        <v>-0.08037010199999998</v>
      </c>
      <c r="G17" s="72">
        <v>0.0011384590079435355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19.327999114990234</v>
      </c>
      <c r="D18" s="75">
        <v>0.049890441</v>
      </c>
      <c r="E18" s="72">
        <v>0.00112057524171009</v>
      </c>
      <c r="F18" s="76">
        <v>0.18813125</v>
      </c>
      <c r="G18" s="72">
        <v>0.0022099826137325315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-0.4390000104904175</v>
      </c>
      <c r="D19" s="79">
        <v>-0.18946330000000003</v>
      </c>
      <c r="E19" s="72">
        <v>0.001158916473690377</v>
      </c>
      <c r="F19" s="72">
        <v>0.0010315361000000002</v>
      </c>
      <c r="G19" s="72">
        <v>0.0011343735252949709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0.2140481</v>
      </c>
      <c r="D20" s="81">
        <v>-0.0013824163000000001</v>
      </c>
      <c r="E20" s="82">
        <v>0.0007801370981075441</v>
      </c>
      <c r="F20" s="82">
        <v>-0.00124034191</v>
      </c>
      <c r="G20" s="82">
        <v>0.0010909640970444491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0.9489579000000001</v>
      </c>
      <c r="F21" s="3" t="s">
        <v>63</v>
      </c>
    </row>
    <row r="22" spans="1:6" ht="15" customHeight="1">
      <c r="A22" s="49" t="s">
        <v>42</v>
      </c>
      <c r="B22" s="64" t="s">
        <v>43</v>
      </c>
      <c r="F22" s="3" t="s">
        <v>64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65</v>
      </c>
      <c r="B24" s="88">
        <v>-0.27277400042653566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-3.7590367999999996</v>
      </c>
      <c r="I25" s="94" t="s">
        <v>48</v>
      </c>
      <c r="J25" s="95"/>
      <c r="K25" s="94"/>
      <c r="L25" s="97">
        <v>5.031733097128207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3.449802458175772</v>
      </c>
      <c r="I26" s="99" t="s">
        <v>52</v>
      </c>
      <c r="J26" s="100"/>
      <c r="K26" s="99"/>
      <c r="L26" s="102">
        <v>0.03912657957272516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126</v>
      </c>
      <c r="D2" s="44" t="s">
        <v>55</v>
      </c>
      <c r="E2" s="45"/>
      <c r="F2" s="45"/>
      <c r="G2" s="45"/>
      <c r="H2" s="45"/>
      <c r="I2" s="45"/>
      <c r="J2" s="46"/>
      <c r="K2" s="47">
        <v>5.6971859999999986E-05</v>
      </c>
      <c r="L2" s="47">
        <v>2.8202736858501074E-07</v>
      </c>
      <c r="M2" s="47">
        <v>0.00021976024</v>
      </c>
      <c r="N2" s="48">
        <v>4.1592664545274673E-07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-2.8068106E-05</v>
      </c>
      <c r="L3" s="47">
        <v>1.1264168506283603E-07</v>
      </c>
      <c r="M3" s="47">
        <v>1.0232640000000002E-05</v>
      </c>
      <c r="N3" s="48">
        <v>1.2778231646051938E-07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-0.0037588339350456846</v>
      </c>
      <c r="L4" s="47">
        <v>5.435378949607792E-05</v>
      </c>
      <c r="M4" s="47">
        <v>4.678721211534668E-08</v>
      </c>
      <c r="N4" s="48">
        <v>-7.2296359</v>
      </c>
    </row>
    <row r="5" spans="1:14" ht="15" customHeight="1" thickBot="1">
      <c r="A5" t="s">
        <v>17</v>
      </c>
      <c r="B5" s="51">
        <v>37687.50179398148</v>
      </c>
      <c r="D5" s="52"/>
      <c r="E5" s="53" t="s">
        <v>72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1464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58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59</v>
      </c>
      <c r="E7" s="66" t="s">
        <v>60</v>
      </c>
      <c r="F7" s="67" t="s">
        <v>61</v>
      </c>
      <c r="G7" s="66" t="s">
        <v>62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0.36764655</v>
      </c>
      <c r="E8" s="70">
        <v>0.009361899402790629</v>
      </c>
      <c r="F8" s="70">
        <v>-0.7918499600000001</v>
      </c>
      <c r="G8" s="70">
        <v>0.0116251294446288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-0.50101631</v>
      </c>
      <c r="E9" s="72">
        <v>0.013603242936572446</v>
      </c>
      <c r="F9" s="72">
        <v>1.4605017</v>
      </c>
      <c r="G9" s="72">
        <v>0.01153402303015465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-0.9756207100000001</v>
      </c>
      <c r="E10" s="72">
        <v>0.006822544344543924</v>
      </c>
      <c r="F10" s="76">
        <v>-2.9338764999999998</v>
      </c>
      <c r="G10" s="72">
        <v>0.008283702638305546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4</v>
      </c>
      <c r="D11" s="69">
        <v>4.406824599999999</v>
      </c>
      <c r="E11" s="70">
        <v>0.005423292499901895</v>
      </c>
      <c r="F11" s="70">
        <v>0.057309548</v>
      </c>
      <c r="G11" s="70">
        <v>0.007015185264203329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0.201983705</v>
      </c>
      <c r="E12" s="72">
        <v>0.0059875414393891924</v>
      </c>
      <c r="F12" s="72">
        <v>-0.26518003</v>
      </c>
      <c r="G12" s="72">
        <v>0.0015511689016975707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20.547486</v>
      </c>
      <c r="D13" s="75">
        <v>-0.019155297</v>
      </c>
      <c r="E13" s="72">
        <v>0.0021165224931018107</v>
      </c>
      <c r="F13" s="72">
        <v>0.20404030999999997</v>
      </c>
      <c r="G13" s="72">
        <v>0.005515446172015643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0.00851201593</v>
      </c>
      <c r="E14" s="72">
        <v>0.002114985543535294</v>
      </c>
      <c r="F14" s="72">
        <v>0.009087857</v>
      </c>
      <c r="G14" s="72">
        <v>0.0015120188585913896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-0.032368733</v>
      </c>
      <c r="E15" s="70">
        <v>0.0024678447862408184</v>
      </c>
      <c r="F15" s="70">
        <v>0.0379524019</v>
      </c>
      <c r="G15" s="70">
        <v>0.002211950204032746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-0.028643139055</v>
      </c>
      <c r="E16" s="72">
        <v>0.0005206378545918091</v>
      </c>
      <c r="F16" s="72">
        <v>-0.06880978200000001</v>
      </c>
      <c r="G16" s="72">
        <v>0.001743542567325464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0.37400001287460327</v>
      </c>
      <c r="D17" s="79">
        <v>0.15201099</v>
      </c>
      <c r="E17" s="72">
        <v>0.0006896773567368712</v>
      </c>
      <c r="F17" s="72">
        <v>-0.06685137699999999</v>
      </c>
      <c r="G17" s="72">
        <v>0.0008221270463837765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9.663999557495117</v>
      </c>
      <c r="D18" s="75">
        <v>0.050598832999999996</v>
      </c>
      <c r="E18" s="72">
        <v>0.001530876993212107</v>
      </c>
      <c r="F18" s="76">
        <v>0.1835048</v>
      </c>
      <c r="G18" s="72">
        <v>0.0003260434878937154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0.13099999725818634</v>
      </c>
      <c r="D19" s="79">
        <v>-0.18638532</v>
      </c>
      <c r="E19" s="72">
        <v>0.0010818681978882292</v>
      </c>
      <c r="F19" s="72">
        <v>0.0020194941</v>
      </c>
      <c r="G19" s="72">
        <v>0.0011115503120004686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0.2432564</v>
      </c>
      <c r="D20" s="81">
        <v>-0.00023380530000000006</v>
      </c>
      <c r="E20" s="82">
        <v>0.001200050801078963</v>
      </c>
      <c r="F20" s="82">
        <v>-0.00174576422</v>
      </c>
      <c r="G20" s="82">
        <v>0.0006176420364629536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0.9974162</v>
      </c>
      <c r="F21" s="3" t="s">
        <v>63</v>
      </c>
    </row>
    <row r="22" spans="1:6" ht="15" customHeight="1">
      <c r="A22" s="49" t="s">
        <v>42</v>
      </c>
      <c r="B22" s="64" t="s">
        <v>43</v>
      </c>
      <c r="F22" s="3" t="s">
        <v>64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65</v>
      </c>
      <c r="B24" s="88">
        <v>-0.4142279743696663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-3.7592269</v>
      </c>
      <c r="I25" s="94" t="s">
        <v>48</v>
      </c>
      <c r="J25" s="95"/>
      <c r="K25" s="94"/>
      <c r="L25" s="97">
        <v>4.407197231740045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0.8730351338170212</v>
      </c>
      <c r="I26" s="99" t="s">
        <v>52</v>
      </c>
      <c r="J26" s="100"/>
      <c r="K26" s="99"/>
      <c r="L26" s="102">
        <v>0.04988105538182219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126</v>
      </c>
      <c r="D2" s="44" t="s">
        <v>55</v>
      </c>
      <c r="E2" s="45"/>
      <c r="F2" s="45"/>
      <c r="G2" s="45"/>
      <c r="H2" s="45"/>
      <c r="I2" s="45"/>
      <c r="J2" s="46"/>
      <c r="K2" s="47">
        <v>1.8990187E-05</v>
      </c>
      <c r="L2" s="47">
        <v>6.897776109648915E-08</v>
      </c>
      <c r="M2" s="47">
        <v>0.00014469094000000004</v>
      </c>
      <c r="N2" s="48">
        <v>1.0423285658978507E-07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-3.0370003E-05</v>
      </c>
      <c r="L3" s="47">
        <v>1.2898712558259823E-07</v>
      </c>
      <c r="M3" s="47">
        <v>9.987979999999999E-06</v>
      </c>
      <c r="N3" s="48">
        <v>2.157972279710601E-07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-0.002086772347428854</v>
      </c>
      <c r="L4" s="47">
        <v>3.516405995087854E-05</v>
      </c>
      <c r="M4" s="47">
        <v>6.175710700831918E-08</v>
      </c>
      <c r="N4" s="48">
        <v>-8.4246689</v>
      </c>
    </row>
    <row r="5" spans="1:14" ht="15" customHeight="1" thickBot="1">
      <c r="A5" t="s">
        <v>17</v>
      </c>
      <c r="B5" s="51">
        <v>37687.50635416667</v>
      </c>
      <c r="D5" s="52"/>
      <c r="E5" s="53" t="s">
        <v>77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1464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58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59</v>
      </c>
      <c r="E7" s="66" t="s">
        <v>60</v>
      </c>
      <c r="F7" s="67" t="s">
        <v>61</v>
      </c>
      <c r="G7" s="66" t="s">
        <v>62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1.9166474999999998</v>
      </c>
      <c r="E8" s="70">
        <v>0.014851415579005373</v>
      </c>
      <c r="F8" s="107">
        <v>8.176649900000001</v>
      </c>
      <c r="G8" s="70">
        <v>0.016411404328264562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9">
        <v>-3.3928854999999998</v>
      </c>
      <c r="E9" s="72">
        <v>0.018710067402333087</v>
      </c>
      <c r="F9" s="76">
        <v>4.1473442</v>
      </c>
      <c r="G9" s="72">
        <v>0.03031227888431783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-0.95536752</v>
      </c>
      <c r="E10" s="72">
        <v>0.007455522919982761</v>
      </c>
      <c r="F10" s="76">
        <v>-11.042703</v>
      </c>
      <c r="G10" s="72">
        <v>0.012911522992216274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5</v>
      </c>
      <c r="D11" s="108">
        <v>14.362870000000001</v>
      </c>
      <c r="E11" s="70">
        <v>0.003786588174434284</v>
      </c>
      <c r="F11" s="107">
        <v>2.612877</v>
      </c>
      <c r="G11" s="70">
        <v>0.014869972242792654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-0.20948647999999997</v>
      </c>
      <c r="E12" s="72">
        <v>0.006834287944080854</v>
      </c>
      <c r="F12" s="72">
        <v>0.24329445</v>
      </c>
      <c r="G12" s="72">
        <v>0.00970191689935516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20.550538</v>
      </c>
      <c r="D13" s="75">
        <v>0.0722224541</v>
      </c>
      <c r="E13" s="72">
        <v>0.0058859177758137805</v>
      </c>
      <c r="F13" s="72">
        <v>0.13610983299999999</v>
      </c>
      <c r="G13" s="72">
        <v>0.006197225162746372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0.2557466</v>
      </c>
      <c r="E14" s="72">
        <v>0.0030426284359128214</v>
      </c>
      <c r="F14" s="72">
        <v>0.32396437</v>
      </c>
      <c r="G14" s="72">
        <v>0.00528345775232535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-0.30446346</v>
      </c>
      <c r="E15" s="70">
        <v>0.004142097685033995</v>
      </c>
      <c r="F15" s="70">
        <v>0.21093278999999998</v>
      </c>
      <c r="G15" s="70">
        <v>0.0008883407417222102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-0.033326626</v>
      </c>
      <c r="E16" s="72">
        <v>0.0018973990375311374</v>
      </c>
      <c r="F16" s="72">
        <v>-0.040299725</v>
      </c>
      <c r="G16" s="72">
        <v>0.006239908431111782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-0.18000000715255737</v>
      </c>
      <c r="D17" s="79">
        <v>0.15480666000000004</v>
      </c>
      <c r="E17" s="72">
        <v>0.0043855402664206835</v>
      </c>
      <c r="F17" s="72">
        <v>0.006136933499999999</v>
      </c>
      <c r="G17" s="72">
        <v>0.0005574879779241056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122.5790023803711</v>
      </c>
      <c r="D18" s="75">
        <v>-0.0153403594</v>
      </c>
      <c r="E18" s="72">
        <v>0.001327305085092128</v>
      </c>
      <c r="F18" s="76">
        <v>0.1562906</v>
      </c>
      <c r="G18" s="72">
        <v>0.0019182453534416538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-0.40700000524520874</v>
      </c>
      <c r="D19" s="75">
        <v>-0.13082303</v>
      </c>
      <c r="E19" s="72">
        <v>0.0020384016229879768</v>
      </c>
      <c r="F19" s="72">
        <v>-0.026923699999999995</v>
      </c>
      <c r="G19" s="72">
        <v>0.0006225901887920928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0.1348573</v>
      </c>
      <c r="D20" s="81">
        <v>0.0013109087200000001</v>
      </c>
      <c r="E20" s="82">
        <v>0.0013692764868865651</v>
      </c>
      <c r="F20" s="82">
        <v>0.0017543914599999998</v>
      </c>
      <c r="G20" s="82">
        <v>0.0022174714368541452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1.1809911000000002</v>
      </c>
      <c r="F21" s="3" t="s">
        <v>63</v>
      </c>
    </row>
    <row r="22" spans="1:6" ht="15" customHeight="1">
      <c r="A22" s="49" t="s">
        <v>42</v>
      </c>
      <c r="B22" s="64" t="s">
        <v>43</v>
      </c>
      <c r="F22" s="3" t="s">
        <v>64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65</v>
      </c>
      <c r="B24" s="88">
        <v>-0.48269837948300065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-2.0870686</v>
      </c>
      <c r="I25" s="94" t="s">
        <v>48</v>
      </c>
      <c r="J25" s="95"/>
      <c r="K25" s="94"/>
      <c r="L25" s="97">
        <v>14.59860133211497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8.398282040180973</v>
      </c>
      <c r="I26" s="99" t="s">
        <v>52</v>
      </c>
      <c r="J26" s="100"/>
      <c r="K26" s="99"/>
      <c r="L26" s="102">
        <v>0.3703925490238103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t="s">
        <v>117</v>
      </c>
      <c r="B1" s="123" t="s">
        <v>162</v>
      </c>
      <c r="C1" s="113" t="s">
        <v>130</v>
      </c>
      <c r="D1" s="113" t="s">
        <v>132</v>
      </c>
      <c r="E1" s="113" t="s">
        <v>134</v>
      </c>
      <c r="F1" s="120" t="s">
        <v>136</v>
      </c>
      <c r="G1" s="154" t="s">
        <v>118</v>
      </c>
    </row>
    <row r="2" spans="1:7" ht="13.5" thickBot="1">
      <c r="A2" s="131" t="s">
        <v>87</v>
      </c>
      <c r="B2" s="124">
        <v>-2.2542769999999996</v>
      </c>
      <c r="C2" s="115">
        <v>-3.7598854999999998</v>
      </c>
      <c r="D2" s="115">
        <v>-3.7590367999999996</v>
      </c>
      <c r="E2" s="115">
        <v>-3.7592269</v>
      </c>
      <c r="F2" s="121">
        <v>-2.0870686</v>
      </c>
      <c r="G2" s="155">
        <v>3.1156865216466545</v>
      </c>
    </row>
    <row r="3" spans="1:7" ht="14.25" thickBot="1" thickTop="1">
      <c r="A3" s="139" t="s">
        <v>86</v>
      </c>
      <c r="B3" s="140" t="s">
        <v>81</v>
      </c>
      <c r="C3" s="141" t="s">
        <v>82</v>
      </c>
      <c r="D3" s="141" t="s">
        <v>83</v>
      </c>
      <c r="E3" s="141" t="s">
        <v>84</v>
      </c>
      <c r="F3" s="142" t="s">
        <v>85</v>
      </c>
      <c r="G3" s="149" t="s">
        <v>119</v>
      </c>
    </row>
    <row r="4" spans="1:7" ht="12.75">
      <c r="A4" s="136" t="s">
        <v>88</v>
      </c>
      <c r="B4" s="137">
        <v>4.4327379</v>
      </c>
      <c r="C4" s="138">
        <v>0.12932690600000002</v>
      </c>
      <c r="D4" s="138">
        <v>-3.4041806</v>
      </c>
      <c r="E4" s="138">
        <v>0.36764655</v>
      </c>
      <c r="F4" s="143">
        <v>1.9166474999999998</v>
      </c>
      <c r="G4" s="150">
        <v>0.19620832546723457</v>
      </c>
    </row>
    <row r="5" spans="1:7" ht="12.75">
      <c r="A5" s="131" t="s">
        <v>90</v>
      </c>
      <c r="B5" s="126">
        <v>-0.28308194000000003</v>
      </c>
      <c r="C5" s="111">
        <v>0.21072273400000002</v>
      </c>
      <c r="D5" s="111">
        <v>1.2835439</v>
      </c>
      <c r="E5" s="111">
        <v>-0.50101631</v>
      </c>
      <c r="F5" s="144">
        <v>-3.3928854999999998</v>
      </c>
      <c r="G5" s="151">
        <v>-0.2551671376843086</v>
      </c>
    </row>
    <row r="6" spans="1:7" ht="12.75">
      <c r="A6" s="131" t="s">
        <v>92</v>
      </c>
      <c r="B6" s="126">
        <v>-0.20876106</v>
      </c>
      <c r="C6" s="111">
        <v>-0.84696219</v>
      </c>
      <c r="D6" s="111">
        <v>-1.3603779</v>
      </c>
      <c r="E6" s="111">
        <v>-0.9756207100000001</v>
      </c>
      <c r="F6" s="145">
        <v>-0.95536752</v>
      </c>
      <c r="G6" s="151">
        <v>-0.9238643154431958</v>
      </c>
    </row>
    <row r="7" spans="1:7" ht="12.75">
      <c r="A7" s="131" t="s">
        <v>94</v>
      </c>
      <c r="B7" s="125">
        <v>3.6985883</v>
      </c>
      <c r="C7" s="109">
        <v>4.5160298</v>
      </c>
      <c r="D7" s="109">
        <v>5.0187769</v>
      </c>
      <c r="E7" s="109">
        <v>4.406824599999999</v>
      </c>
      <c r="F7" s="146">
        <v>14.362870000000001</v>
      </c>
      <c r="G7" s="151">
        <v>5.808492162026948</v>
      </c>
    </row>
    <row r="8" spans="1:7" ht="12.75">
      <c r="A8" s="131" t="s">
        <v>96</v>
      </c>
      <c r="B8" s="126">
        <v>0.174108456</v>
      </c>
      <c r="C8" s="111">
        <v>0.04492924499999999</v>
      </c>
      <c r="D8" s="111">
        <v>-0.19913834699999997</v>
      </c>
      <c r="E8" s="111">
        <v>0.201983705</v>
      </c>
      <c r="F8" s="145">
        <v>-0.20948647999999997</v>
      </c>
      <c r="G8" s="151">
        <v>0.008639143224320332</v>
      </c>
    </row>
    <row r="9" spans="1:7" ht="12.75">
      <c r="A9" s="131" t="s">
        <v>98</v>
      </c>
      <c r="B9" s="126">
        <v>0.31104612000000004</v>
      </c>
      <c r="C9" s="111">
        <v>-0.09292175999999999</v>
      </c>
      <c r="D9" s="111">
        <v>0.10306008200000001</v>
      </c>
      <c r="E9" s="111">
        <v>-0.019155297</v>
      </c>
      <c r="F9" s="145">
        <v>0.0722224541</v>
      </c>
      <c r="G9" s="151">
        <v>0.052366590336387804</v>
      </c>
    </row>
    <row r="10" spans="1:7" ht="12.75">
      <c r="A10" s="131" t="s">
        <v>100</v>
      </c>
      <c r="B10" s="126">
        <v>0.050301198000000005</v>
      </c>
      <c r="C10" s="111">
        <v>0.10389631299999999</v>
      </c>
      <c r="D10" s="111">
        <v>-0.032113366</v>
      </c>
      <c r="E10" s="111">
        <v>0.00851201593</v>
      </c>
      <c r="F10" s="145">
        <v>0.2557466</v>
      </c>
      <c r="G10" s="151">
        <v>0.06076221156552279</v>
      </c>
    </row>
    <row r="11" spans="1:7" ht="12.75">
      <c r="A11" s="131" t="s">
        <v>102</v>
      </c>
      <c r="B11" s="125">
        <v>-0.3802058300000001</v>
      </c>
      <c r="C11" s="109">
        <v>-0.060776938</v>
      </c>
      <c r="D11" s="109">
        <v>0.0183130978</v>
      </c>
      <c r="E11" s="109">
        <v>-0.032368733</v>
      </c>
      <c r="F11" s="147">
        <v>-0.30446346</v>
      </c>
      <c r="G11" s="151">
        <v>-0.11356843092192612</v>
      </c>
    </row>
    <row r="12" spans="1:7" ht="12.75">
      <c r="A12" s="131" t="s">
        <v>104</v>
      </c>
      <c r="B12" s="126">
        <v>0.028770759</v>
      </c>
      <c r="C12" s="111">
        <v>-0.051004081</v>
      </c>
      <c r="D12" s="111">
        <v>-0.04394031699999999</v>
      </c>
      <c r="E12" s="111">
        <v>-0.028643139055</v>
      </c>
      <c r="F12" s="145">
        <v>-0.033326626</v>
      </c>
      <c r="G12" s="151">
        <v>-0.03004684417947297</v>
      </c>
    </row>
    <row r="13" spans="1:7" ht="12.75">
      <c r="A13" s="131" t="s">
        <v>106</v>
      </c>
      <c r="B13" s="127">
        <v>0.20960011</v>
      </c>
      <c r="C13" s="111">
        <v>0.13427538</v>
      </c>
      <c r="D13" s="159">
        <v>0.15095339</v>
      </c>
      <c r="E13" s="110">
        <v>0.15201099</v>
      </c>
      <c r="F13" s="144">
        <v>0.15480666000000004</v>
      </c>
      <c r="G13" s="152">
        <v>0.15617227462406272</v>
      </c>
    </row>
    <row r="14" spans="1:7" ht="12.75">
      <c r="A14" s="131" t="s">
        <v>108</v>
      </c>
      <c r="B14" s="126">
        <v>-0.00037476429999999976</v>
      </c>
      <c r="C14" s="111">
        <v>0.058737937000000004</v>
      </c>
      <c r="D14" s="111">
        <v>0.049890441</v>
      </c>
      <c r="E14" s="111">
        <v>0.050598832999999996</v>
      </c>
      <c r="F14" s="145">
        <v>-0.0153403594</v>
      </c>
      <c r="G14" s="151">
        <v>0.03622007098957413</v>
      </c>
    </row>
    <row r="15" spans="1:7" ht="12.75">
      <c r="A15" s="131" t="s">
        <v>110</v>
      </c>
      <c r="B15" s="127">
        <v>-0.19015621</v>
      </c>
      <c r="C15" s="110">
        <v>-0.18595166000000002</v>
      </c>
      <c r="D15" s="110">
        <v>-0.18946330000000003</v>
      </c>
      <c r="E15" s="110">
        <v>-0.18638532</v>
      </c>
      <c r="F15" s="145">
        <v>-0.13082303</v>
      </c>
      <c r="G15" s="152">
        <v>-0.18014171524123218</v>
      </c>
    </row>
    <row r="16" spans="1:7" ht="12.75">
      <c r="A16" s="131" t="s">
        <v>112</v>
      </c>
      <c r="B16" s="126">
        <v>0.0048748720300000005</v>
      </c>
      <c r="C16" s="111">
        <v>-0.0014627550000000003</v>
      </c>
      <c r="D16" s="111">
        <v>-0.0013824163000000001</v>
      </c>
      <c r="E16" s="111">
        <v>-0.00023380530000000006</v>
      </c>
      <c r="F16" s="145">
        <v>0.0013109087200000001</v>
      </c>
      <c r="G16" s="151">
        <v>0.0001376482477433003</v>
      </c>
    </row>
    <row r="17" spans="1:7" ht="12.75">
      <c r="A17" s="131" t="s">
        <v>89</v>
      </c>
      <c r="B17" s="125">
        <v>2.4360599</v>
      </c>
      <c r="C17" s="109">
        <v>0.13007174999999999</v>
      </c>
      <c r="D17" s="109">
        <v>-0.5591882000000001</v>
      </c>
      <c r="E17" s="109">
        <v>-0.7918499600000001</v>
      </c>
      <c r="F17" s="146">
        <v>8.176649900000001</v>
      </c>
      <c r="G17" s="151">
        <v>1.1502987444343193</v>
      </c>
    </row>
    <row r="18" spans="1:7" ht="12.75">
      <c r="A18" s="131" t="s">
        <v>91</v>
      </c>
      <c r="B18" s="127">
        <v>4.1977867</v>
      </c>
      <c r="C18" s="111">
        <v>1.7762943</v>
      </c>
      <c r="D18" s="111">
        <v>-0.49202781</v>
      </c>
      <c r="E18" s="111">
        <v>1.4605017</v>
      </c>
      <c r="F18" s="144">
        <v>4.1473442</v>
      </c>
      <c r="G18" s="151">
        <v>1.8206885716913832</v>
      </c>
    </row>
    <row r="19" spans="1:7" ht="12.75">
      <c r="A19" s="131" t="s">
        <v>93</v>
      </c>
      <c r="B19" s="126">
        <v>-2.1700181</v>
      </c>
      <c r="C19" s="110">
        <v>-2.5638300000000003</v>
      </c>
      <c r="D19" s="111">
        <v>-1.9675486</v>
      </c>
      <c r="E19" s="110">
        <v>-2.9338764999999998</v>
      </c>
      <c r="F19" s="144">
        <v>-11.042703</v>
      </c>
      <c r="G19" s="152">
        <v>-3.585493871259577</v>
      </c>
    </row>
    <row r="20" spans="1:7" ht="12.75">
      <c r="A20" s="131" t="s">
        <v>95</v>
      </c>
      <c r="B20" s="125">
        <v>0.35476089</v>
      </c>
      <c r="C20" s="109">
        <v>0.011413409999999999</v>
      </c>
      <c r="D20" s="109">
        <v>-0.36085508</v>
      </c>
      <c r="E20" s="109">
        <v>0.057309548</v>
      </c>
      <c r="F20" s="146">
        <v>2.612877</v>
      </c>
      <c r="G20" s="151">
        <v>0.33002783426995236</v>
      </c>
    </row>
    <row r="21" spans="1:7" ht="12.75">
      <c r="A21" s="131" t="s">
        <v>97</v>
      </c>
      <c r="B21" s="126">
        <v>0.08632954699999999</v>
      </c>
      <c r="C21" s="111">
        <v>0.006629322999999998</v>
      </c>
      <c r="D21" s="111">
        <v>0.104649858</v>
      </c>
      <c r="E21" s="111">
        <v>-0.26518003</v>
      </c>
      <c r="F21" s="145">
        <v>0.24329445</v>
      </c>
      <c r="G21" s="151">
        <v>0.007927220540594743</v>
      </c>
    </row>
    <row r="22" spans="1:7" ht="12.75">
      <c r="A22" s="131" t="s">
        <v>99</v>
      </c>
      <c r="B22" s="126">
        <v>0.32573672</v>
      </c>
      <c r="C22" s="111">
        <v>0.099921947</v>
      </c>
      <c r="D22" s="111">
        <v>-0.007144457999999999</v>
      </c>
      <c r="E22" s="111">
        <v>0.20404030999999997</v>
      </c>
      <c r="F22" s="145">
        <v>0.13610983299999999</v>
      </c>
      <c r="G22" s="151">
        <v>0.13663975711380477</v>
      </c>
    </row>
    <row r="23" spans="1:7" ht="12.75">
      <c r="A23" s="131" t="s">
        <v>101</v>
      </c>
      <c r="B23" s="127">
        <v>0.41841633</v>
      </c>
      <c r="C23" s="111">
        <v>0.014101916</v>
      </c>
      <c r="D23" s="111">
        <v>0.06103147330000001</v>
      </c>
      <c r="E23" s="111">
        <v>0.009087857</v>
      </c>
      <c r="F23" s="145">
        <v>0.32396437</v>
      </c>
      <c r="G23" s="151">
        <v>0.12394553461296845</v>
      </c>
    </row>
    <row r="24" spans="1:7" ht="12.75">
      <c r="A24" s="131" t="s">
        <v>103</v>
      </c>
      <c r="B24" s="125">
        <v>0.098044626</v>
      </c>
      <c r="C24" s="109">
        <v>0.15010275</v>
      </c>
      <c r="D24" s="109">
        <v>0.0345762878</v>
      </c>
      <c r="E24" s="109">
        <v>0.0379524019</v>
      </c>
      <c r="F24" s="147">
        <v>0.21093278999999998</v>
      </c>
      <c r="G24" s="151">
        <v>0.09592277784231558</v>
      </c>
    </row>
    <row r="25" spans="1:7" ht="12.75">
      <c r="A25" s="131" t="s">
        <v>105</v>
      </c>
      <c r="B25" s="126">
        <v>-0.091721222</v>
      </c>
      <c r="C25" s="111">
        <v>-0.059141846</v>
      </c>
      <c r="D25" s="111">
        <v>-0.025873357000000003</v>
      </c>
      <c r="E25" s="111">
        <v>-0.06880978200000001</v>
      </c>
      <c r="F25" s="145">
        <v>-0.040299725</v>
      </c>
      <c r="G25" s="151">
        <v>-0.055646510769435095</v>
      </c>
    </row>
    <row r="26" spans="1:7" ht="12.75">
      <c r="A26" s="131" t="s">
        <v>107</v>
      </c>
      <c r="B26" s="126">
        <v>0.02365316782</v>
      </c>
      <c r="C26" s="111">
        <v>-0.08491860800000002</v>
      </c>
      <c r="D26" s="111">
        <v>-0.08037010199999998</v>
      </c>
      <c r="E26" s="111">
        <v>-0.06685137699999999</v>
      </c>
      <c r="F26" s="145">
        <v>0.006136933499999999</v>
      </c>
      <c r="G26" s="151">
        <v>-0.05163924477606502</v>
      </c>
    </row>
    <row r="27" spans="1:7" ht="12.75">
      <c r="A27" s="131" t="s">
        <v>109</v>
      </c>
      <c r="B27" s="127">
        <v>0.21353481</v>
      </c>
      <c r="C27" s="110">
        <v>0.17286397999999997</v>
      </c>
      <c r="D27" s="110">
        <v>0.18813125</v>
      </c>
      <c r="E27" s="110">
        <v>0.1835048</v>
      </c>
      <c r="F27" s="144">
        <v>0.1562906</v>
      </c>
      <c r="G27" s="152">
        <v>0.18275450617717418</v>
      </c>
    </row>
    <row r="28" spans="1:7" ht="12.75">
      <c r="A28" s="131" t="s">
        <v>111</v>
      </c>
      <c r="B28" s="126">
        <v>-0.004652925400000001</v>
      </c>
      <c r="C28" s="111">
        <v>0.00927112949</v>
      </c>
      <c r="D28" s="111">
        <v>0.0010315361000000002</v>
      </c>
      <c r="E28" s="111">
        <v>0.0020194941</v>
      </c>
      <c r="F28" s="145">
        <v>-0.026923699999999995</v>
      </c>
      <c r="G28" s="151">
        <v>-0.0013030439072935075</v>
      </c>
    </row>
    <row r="29" spans="1:7" ht="13.5" thickBot="1">
      <c r="A29" s="132" t="s">
        <v>113</v>
      </c>
      <c r="B29" s="128">
        <v>-0.0041524691</v>
      </c>
      <c r="C29" s="112">
        <v>-0.0045175622</v>
      </c>
      <c r="D29" s="112">
        <v>-0.00124034191</v>
      </c>
      <c r="E29" s="112">
        <v>-0.00174576422</v>
      </c>
      <c r="F29" s="148">
        <v>0.0017543914599999998</v>
      </c>
      <c r="G29" s="153">
        <v>-0.0021710056569402263</v>
      </c>
    </row>
    <row r="30" spans="1:7" ht="13.5" thickTop="1">
      <c r="A30" s="133" t="s">
        <v>114</v>
      </c>
      <c r="B30" s="129">
        <v>-0.08233187589723676</v>
      </c>
      <c r="C30" s="118">
        <v>-0.1665185953609478</v>
      </c>
      <c r="D30" s="118">
        <v>-0.27277400042653566</v>
      </c>
      <c r="E30" s="118">
        <v>-0.4142279743696663</v>
      </c>
      <c r="F30" s="114">
        <v>-0.48269837948300065</v>
      </c>
      <c r="G30" s="154" t="s">
        <v>125</v>
      </c>
    </row>
    <row r="31" spans="1:7" ht="13.5" thickBot="1">
      <c r="A31" s="134" t="s">
        <v>115</v>
      </c>
      <c r="B31" s="124">
        <v>20.709229</v>
      </c>
      <c r="C31" s="115">
        <v>20.666504</v>
      </c>
      <c r="D31" s="115">
        <v>20.599366</v>
      </c>
      <c r="E31" s="115">
        <v>20.547486</v>
      </c>
      <c r="F31" s="116">
        <v>20.550538</v>
      </c>
      <c r="G31" s="156">
        <v>-209.99</v>
      </c>
    </row>
    <row r="32" spans="1:7" ht="15.75" thickBot="1" thickTop="1">
      <c r="A32" s="135" t="s">
        <v>116</v>
      </c>
      <c r="B32" s="130">
        <v>-0.27949999272823334</v>
      </c>
      <c r="C32" s="119">
        <v>0.25449999794363976</v>
      </c>
      <c r="D32" s="119">
        <v>-0.3955000042915344</v>
      </c>
      <c r="E32" s="119">
        <v>0.2525000050663948</v>
      </c>
      <c r="F32" s="117">
        <v>-0.29350000619888306</v>
      </c>
      <c r="G32" s="122" t="s">
        <v>124</v>
      </c>
    </row>
    <row r="33" spans="1:7" ht="15" thickTop="1">
      <c r="A33" t="s">
        <v>120</v>
      </c>
      <c r="G33" s="26" t="s">
        <v>121</v>
      </c>
    </row>
    <row r="34" ht="14.25">
      <c r="A34" t="s">
        <v>122</v>
      </c>
    </row>
    <row r="35" spans="1:2" ht="12.75">
      <c r="A35" t="s">
        <v>123</v>
      </c>
      <c r="B35" t="s">
        <v>27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1" style="162" bestFit="1" customWidth="1"/>
    <col min="2" max="2" width="15.66015625" style="162" bestFit="1" customWidth="1"/>
    <col min="3" max="3" width="14.83203125" style="162" bestFit="1" customWidth="1"/>
    <col min="4" max="4" width="16" style="162" bestFit="1" customWidth="1"/>
    <col min="5" max="5" width="21.33203125" style="162" bestFit="1" customWidth="1"/>
    <col min="6" max="7" width="14.83203125" style="162" bestFit="1" customWidth="1"/>
    <col min="8" max="8" width="14.16015625" style="162" bestFit="1" customWidth="1"/>
    <col min="9" max="9" width="14.83203125" style="162" bestFit="1" customWidth="1"/>
    <col min="10" max="10" width="6.33203125" style="162" bestFit="1" customWidth="1"/>
    <col min="11" max="11" width="15" style="162" bestFit="1" customWidth="1"/>
    <col min="12" max="16384" width="10.66015625" style="162" customWidth="1"/>
  </cols>
  <sheetData>
    <row r="1" spans="1:5" ht="12.75">
      <c r="A1" s="162" t="s">
        <v>163</v>
      </c>
      <c r="B1" s="162" t="s">
        <v>164</v>
      </c>
      <c r="C1" s="162" t="s">
        <v>165</v>
      </c>
      <c r="D1" s="162" t="s">
        <v>166</v>
      </c>
      <c r="E1" s="162" t="s">
        <v>167</v>
      </c>
    </row>
    <row r="3" spans="1:8" ht="12.75">
      <c r="A3" s="162" t="s">
        <v>168</v>
      </c>
      <c r="B3" s="162" t="s">
        <v>81</v>
      </c>
      <c r="C3" s="162" t="s">
        <v>82</v>
      </c>
      <c r="D3" s="162" t="s">
        <v>83</v>
      </c>
      <c r="E3" s="162" t="s">
        <v>84</v>
      </c>
      <c r="F3" s="162" t="s">
        <v>85</v>
      </c>
      <c r="G3" s="162" t="s">
        <v>169</v>
      </c>
      <c r="H3"/>
    </row>
    <row r="4" spans="1:8" ht="12.75">
      <c r="A4" s="162" t="s">
        <v>170</v>
      </c>
      <c r="B4" s="162">
        <v>0.002253</v>
      </c>
      <c r="C4" s="162">
        <v>0.003758</v>
      </c>
      <c r="D4" s="162">
        <v>0.003758</v>
      </c>
      <c r="E4" s="162">
        <v>0.003758</v>
      </c>
      <c r="F4" s="162">
        <v>0.002086</v>
      </c>
      <c r="G4" s="162">
        <v>0.011708</v>
      </c>
      <c r="H4"/>
    </row>
    <row r="5" spans="1:8" ht="12.75">
      <c r="A5" s="162" t="s">
        <v>171</v>
      </c>
      <c r="B5" s="162">
        <v>3.58103</v>
      </c>
      <c r="C5" s="162">
        <v>2.09719</v>
      </c>
      <c r="D5" s="162">
        <v>-0.136835</v>
      </c>
      <c r="E5" s="162">
        <v>-2.053739</v>
      </c>
      <c r="F5" s="162">
        <v>-3.768476</v>
      </c>
      <c r="G5" s="162">
        <v>-4.802422</v>
      </c>
      <c r="H5"/>
    </row>
    <row r="6" spans="1:8" ht="12.75">
      <c r="A6" s="162" t="s">
        <v>172</v>
      </c>
      <c r="B6" s="163">
        <v>-106.3917</v>
      </c>
      <c r="C6" s="163">
        <v>-260.7252</v>
      </c>
      <c r="D6" s="163">
        <v>-242.7537</v>
      </c>
      <c r="E6" s="163">
        <v>-264.896</v>
      </c>
      <c r="F6" s="163">
        <v>-206.1557</v>
      </c>
      <c r="G6" s="163">
        <v>1192.131</v>
      </c>
      <c r="H6"/>
    </row>
    <row r="7" spans="1:8" ht="12.75">
      <c r="A7" s="162" t="s">
        <v>173</v>
      </c>
      <c r="B7" s="163">
        <v>10000</v>
      </c>
      <c r="C7" s="163">
        <v>10000</v>
      </c>
      <c r="D7" s="163">
        <v>10000</v>
      </c>
      <c r="E7" s="163">
        <v>10000</v>
      </c>
      <c r="F7" s="163">
        <v>10000</v>
      </c>
      <c r="G7" s="163">
        <v>10000</v>
      </c>
      <c r="H7"/>
    </row>
    <row r="8" spans="1:8" ht="12.75">
      <c r="A8" s="162" t="s">
        <v>88</v>
      </c>
      <c r="B8" s="163">
        <v>4.343327</v>
      </c>
      <c r="C8" s="163">
        <v>0.1560483</v>
      </c>
      <c r="D8" s="163">
        <v>-3.402406</v>
      </c>
      <c r="E8" s="163">
        <v>0.3659049</v>
      </c>
      <c r="F8" s="163">
        <v>1.925522</v>
      </c>
      <c r="G8" s="163">
        <v>1.124802</v>
      </c>
      <c r="H8"/>
    </row>
    <row r="9" spans="1:8" ht="12.75">
      <c r="A9" s="162" t="s">
        <v>90</v>
      </c>
      <c r="B9" s="163">
        <v>-0.2795214</v>
      </c>
      <c r="C9" s="163">
        <v>0.1416158</v>
      </c>
      <c r="D9" s="163">
        <v>1.246859</v>
      </c>
      <c r="E9" s="163">
        <v>-0.5120046</v>
      </c>
      <c r="F9" s="163">
        <v>-2.921621</v>
      </c>
      <c r="G9" s="163">
        <v>0.2198803</v>
      </c>
      <c r="H9"/>
    </row>
    <row r="10" spans="1:8" ht="12.75">
      <c r="A10" s="162" t="s">
        <v>174</v>
      </c>
      <c r="B10" s="163">
        <v>-0.391408</v>
      </c>
      <c r="C10" s="163">
        <v>-0.7320429</v>
      </c>
      <c r="D10" s="163">
        <v>-1.332084</v>
      </c>
      <c r="E10" s="163">
        <v>-0.9331489</v>
      </c>
      <c r="F10" s="163">
        <v>-1.500236</v>
      </c>
      <c r="G10" s="163">
        <v>3.525776</v>
      </c>
      <c r="H10"/>
    </row>
    <row r="11" spans="1:8" ht="12.75">
      <c r="A11" s="162" t="s">
        <v>94</v>
      </c>
      <c r="B11" s="163">
        <v>3.668724</v>
      </c>
      <c r="C11" s="163">
        <v>4.511607</v>
      </c>
      <c r="D11" s="163">
        <v>5.013364</v>
      </c>
      <c r="E11" s="163">
        <v>4.404717</v>
      </c>
      <c r="F11" s="163">
        <v>14.40195</v>
      </c>
      <c r="G11" s="163">
        <v>5.806593</v>
      </c>
      <c r="H11"/>
    </row>
    <row r="12" spans="1:8" ht="12.75">
      <c r="A12" s="162" t="s">
        <v>96</v>
      </c>
      <c r="B12" s="163">
        <v>0.1341233</v>
      </c>
      <c r="C12" s="163">
        <v>0.04248891</v>
      </c>
      <c r="D12" s="163">
        <v>-0.1997519</v>
      </c>
      <c r="E12" s="163">
        <v>0.1963828</v>
      </c>
      <c r="F12" s="163">
        <v>-0.2183692</v>
      </c>
      <c r="G12" s="163">
        <v>0.006479482</v>
      </c>
      <c r="H12"/>
    </row>
    <row r="13" spans="1:8" ht="12.75">
      <c r="A13" s="162" t="s">
        <v>98</v>
      </c>
      <c r="B13" s="163">
        <v>0.2746037</v>
      </c>
      <c r="C13" s="163">
        <v>-0.09367883</v>
      </c>
      <c r="D13" s="163">
        <v>0.1026614</v>
      </c>
      <c r="E13" s="163">
        <v>-0.01685399</v>
      </c>
      <c r="F13" s="163">
        <v>0.04583168</v>
      </c>
      <c r="G13" s="163">
        <v>-0.04384711</v>
      </c>
      <c r="H13"/>
    </row>
    <row r="14" spans="1:8" ht="12.75">
      <c r="A14" s="162" t="s">
        <v>100</v>
      </c>
      <c r="B14" s="163">
        <v>0.06879319</v>
      </c>
      <c r="C14" s="163">
        <v>0.1068298</v>
      </c>
      <c r="D14" s="163">
        <v>-0.03106455</v>
      </c>
      <c r="E14" s="163">
        <v>0.007180731</v>
      </c>
      <c r="F14" s="163">
        <v>0.2550956</v>
      </c>
      <c r="G14" s="163">
        <v>-0.1145531</v>
      </c>
      <c r="H14"/>
    </row>
    <row r="15" spans="1:8" ht="12.75">
      <c r="A15" s="162" t="s">
        <v>102</v>
      </c>
      <c r="B15" s="163">
        <v>-0.3798175</v>
      </c>
      <c r="C15" s="163">
        <v>-0.06651397</v>
      </c>
      <c r="D15" s="163">
        <v>0.01835661</v>
      </c>
      <c r="E15" s="163">
        <v>-0.03107558</v>
      </c>
      <c r="F15" s="163">
        <v>-0.2916905</v>
      </c>
      <c r="G15" s="163">
        <v>-0.1128751</v>
      </c>
      <c r="H15"/>
    </row>
    <row r="16" spans="1:8" ht="12.75">
      <c r="A16" s="162" t="s">
        <v>104</v>
      </c>
      <c r="B16" s="163">
        <v>0.004984607</v>
      </c>
      <c r="C16" s="163">
        <v>-0.04679858</v>
      </c>
      <c r="D16" s="163">
        <v>-0.04454602</v>
      </c>
      <c r="E16" s="163">
        <v>-0.02493063</v>
      </c>
      <c r="F16" s="163">
        <v>-0.0393351</v>
      </c>
      <c r="G16" s="163">
        <v>-0.05607809</v>
      </c>
      <c r="H16"/>
    </row>
    <row r="17" spans="1:8" ht="12.75">
      <c r="A17" s="162" t="s">
        <v>175</v>
      </c>
      <c r="B17" s="163">
        <v>0.1936196</v>
      </c>
      <c r="C17" s="163">
        <v>0.1478182</v>
      </c>
      <c r="D17" s="163">
        <v>0.1603551</v>
      </c>
      <c r="E17" s="163">
        <v>0.1550016</v>
      </c>
      <c r="F17" s="163">
        <v>0.13631</v>
      </c>
      <c r="G17" s="163">
        <v>-0.1576424</v>
      </c>
      <c r="H17"/>
    </row>
    <row r="18" spans="1:8" ht="12.75">
      <c r="A18" s="162" t="s">
        <v>176</v>
      </c>
      <c r="B18" s="163">
        <v>-0.0007393059</v>
      </c>
      <c r="C18" s="163">
        <v>0.05095834</v>
      </c>
      <c r="D18" s="163">
        <v>0.04921452</v>
      </c>
      <c r="E18" s="163">
        <v>0.05287596</v>
      </c>
      <c r="F18" s="163">
        <v>-0.004869791</v>
      </c>
      <c r="G18" s="163">
        <v>-0.1835093</v>
      </c>
      <c r="H18"/>
    </row>
    <row r="19" spans="1:8" ht="12.75">
      <c r="A19" s="162" t="s">
        <v>177</v>
      </c>
      <c r="B19" s="163">
        <v>-0.1898713</v>
      </c>
      <c r="C19" s="163">
        <v>-0.1861574</v>
      </c>
      <c r="D19" s="163">
        <v>-0.1896512</v>
      </c>
      <c r="E19" s="163">
        <v>-0.1862807</v>
      </c>
      <c r="F19" s="163">
        <v>-0.1323575</v>
      </c>
      <c r="G19" s="163">
        <v>-0.1803746</v>
      </c>
      <c r="H19"/>
    </row>
    <row r="20" spans="1:8" ht="12.75">
      <c r="A20" s="162" t="s">
        <v>112</v>
      </c>
      <c r="B20" s="163">
        <v>0.005268695</v>
      </c>
      <c r="C20" s="163">
        <v>-0.001257989</v>
      </c>
      <c r="D20" s="163">
        <v>-0.001289353</v>
      </c>
      <c r="E20" s="163">
        <v>-0.000466601</v>
      </c>
      <c r="F20" s="163">
        <v>0.001596501</v>
      </c>
      <c r="G20" s="163">
        <v>-0.00214806</v>
      </c>
      <c r="H20"/>
    </row>
    <row r="21" spans="1:8" ht="12.75">
      <c r="A21" s="162" t="s">
        <v>178</v>
      </c>
      <c r="B21" s="163">
        <v>-1254.944</v>
      </c>
      <c r="C21" s="163">
        <v>-1150.376</v>
      </c>
      <c r="D21" s="163">
        <v>-1153.64</v>
      </c>
      <c r="E21" s="163">
        <v>-1181</v>
      </c>
      <c r="F21" s="163">
        <v>-1288.859</v>
      </c>
      <c r="G21" s="163">
        <v>-227.8271</v>
      </c>
      <c r="H21"/>
    </row>
    <row r="22" spans="1:8" ht="12.75">
      <c r="A22" s="162" t="s">
        <v>179</v>
      </c>
      <c r="B22" s="163">
        <v>71.62183</v>
      </c>
      <c r="C22" s="163">
        <v>41.94404</v>
      </c>
      <c r="D22" s="163">
        <v>-2.736697</v>
      </c>
      <c r="E22" s="163">
        <v>-41.07502</v>
      </c>
      <c r="F22" s="163">
        <v>-75.37096</v>
      </c>
      <c r="G22" s="163">
        <v>0</v>
      </c>
      <c r="H22"/>
    </row>
    <row r="23" spans="1:8" ht="12.75">
      <c r="A23" s="162" t="s">
        <v>89</v>
      </c>
      <c r="B23" s="163">
        <v>2.343161</v>
      </c>
      <c r="C23" s="163">
        <v>0.1516038</v>
      </c>
      <c r="D23" s="163">
        <v>-0.5716361</v>
      </c>
      <c r="E23" s="163">
        <v>-0.7757247</v>
      </c>
      <c r="F23" s="163">
        <v>8.040246</v>
      </c>
      <c r="G23" s="163">
        <v>-0.1909068</v>
      </c>
      <c r="H23"/>
    </row>
    <row r="24" spans="1:8" ht="12.75">
      <c r="A24" s="162" t="s">
        <v>91</v>
      </c>
      <c r="B24" s="163">
        <v>4.294443</v>
      </c>
      <c r="C24" s="163">
        <v>1.759522</v>
      </c>
      <c r="D24" s="163">
        <v>-0.475938</v>
      </c>
      <c r="E24" s="163">
        <v>1.437739</v>
      </c>
      <c r="F24" s="163">
        <v>4.303189</v>
      </c>
      <c r="G24" s="163">
        <v>-1.849829</v>
      </c>
      <c r="H24"/>
    </row>
    <row r="25" spans="1:8" ht="12.75">
      <c r="A25" s="162" t="s">
        <v>93</v>
      </c>
      <c r="B25" s="163">
        <v>-2.072486</v>
      </c>
      <c r="C25" s="163">
        <v>-2.661932</v>
      </c>
      <c r="D25" s="163">
        <v>-2.059723</v>
      </c>
      <c r="E25" s="163">
        <v>-2.940125</v>
      </c>
      <c r="F25" s="163">
        <v>-10.34633</v>
      </c>
      <c r="G25" s="163">
        <v>-0.9781803</v>
      </c>
      <c r="H25"/>
    </row>
    <row r="26" spans="1:8" ht="12.75">
      <c r="A26" s="162" t="s">
        <v>95</v>
      </c>
      <c r="B26" s="163">
        <v>0.4382576</v>
      </c>
      <c r="C26" s="163">
        <v>0.07168928</v>
      </c>
      <c r="D26" s="163">
        <v>-0.3562554</v>
      </c>
      <c r="E26" s="163">
        <v>0.001466614</v>
      </c>
      <c r="F26" s="163">
        <v>2.273404</v>
      </c>
      <c r="G26" s="163">
        <v>0.29923</v>
      </c>
      <c r="H26"/>
    </row>
    <row r="27" spans="1:8" ht="12.75">
      <c r="A27" s="162" t="s">
        <v>97</v>
      </c>
      <c r="B27" s="163">
        <v>0.07491068</v>
      </c>
      <c r="C27" s="163">
        <v>0.01099437</v>
      </c>
      <c r="D27" s="163">
        <v>0.09955475</v>
      </c>
      <c r="E27" s="163">
        <v>-0.2661781</v>
      </c>
      <c r="F27" s="163">
        <v>0.2478821</v>
      </c>
      <c r="G27" s="163">
        <v>0.0004049482</v>
      </c>
      <c r="H27"/>
    </row>
    <row r="28" spans="1:8" ht="12.75">
      <c r="A28" s="162" t="s">
        <v>99</v>
      </c>
      <c r="B28" s="163">
        <v>0.2962347</v>
      </c>
      <c r="C28" s="163">
        <v>0.09231735</v>
      </c>
      <c r="D28" s="163">
        <v>-0.008021775</v>
      </c>
      <c r="E28" s="163">
        <v>0.2018298</v>
      </c>
      <c r="F28" s="163">
        <v>0.1407958</v>
      </c>
      <c r="G28" s="163">
        <v>-0.1304371</v>
      </c>
      <c r="H28"/>
    </row>
    <row r="29" spans="1:8" ht="12.75">
      <c r="A29" s="162" t="s">
        <v>101</v>
      </c>
      <c r="B29" s="163">
        <v>0.3868154</v>
      </c>
      <c r="C29" s="163">
        <v>0.02100017</v>
      </c>
      <c r="D29" s="163">
        <v>0.05841499</v>
      </c>
      <c r="E29" s="163">
        <v>0.008204811</v>
      </c>
      <c r="F29" s="163">
        <v>0.2816295</v>
      </c>
      <c r="G29" s="163">
        <v>0.0639745</v>
      </c>
      <c r="H29"/>
    </row>
    <row r="30" spans="1:8" ht="12.75">
      <c r="A30" s="162" t="s">
        <v>103</v>
      </c>
      <c r="B30" s="163">
        <v>0.09258692</v>
      </c>
      <c r="C30" s="163">
        <v>0.1467554</v>
      </c>
      <c r="D30" s="163">
        <v>0.03460635</v>
      </c>
      <c r="E30" s="163">
        <v>0.03465815</v>
      </c>
      <c r="F30" s="163">
        <v>0.2181632</v>
      </c>
      <c r="G30" s="163">
        <v>0.09450069</v>
      </c>
      <c r="H30"/>
    </row>
    <row r="31" spans="1:8" ht="12.75">
      <c r="A31" s="162" t="s">
        <v>105</v>
      </c>
      <c r="B31" s="163">
        <v>-0.07871627</v>
      </c>
      <c r="C31" s="163">
        <v>-0.06925587</v>
      </c>
      <c r="D31" s="163">
        <v>-0.03276227</v>
      </c>
      <c r="E31" s="163">
        <v>-0.07118094</v>
      </c>
      <c r="F31" s="163">
        <v>-0.02265584</v>
      </c>
      <c r="G31" s="163">
        <v>0.03251702</v>
      </c>
      <c r="H31"/>
    </row>
    <row r="32" spans="1:8" ht="12.75">
      <c r="A32" s="162" t="s">
        <v>107</v>
      </c>
      <c r="B32" s="163">
        <v>0.003181514</v>
      </c>
      <c r="C32" s="163">
        <v>-0.07562979</v>
      </c>
      <c r="D32" s="163">
        <v>-0.07934911</v>
      </c>
      <c r="E32" s="163">
        <v>-0.063658</v>
      </c>
      <c r="F32" s="163">
        <v>-0.007419182</v>
      </c>
      <c r="G32" s="163">
        <v>0.05313726</v>
      </c>
      <c r="H32"/>
    </row>
    <row r="33" spans="1:8" ht="12.75">
      <c r="A33" s="162" t="s">
        <v>109</v>
      </c>
      <c r="B33" s="163">
        <v>0.2098541</v>
      </c>
      <c r="C33" s="163">
        <v>0.1778726</v>
      </c>
      <c r="D33" s="163">
        <v>0.1912267</v>
      </c>
      <c r="E33" s="163">
        <v>0.1830899</v>
      </c>
      <c r="F33" s="163">
        <v>0.1520339</v>
      </c>
      <c r="G33" s="163">
        <v>0.03605708</v>
      </c>
      <c r="H33"/>
    </row>
    <row r="34" spans="1:8" ht="12.75">
      <c r="A34" s="162" t="s">
        <v>111</v>
      </c>
      <c r="B34" s="163">
        <v>-0.01407895</v>
      </c>
      <c r="C34" s="163">
        <v>0.003808948</v>
      </c>
      <c r="D34" s="163">
        <v>0.001392571</v>
      </c>
      <c r="E34" s="163">
        <v>0.007394392</v>
      </c>
      <c r="F34" s="163">
        <v>-0.01998618</v>
      </c>
      <c r="G34" s="163">
        <v>-0.00169404</v>
      </c>
      <c r="H34"/>
    </row>
    <row r="35" spans="1:8" ht="12.75">
      <c r="A35" s="162" t="s">
        <v>113</v>
      </c>
      <c r="B35" s="163">
        <v>-0.003870367</v>
      </c>
      <c r="C35" s="163">
        <v>-0.004557617</v>
      </c>
      <c r="D35" s="163">
        <v>-0.001232265</v>
      </c>
      <c r="E35" s="163">
        <v>-0.00175249</v>
      </c>
      <c r="F35" s="163">
        <v>0.001690613</v>
      </c>
      <c r="G35" s="163">
        <v>-0.0002486106</v>
      </c>
      <c r="H35"/>
    </row>
    <row r="36" spans="1:6" ht="12.75">
      <c r="A36" s="162" t="s">
        <v>180</v>
      </c>
      <c r="B36" s="163">
        <v>20.55054</v>
      </c>
      <c r="C36" s="163">
        <v>20.55054</v>
      </c>
      <c r="D36" s="163">
        <v>20.5719</v>
      </c>
      <c r="E36" s="163">
        <v>20.58106</v>
      </c>
      <c r="F36" s="163">
        <v>20.59937</v>
      </c>
    </row>
    <row r="37" spans="1:6" ht="12.75">
      <c r="A37" s="162" t="s">
        <v>181</v>
      </c>
      <c r="B37" s="163">
        <v>-0.2848307</v>
      </c>
      <c r="C37" s="163">
        <v>-0.2405802</v>
      </c>
      <c r="D37" s="163">
        <v>-0.2263387</v>
      </c>
      <c r="E37" s="163">
        <v>-0.2110799</v>
      </c>
      <c r="F37" s="163">
        <v>-0.2024333</v>
      </c>
    </row>
    <row r="38" spans="1:7" ht="12.75">
      <c r="A38" s="162" t="s">
        <v>182</v>
      </c>
      <c r="B38" s="163">
        <v>0.0001961356</v>
      </c>
      <c r="C38" s="163">
        <v>0.0004514277</v>
      </c>
      <c r="D38" s="163">
        <v>0.0004121445</v>
      </c>
      <c r="E38" s="163">
        <v>0.000442069</v>
      </c>
      <c r="F38" s="163">
        <v>0.0003339315</v>
      </c>
      <c r="G38" s="163">
        <v>0.0001887845</v>
      </c>
    </row>
    <row r="39" spans="1:7" ht="12.75">
      <c r="A39" s="162" t="s">
        <v>183</v>
      </c>
      <c r="B39" s="163">
        <v>0.002132</v>
      </c>
      <c r="C39" s="163">
        <v>0.001953746</v>
      </c>
      <c r="D39" s="163">
        <v>0.001961301</v>
      </c>
      <c r="E39" s="163">
        <v>0.002009517</v>
      </c>
      <c r="F39" s="163">
        <v>0.002193578</v>
      </c>
      <c r="G39" s="163">
        <v>0.001014203</v>
      </c>
    </row>
    <row r="40" spans="2:5" ht="12.75">
      <c r="B40" s="162" t="s">
        <v>184</v>
      </c>
      <c r="C40" s="162">
        <v>0.003758</v>
      </c>
      <c r="D40" s="162" t="s">
        <v>185</v>
      </c>
      <c r="E40" s="162">
        <v>3.115687</v>
      </c>
    </row>
    <row r="42" ht="12.75">
      <c r="A42" s="162" t="s">
        <v>186</v>
      </c>
    </row>
    <row r="50" spans="1:8" ht="12.75">
      <c r="A50" s="162" t="s">
        <v>187</v>
      </c>
      <c r="B50" s="162">
        <f>-0.017/(B7*B7+B22*B22)*(B21*B22+B6*B7)</f>
        <v>0.0001961356644459138</v>
      </c>
      <c r="C50" s="162">
        <f>-0.017/(C7*C7+C22*C22)*(C21*C22+C6*C7)</f>
        <v>0.00045142763890533804</v>
      </c>
      <c r="D50" s="162">
        <f>-0.017/(D7*D7+D22*D22)*(D21*D22+D6*D7)</f>
        <v>0.0004121445414007878</v>
      </c>
      <c r="E50" s="162">
        <f>-0.017/(E7*E7+E22*E22)*(E21*E22+E6*E7)</f>
        <v>0.0004420691098334839</v>
      </c>
      <c r="F50" s="162">
        <f>-0.017/(F7*F7+F22*F22)*(F21*F22+F6*F7)</f>
        <v>0.00033393148825853184</v>
      </c>
      <c r="G50" s="162">
        <f>(B50*B$4+C50*C$4+D50*D$4+E50*E$4+F50*F$4)/SUM(B$4:F$4)</f>
        <v>0.00038718213699151944</v>
      </c>
      <c r="H50"/>
    </row>
    <row r="51" spans="1:8" ht="12.75">
      <c r="A51" s="162" t="s">
        <v>188</v>
      </c>
      <c r="B51" s="162">
        <f>-0.017/(B7*B7+B22*B22)*(B21*B7-B6*B22)</f>
        <v>0.002132000040478412</v>
      </c>
      <c r="C51" s="162">
        <f>-0.017/(C7*C7+C22*C22)*(C21*C7-C6*C22)</f>
        <v>0.0019537457301056654</v>
      </c>
      <c r="D51" s="162">
        <f>-0.017/(D7*D7+D22*D22)*(D21*D7-D6*D22)</f>
        <v>0.001961300791473002</v>
      </c>
      <c r="E51" s="162">
        <f>-0.017/(E7*E7+E22*E22)*(E21*E7-E6*E22)</f>
        <v>0.002009515799752779</v>
      </c>
      <c r="F51" s="162">
        <f>-0.017/(F7*F7+F22*F22)*(F21*F7-F6*F22)</f>
        <v>0.002193577173684428</v>
      </c>
      <c r="G51" s="162">
        <f>(B51*B$4+C51*C$4+D51*D$4+E51*E$4+F51*F$4)/SUM(B$4:F$4)</f>
        <v>0.00202675355659176</v>
      </c>
      <c r="H51"/>
    </row>
    <row r="58" ht="12.75">
      <c r="A58" s="162" t="s">
        <v>189</v>
      </c>
    </row>
    <row r="60" spans="2:6" ht="12.75">
      <c r="B60" s="162" t="s">
        <v>81</v>
      </c>
      <c r="C60" s="162" t="s">
        <v>82</v>
      </c>
      <c r="D60" s="162" t="s">
        <v>83</v>
      </c>
      <c r="E60" s="162" t="s">
        <v>84</v>
      </c>
      <c r="F60" s="162" t="s">
        <v>85</v>
      </c>
    </row>
    <row r="61" spans="1:6" ht="12.75">
      <c r="A61" s="162" t="s">
        <v>191</v>
      </c>
      <c r="B61" s="162">
        <f>B6+(1/0.017)*(B7*B50-B22*B51)</f>
        <v>0</v>
      </c>
      <c r="C61" s="162">
        <f>C6+(1/0.017)*(C7*C50-C22*C51)</f>
        <v>0</v>
      </c>
      <c r="D61" s="162">
        <f>D6+(1/0.017)*(D7*D50-D22*D51)</f>
        <v>0</v>
      </c>
      <c r="E61" s="162">
        <f>E6+(1/0.017)*(E7*E50-E22*E51)</f>
        <v>0</v>
      </c>
      <c r="F61" s="162">
        <f>F6+(1/0.017)*(F7*F50-F22*F51)</f>
        <v>0</v>
      </c>
    </row>
    <row r="62" spans="1:6" ht="12.75">
      <c r="A62" s="162" t="s">
        <v>194</v>
      </c>
      <c r="B62" s="162">
        <f>B7+(2/0.017)*(B8*B50-B23*B51)</f>
        <v>9999.512501409436</v>
      </c>
      <c r="C62" s="162">
        <f>C7+(2/0.017)*(C8*C50-C23*C51)</f>
        <v>9999.973441086906</v>
      </c>
      <c r="D62" s="162">
        <f>D7+(2/0.017)*(D8*D50-D23*D51)</f>
        <v>9999.966925561745</v>
      </c>
      <c r="E62" s="162">
        <f>E7+(2/0.017)*(E8*E50-E23*E51)</f>
        <v>10000.20242191698</v>
      </c>
      <c r="F62" s="162">
        <f>F7+(2/0.017)*(F8*F50-F23*F51)</f>
        <v>9998.000716744791</v>
      </c>
    </row>
    <row r="63" spans="1:6" ht="12.75">
      <c r="A63" s="162" t="s">
        <v>195</v>
      </c>
      <c r="B63" s="162">
        <f>B8+(3/0.017)*(B9*B50-B24*B51)</f>
        <v>2.7179311002326907</v>
      </c>
      <c r="C63" s="162">
        <f>C8+(3/0.017)*(C9*C50-C24*C51)</f>
        <v>-0.43931569558258055</v>
      </c>
      <c r="D63" s="162">
        <f>D8+(3/0.017)*(D9*D50-D24*D51)</f>
        <v>-3.146992404675555</v>
      </c>
      <c r="E63" s="162">
        <f>E8+(3/0.017)*(E9*E50-E24*E51)</f>
        <v>-0.18388933308942534</v>
      </c>
      <c r="F63" s="162">
        <f>F8+(3/0.017)*(F9*F50-F24*F51)</f>
        <v>0.08758110356929993</v>
      </c>
    </row>
    <row r="64" spans="1:6" ht="12.75">
      <c r="A64" s="162" t="s">
        <v>196</v>
      </c>
      <c r="B64" s="162">
        <f>B9+(4/0.017)*(B10*B50-B25*B51)</f>
        <v>0.7420718159391757</v>
      </c>
      <c r="C64" s="162">
        <f>C9+(4/0.017)*(C10*C50-C25*C51)</f>
        <v>1.287562595507581</v>
      </c>
      <c r="D64" s="162">
        <f>D9+(4/0.017)*(D10*D50-D25*D51)</f>
        <v>2.0682061060771337</v>
      </c>
      <c r="E64" s="162">
        <f>E9+(4/0.017)*(E10*E50-E25*E51)</f>
        <v>0.7811039499254222</v>
      </c>
      <c r="F64" s="162">
        <f>F9+(4/0.017)*(F10*F50-F25*F51)</f>
        <v>2.300613653926442</v>
      </c>
    </row>
    <row r="65" spans="1:6" ht="12.75">
      <c r="A65" s="162" t="s">
        <v>197</v>
      </c>
      <c r="B65" s="162">
        <f>B10+(5/0.017)*(B11*B50-B26*B51)</f>
        <v>-0.454583765156265</v>
      </c>
      <c r="C65" s="162">
        <f>C10+(5/0.017)*(C11*C50-C26*C51)</f>
        <v>-0.17421893794575127</v>
      </c>
      <c r="D65" s="162">
        <f>D10+(5/0.017)*(D11*D50-D26*D51)</f>
        <v>-0.5188620574583087</v>
      </c>
      <c r="E65" s="162">
        <f>E10+(5/0.017)*(E11*E50-E26*E51)</f>
        <v>-0.36131297669021323</v>
      </c>
      <c r="F65" s="162">
        <f>F10+(5/0.017)*(F11*F50-F26*F51)</f>
        <v>-1.5524779187170323</v>
      </c>
    </row>
    <row r="66" spans="1:6" ht="12.75">
      <c r="A66" s="162" t="s">
        <v>198</v>
      </c>
      <c r="B66" s="162">
        <f>B11+(6/0.017)*(B12*B50-B27*B51)</f>
        <v>3.621640514036793</v>
      </c>
      <c r="C66" s="162">
        <f>C11+(6/0.017)*(C12*C50-C27*C51)</f>
        <v>4.5107953993687975</v>
      </c>
      <c r="D66" s="162">
        <f>D11+(6/0.017)*(D12*D50-D27*D51)</f>
        <v>4.9153933652272945</v>
      </c>
      <c r="E66" s="162">
        <f>E11+(6/0.017)*(E12*E50-E27*E51)</f>
        <v>4.624141894263805</v>
      </c>
      <c r="F66" s="162">
        <f>F11+(6/0.017)*(F12*F50-F27*F51)</f>
        <v>14.184302164139723</v>
      </c>
    </row>
    <row r="67" spans="1:6" ht="12.75">
      <c r="A67" s="162" t="s">
        <v>199</v>
      </c>
      <c r="B67" s="162">
        <f>B12+(7/0.017)*(B13*B50-B28*B51)</f>
        <v>-0.10375844662506634</v>
      </c>
      <c r="C67" s="162">
        <f>C12+(7/0.017)*(C13*C50-C28*C51)</f>
        <v>-0.049192083525670206</v>
      </c>
      <c r="D67" s="162">
        <f>D12+(7/0.017)*(D13*D50-D28*D51)</f>
        <v>-0.17585124441449598</v>
      </c>
      <c r="E67" s="162">
        <f>E12+(7/0.017)*(E13*E50-E28*E51)</f>
        <v>0.02631129398695875</v>
      </c>
      <c r="F67" s="162">
        <f>F12+(7/0.017)*(F13*F50-F28*F51)</f>
        <v>-0.3392393578489379</v>
      </c>
    </row>
    <row r="68" spans="1:6" ht="12.75">
      <c r="A68" s="162" t="s">
        <v>200</v>
      </c>
      <c r="B68" s="162">
        <f>B13+(8/0.017)*(B14*B50-B29*B51)</f>
        <v>-0.10713637078949134</v>
      </c>
      <c r="C68" s="162">
        <f>C13+(8/0.017)*(C14*C50-C29*C51)</f>
        <v>-0.09029203851306523</v>
      </c>
      <c r="D68" s="162">
        <f>D13+(8/0.017)*(D14*D50-D29*D51)</f>
        <v>0.04272142313672502</v>
      </c>
      <c r="E68" s="162">
        <f>E13+(8/0.017)*(E14*E50-E29*E51)</f>
        <v>-0.023119080812876093</v>
      </c>
      <c r="F68" s="162">
        <f>F13+(8/0.017)*(F14*F50-F29*F51)</f>
        <v>-0.20479965613174372</v>
      </c>
    </row>
    <row r="69" spans="1:6" ht="12.75">
      <c r="A69" s="162" t="s">
        <v>201</v>
      </c>
      <c r="B69" s="162">
        <f>B14+(9/0.017)*(B15*B50-B30*B51)</f>
        <v>-0.07514914378035978</v>
      </c>
      <c r="C69" s="162">
        <f>C14+(9/0.017)*(C15*C50-C30*C51)</f>
        <v>-0.060860836762436754</v>
      </c>
      <c r="D69" s="162">
        <f>D14+(9/0.017)*(D15*D50-D30*D51)</f>
        <v>-0.06299225384198927</v>
      </c>
      <c r="E69" s="162">
        <f>E14+(9/0.017)*(E15*E50-E30*E51)</f>
        <v>-0.03696355641354405</v>
      </c>
      <c r="F69" s="162">
        <f>F14+(9/0.017)*(F15*F50-F30*F51)</f>
        <v>-0.04982570152379018</v>
      </c>
    </row>
    <row r="70" spans="1:6" ht="12.75">
      <c r="A70" s="162" t="s">
        <v>202</v>
      </c>
      <c r="B70" s="162">
        <f>B15+(10/0.017)*(B16*B50-B31*B51)</f>
        <v>-0.2805229411574962</v>
      </c>
      <c r="C70" s="162">
        <f>C15+(10/0.017)*(C16*C50-C31*C51)</f>
        <v>0.0006520228374885112</v>
      </c>
      <c r="D70" s="162">
        <f>D15+(10/0.017)*(D16*D50-D31*D51)</f>
        <v>0.045355002410189346</v>
      </c>
      <c r="E70" s="162">
        <f>E15+(10/0.017)*(E16*E50-E31*E51)</f>
        <v>0.0465821624468039</v>
      </c>
      <c r="F70" s="162">
        <f>F15+(10/0.017)*(F16*F50-F31*F51)</f>
        <v>-0.270183379417148</v>
      </c>
    </row>
    <row r="71" spans="1:6" ht="12.75">
      <c r="A71" s="162" t="s">
        <v>203</v>
      </c>
      <c r="B71" s="162">
        <f>B16+(11/0.017)*(B17*B50-B32*B51)</f>
        <v>0.02516813230050962</v>
      </c>
      <c r="C71" s="162">
        <f>C16+(11/0.017)*(C17*C50-C32*C51)</f>
        <v>0.09198945548469276</v>
      </c>
      <c r="D71" s="162">
        <f>D16+(11/0.017)*(D17*D50-D32*D51)</f>
        <v>0.09891788972711843</v>
      </c>
      <c r="E71" s="162">
        <f>E16+(11/0.017)*(E17*E50-E32*E51)</f>
        <v>0.10217966042762998</v>
      </c>
      <c r="F71" s="162">
        <f>F16+(11/0.017)*(F17*F50-F32*F51)</f>
        <v>0.0006484437599081974</v>
      </c>
    </row>
    <row r="72" spans="1:6" ht="12.75">
      <c r="A72" s="162" t="s">
        <v>204</v>
      </c>
      <c r="B72" s="162">
        <f>B17+(12/0.017)*(B18*B50-B33*B51)</f>
        <v>-0.12230083808128422</v>
      </c>
      <c r="C72" s="162">
        <f>C17+(12/0.017)*(C18*C50-C33*C51)</f>
        <v>-0.0812503856310994</v>
      </c>
      <c r="D72" s="162">
        <f>D17+(12/0.017)*(D18*D50-D33*D51)</f>
        <v>-0.09007048749537208</v>
      </c>
      <c r="E72" s="162">
        <f>E17+(12/0.017)*(E18*E50-E33*E51)</f>
        <v>-0.08820820112214034</v>
      </c>
      <c r="F72" s="162">
        <f>F17+(12/0.017)*(F18*F50-F33*F51)</f>
        <v>-0.10024830768637102</v>
      </c>
    </row>
    <row r="73" spans="1:6" ht="12.75">
      <c r="A73" s="162" t="s">
        <v>205</v>
      </c>
      <c r="B73" s="162">
        <f>B18+(13/0.017)*(B19*B50-B34*B51)</f>
        <v>-0.006263703017212154</v>
      </c>
      <c r="C73" s="162">
        <f>C18+(13/0.017)*(C19*C50-C34*C51)</f>
        <v>-0.01899566286431554</v>
      </c>
      <c r="D73" s="162">
        <f>D18+(13/0.017)*(D19*D50-D34*D51)</f>
        <v>-0.012646329818216971</v>
      </c>
      <c r="E73" s="162">
        <f>E18+(13/0.017)*(E19*E50-E34*E51)</f>
        <v>-0.02145963883308291</v>
      </c>
      <c r="F73" s="162">
        <f>F18+(13/0.017)*(F19*F50-F34*F51)</f>
        <v>-0.005142874138846764</v>
      </c>
    </row>
    <row r="74" spans="1:6" ht="12.75">
      <c r="A74" s="162" t="s">
        <v>206</v>
      </c>
      <c r="B74" s="162">
        <f>B19+(14/0.017)*(B20*B50-B35*B51)</f>
        <v>-0.18222482809802595</v>
      </c>
      <c r="C74" s="162">
        <f>C19+(14/0.017)*(C20*C50-C35*C51)</f>
        <v>-0.17929201926539098</v>
      </c>
      <c r="D74" s="162">
        <f>D19+(14/0.017)*(D20*D50-D35*D51)</f>
        <v>-0.18809848263148113</v>
      </c>
      <c r="E74" s="162">
        <f>E19+(14/0.017)*(E20*E50-E35*E51)</f>
        <v>-0.1835503817427836</v>
      </c>
      <c r="F74" s="162">
        <f>F19+(14/0.017)*(F20*F50-F35*F51)</f>
        <v>-0.1349725090493865</v>
      </c>
    </row>
    <row r="75" spans="1:6" ht="12.75">
      <c r="A75" s="162" t="s">
        <v>207</v>
      </c>
      <c r="B75" s="163">
        <f>B20</f>
        <v>0.005268695</v>
      </c>
      <c r="C75" s="163">
        <f>C20</f>
        <v>-0.001257989</v>
      </c>
      <c r="D75" s="163">
        <f>D20</f>
        <v>-0.001289353</v>
      </c>
      <c r="E75" s="163">
        <f>E20</f>
        <v>-0.000466601</v>
      </c>
      <c r="F75" s="163">
        <f>F20</f>
        <v>0.001596501</v>
      </c>
    </row>
    <row r="78" ht="12.75">
      <c r="A78" s="162" t="s">
        <v>189</v>
      </c>
    </row>
    <row r="80" spans="2:6" ht="12.75">
      <c r="B80" s="162" t="s">
        <v>81</v>
      </c>
      <c r="C80" s="162" t="s">
        <v>82</v>
      </c>
      <c r="D80" s="162" t="s">
        <v>83</v>
      </c>
      <c r="E80" s="162" t="s">
        <v>84</v>
      </c>
      <c r="F80" s="162" t="s">
        <v>85</v>
      </c>
    </row>
    <row r="81" spans="1:6" ht="12.75">
      <c r="A81" s="162" t="s">
        <v>208</v>
      </c>
      <c r="B81" s="162">
        <f>B21+(1/0.017)*(B7*B51+B22*B50)</f>
        <v>0</v>
      </c>
      <c r="C81" s="162">
        <f>C21+(1/0.017)*(C7*C51+C22*C50)</f>
        <v>0</v>
      </c>
      <c r="D81" s="162">
        <f>D21+(1/0.017)*(D7*D51+D22*D50)</f>
        <v>0</v>
      </c>
      <c r="E81" s="162">
        <f>E21+(1/0.017)*(E7*E51+E22*E50)</f>
        <v>0</v>
      </c>
      <c r="F81" s="162">
        <f>F21+(1/0.017)*(F7*F51+F22*F50)</f>
        <v>0</v>
      </c>
    </row>
    <row r="82" spans="1:6" ht="12.75">
      <c r="A82" s="162" t="s">
        <v>209</v>
      </c>
      <c r="B82" s="162">
        <f>B22+(2/0.017)*(B8*B51+B23*B50)</f>
        <v>72.7653065622882</v>
      </c>
      <c r="C82" s="162">
        <f>C22+(2/0.017)*(C8*C51+C23*C50)</f>
        <v>41.987959628858626</v>
      </c>
      <c r="D82" s="162">
        <f>D22+(2/0.017)*(D8*D51+D23*D50)</f>
        <v>-3.549489738705309</v>
      </c>
      <c r="E82" s="162">
        <f>E22+(2/0.017)*(E8*E51+E23*E50)</f>
        <v>-41.0288590882174</v>
      </c>
      <c r="F82" s="162">
        <f>F22+(2/0.017)*(F8*F51+F23*F50)</f>
        <v>-74.55817500948565</v>
      </c>
    </row>
    <row r="83" spans="1:6" ht="12.75">
      <c r="A83" s="162" t="s">
        <v>210</v>
      </c>
      <c r="B83" s="162">
        <f>B23+(3/0.017)*(B9*B51+B24*B50)</f>
        <v>2.386635199138033</v>
      </c>
      <c r="C83" s="162">
        <f>C23+(3/0.017)*(C9*C51+C24*C50)</f>
        <v>0.3405999399930876</v>
      </c>
      <c r="D83" s="162">
        <f>D23+(3/0.017)*(D9*D51+D24*D50)</f>
        <v>-0.1746989891511715</v>
      </c>
      <c r="E83" s="162">
        <f>E23+(3/0.017)*(E9*E51+E24*E50)</f>
        <v>-0.8451308176488033</v>
      </c>
      <c r="F83" s="162">
        <f>F23+(3/0.017)*(F9*F51+F24*F50)</f>
        <v>7.1628640890477655</v>
      </c>
    </row>
    <row r="84" spans="1:6" ht="12.75">
      <c r="A84" s="162" t="s">
        <v>211</v>
      </c>
      <c r="B84" s="162">
        <f>B24+(4/0.017)*(B10*B51+B25*B50)</f>
        <v>4.002449990468605</v>
      </c>
      <c r="C84" s="162">
        <f>C24+(4/0.017)*(C10*C51+C25*C50)</f>
        <v>1.1402525016904157</v>
      </c>
      <c r="D84" s="162">
        <f>D24+(4/0.017)*(D10*D51+D25*D50)</f>
        <v>-1.290413528177924</v>
      </c>
      <c r="E84" s="162">
        <f>E24+(4/0.017)*(E10*E51+E25*E50)</f>
        <v>0.690699964795036</v>
      </c>
      <c r="F84" s="162">
        <f>F24+(4/0.017)*(F10*F51+F25*F50)</f>
        <v>2.71593045419917</v>
      </c>
    </row>
    <row r="85" spans="1:6" ht="12.75">
      <c r="A85" s="162" t="s">
        <v>212</v>
      </c>
      <c r="B85" s="162">
        <f>B25+(5/0.017)*(B11*B51+B26*B50)</f>
        <v>0.25330154767017454</v>
      </c>
      <c r="C85" s="162">
        <f>C25+(5/0.017)*(C11*C51+C26*C50)</f>
        <v>-0.05990393100880764</v>
      </c>
      <c r="D85" s="162">
        <f>D25+(5/0.017)*(D11*D51+D26*D50)</f>
        <v>0.7890670184375592</v>
      </c>
      <c r="E85" s="162">
        <f>E25+(5/0.017)*(E11*E51+E26*E50)</f>
        <v>-0.3365965442102614</v>
      </c>
      <c r="F85" s="162">
        <f>F25+(5/0.017)*(F11*F51+F26*F50)</f>
        <v>-0.8313447183301932</v>
      </c>
    </row>
    <row r="86" spans="1:6" ht="12.75">
      <c r="A86" s="162" t="s">
        <v>213</v>
      </c>
      <c r="B86" s="162">
        <f>B26+(6/0.017)*(B12*B51+B27*B50)</f>
        <v>0.54436708365588</v>
      </c>
      <c r="C86" s="162">
        <f>C26+(6/0.017)*(C12*C51+C27*C50)</f>
        <v>0.10273952316930432</v>
      </c>
      <c r="D86" s="162">
        <f>D26+(6/0.017)*(D12*D51+D27*D50)</f>
        <v>-0.4800469103947821</v>
      </c>
      <c r="E86" s="162">
        <f>E26+(6/0.017)*(E12*E51+E27*E50)</f>
        <v>0.09921904588547836</v>
      </c>
      <c r="F86" s="162">
        <f>F26+(6/0.017)*(F12*F51+F27*F50)</f>
        <v>2.133556686827031</v>
      </c>
    </row>
    <row r="87" spans="1:6" ht="12.75">
      <c r="A87" s="162" t="s">
        <v>214</v>
      </c>
      <c r="B87" s="162">
        <f>B27+(7/0.017)*(B13*B51+B28*B50)</f>
        <v>0.33990485791904135</v>
      </c>
      <c r="C87" s="162">
        <f>C27+(7/0.017)*(C13*C51+C28*C50)</f>
        <v>-0.04720857561253397</v>
      </c>
      <c r="D87" s="162">
        <f>D27+(7/0.017)*(D13*D51+D28*D50)</f>
        <v>0.18110217823917166</v>
      </c>
      <c r="E87" s="162">
        <f>E27+(7/0.017)*(E13*E51+E28*E50)</f>
        <v>-0.24338512789353156</v>
      </c>
      <c r="F87" s="162">
        <f>F27+(7/0.017)*(F13*F51+F28*F50)</f>
        <v>0.3086385909881834</v>
      </c>
    </row>
    <row r="88" spans="1:6" ht="12.75">
      <c r="A88" s="162" t="s">
        <v>215</v>
      </c>
      <c r="B88" s="162">
        <f>B28+(8/0.017)*(B14*B51+B29*B50)</f>
        <v>0.4009572314642593</v>
      </c>
      <c r="C88" s="162">
        <f>C28+(8/0.017)*(C14*C51+C29*C50)</f>
        <v>0.19499891365070726</v>
      </c>
      <c r="D88" s="162">
        <f>D28+(8/0.017)*(D14*D51+D29*D50)</f>
        <v>-0.02536366075871578</v>
      </c>
      <c r="E88" s="162">
        <f>E28+(8/0.017)*(E14*E51+E29*E50)</f>
        <v>0.21032715806748073</v>
      </c>
      <c r="F88" s="162">
        <f>F28+(8/0.017)*(F14*F51+F29*F50)</f>
        <v>0.44838019686580677</v>
      </c>
    </row>
    <row r="89" spans="1:6" ht="12.75">
      <c r="A89" s="162" t="s">
        <v>216</v>
      </c>
      <c r="B89" s="162">
        <f>B29+(9/0.017)*(B15*B51+B30*B50)</f>
        <v>-0.03227295027711036</v>
      </c>
      <c r="C89" s="162">
        <f>C29+(9/0.017)*(C15*C51+C30*C50)</f>
        <v>-0.012724387085377119</v>
      </c>
      <c r="D89" s="162">
        <f>D29+(9/0.017)*(D15*D51+D30*D50)</f>
        <v>0.08502621751462337</v>
      </c>
      <c r="E89" s="162">
        <f>E29+(9/0.017)*(E15*E51+E30*E50)</f>
        <v>-0.016744020958679707</v>
      </c>
      <c r="F89" s="162">
        <f>F29+(9/0.017)*(F15*F51+F30*F50)</f>
        <v>-0.018543826158363863</v>
      </c>
    </row>
    <row r="90" spans="1:6" ht="12.75">
      <c r="A90" s="162" t="s">
        <v>217</v>
      </c>
      <c r="B90" s="162">
        <f>B30+(10/0.017)*(B16*B51+B31*B50)</f>
        <v>0.08975639906271472</v>
      </c>
      <c r="C90" s="162">
        <f>C30+(10/0.017)*(C16*C51+C31*C50)</f>
        <v>0.07458096486797446</v>
      </c>
      <c r="D90" s="162">
        <f>D30+(10/0.017)*(D16*D51+D31*D50)</f>
        <v>-0.024729494133747636</v>
      </c>
      <c r="E90" s="162">
        <f>E30+(10/0.017)*(E16*E51+E31*E50)</f>
        <v>-0.013321490979824276</v>
      </c>
      <c r="F90" s="162">
        <f>F30+(10/0.017)*(F16*F51+F31*F50)</f>
        <v>0.16295727302732851</v>
      </c>
    </row>
    <row r="91" spans="1:6" ht="12.75">
      <c r="A91" s="162" t="s">
        <v>218</v>
      </c>
      <c r="B91" s="162">
        <f>B31+(11/0.017)*(B17*B51+B32*B50)</f>
        <v>0.18879143808218982</v>
      </c>
      <c r="C91" s="162">
        <f>C31+(11/0.017)*(C17*C51+C32*C50)</f>
        <v>0.0955227061802521</v>
      </c>
      <c r="D91" s="162">
        <f>D31+(11/0.017)*(D17*D51+D32*D50)</f>
        <v>0.14957973599690816</v>
      </c>
      <c r="E91" s="162">
        <f>E31+(11/0.017)*(E17*E51+E32*E50)</f>
        <v>0.11215471980735203</v>
      </c>
      <c r="F91" s="162">
        <f>F31+(11/0.017)*(F17*F51+F32*F50)</f>
        <v>0.16921586980223746</v>
      </c>
    </row>
    <row r="92" spans="1:6" ht="12.75">
      <c r="A92" s="162" t="s">
        <v>219</v>
      </c>
      <c r="B92" s="162">
        <f>B32+(12/0.017)*(B18*B51+B33*B50)</f>
        <v>0.031122930328098805</v>
      </c>
      <c r="C92" s="162">
        <f>C32+(12/0.017)*(C18*C51+C33*C50)</f>
        <v>0.05132756084627743</v>
      </c>
      <c r="D92" s="162">
        <f>D32+(12/0.017)*(D18*D51+D33*D50)</f>
        <v>0.04441854948450581</v>
      </c>
      <c r="E92" s="162">
        <f>E32+(12/0.017)*(E18*E51+E33*E50)</f>
        <v>0.0684785643479512</v>
      </c>
      <c r="F92" s="162">
        <f>F32+(12/0.017)*(F18*F51+F33*F50)</f>
        <v>0.020877272669083485</v>
      </c>
    </row>
    <row r="93" spans="1:6" ht="12.75">
      <c r="A93" s="162" t="s">
        <v>220</v>
      </c>
      <c r="B93" s="162">
        <f>B33+(13/0.017)*(B19*B51+B34*B50)</f>
        <v>-0.10181478502837138</v>
      </c>
      <c r="C93" s="162">
        <f>C33+(13/0.017)*(C19*C51+C34*C50)</f>
        <v>-0.09893927603987346</v>
      </c>
      <c r="D93" s="162">
        <f>D33+(13/0.017)*(D19*D51+D34*D50)</f>
        <v>-0.09277673562702002</v>
      </c>
      <c r="E93" s="162">
        <f>E33+(13/0.017)*(E19*E51+E34*E50)</f>
        <v>-0.10066582400867644</v>
      </c>
      <c r="F93" s="162">
        <f>F33+(13/0.017)*(F19*F51+F34*F50)</f>
        <v>-0.07509170428077724</v>
      </c>
    </row>
    <row r="94" spans="1:6" ht="12.75">
      <c r="A94" s="162" t="s">
        <v>221</v>
      </c>
      <c r="B94" s="162">
        <f>B34+(14/0.017)*(B20*B51+B35*B50)</f>
        <v>-0.005453516276409753</v>
      </c>
      <c r="C94" s="162">
        <f>C34+(14/0.017)*(C20*C51+C35*C50)</f>
        <v>9.05274787878726E-05</v>
      </c>
      <c r="D94" s="162">
        <f>D34+(14/0.017)*(D20*D51+D35*D50)</f>
        <v>-0.0011082245845742732</v>
      </c>
      <c r="E94" s="162">
        <f>E34+(14/0.017)*(E20*E51+E35*E50)</f>
        <v>0.005984210066846152</v>
      </c>
      <c r="F94" s="162">
        <f>F34+(14/0.017)*(F20*F51+F35*F50)</f>
        <v>-0.016637217709921753</v>
      </c>
    </row>
    <row r="95" spans="1:6" ht="12.75">
      <c r="A95" s="162" t="s">
        <v>222</v>
      </c>
      <c r="B95" s="163">
        <f>B35</f>
        <v>-0.003870367</v>
      </c>
      <c r="C95" s="163">
        <f>C35</f>
        <v>-0.004557617</v>
      </c>
      <c r="D95" s="163">
        <f>D35</f>
        <v>-0.001232265</v>
      </c>
      <c r="E95" s="163">
        <f>E35</f>
        <v>-0.00175249</v>
      </c>
      <c r="F95" s="163">
        <f>F35</f>
        <v>0.001690613</v>
      </c>
    </row>
    <row r="98" ht="12.75">
      <c r="A98" s="162" t="s">
        <v>190</v>
      </c>
    </row>
    <row r="100" spans="2:11" ht="12.75">
      <c r="B100" s="162" t="s">
        <v>81</v>
      </c>
      <c r="C100" s="162" t="s">
        <v>82</v>
      </c>
      <c r="D100" s="162" t="s">
        <v>83</v>
      </c>
      <c r="E100" s="162" t="s">
        <v>84</v>
      </c>
      <c r="F100" s="162" t="s">
        <v>85</v>
      </c>
      <c r="G100" s="162" t="s">
        <v>192</v>
      </c>
      <c r="H100" s="162" t="s">
        <v>193</v>
      </c>
      <c r="I100" s="162" t="s">
        <v>226</v>
      </c>
      <c r="K100" s="162" t="s">
        <v>223</v>
      </c>
    </row>
    <row r="101" spans="1:9" ht="12.75">
      <c r="A101" s="162" t="s">
        <v>191</v>
      </c>
      <c r="B101" s="162">
        <f>B61*10000/B62</f>
        <v>0</v>
      </c>
      <c r="C101" s="162">
        <f>C61*10000/C62</f>
        <v>0</v>
      </c>
      <c r="D101" s="162">
        <f>D61*10000/D62</f>
        <v>0</v>
      </c>
      <c r="E101" s="162">
        <f>E61*10000/E62</f>
        <v>0</v>
      </c>
      <c r="F101" s="162">
        <f>F61*10000/F62</f>
        <v>0</v>
      </c>
      <c r="G101" s="162">
        <f>AVERAGE(C101:E101)</f>
        <v>0</v>
      </c>
      <c r="H101" s="162">
        <f>STDEV(C101:E101)</f>
        <v>0</v>
      </c>
      <c r="I101" s="162">
        <f>(B101*B4+C101*C4+D101*D4+E101*E4+F101*F4)/SUM(B4:F4)</f>
        <v>0</v>
      </c>
    </row>
    <row r="102" spans="1:9" ht="12.75">
      <c r="A102" s="162" t="s">
        <v>194</v>
      </c>
      <c r="B102" s="162">
        <f>B62*10000/B62</f>
        <v>10000</v>
      </c>
      <c r="C102" s="162">
        <f>C62*10000/C62</f>
        <v>10000</v>
      </c>
      <c r="D102" s="162">
        <f>D62*10000/D62</f>
        <v>10000</v>
      </c>
      <c r="E102" s="162">
        <f>E62*10000/E62</f>
        <v>10000</v>
      </c>
      <c r="F102" s="162">
        <f>F62*10000/F62</f>
        <v>10000</v>
      </c>
      <c r="G102" s="162">
        <f>AVERAGE(C102:E102)</f>
        <v>10000</v>
      </c>
      <c r="H102" s="162">
        <f>STDEV(C102:E102)</f>
        <v>0</v>
      </c>
      <c r="I102" s="162">
        <f>(B102*B4+C102*C4+D102*D4+E102*E4+F102*F4)/SUM(B4:F4)</f>
        <v>9999.999999999998</v>
      </c>
    </row>
    <row r="103" spans="1:11" ht="12.75">
      <c r="A103" s="162" t="s">
        <v>195</v>
      </c>
      <c r="B103" s="162">
        <f>B63*10000/B62</f>
        <v>2.718063605450363</v>
      </c>
      <c r="C103" s="162">
        <f>C63*10000/C62</f>
        <v>-0.43931686236041734</v>
      </c>
      <c r="D103" s="162">
        <f>D63*10000/D62</f>
        <v>-3.1470028132105785</v>
      </c>
      <c r="E103" s="162">
        <f>E63*10000/E62</f>
        <v>-0.18388561084164018</v>
      </c>
      <c r="F103" s="162">
        <f>F63*10000/F62</f>
        <v>0.08759861701411752</v>
      </c>
      <c r="G103" s="162">
        <f>AVERAGE(C103:E103)</f>
        <v>-1.2567350954708787</v>
      </c>
      <c r="H103" s="162">
        <f>STDEV(C103:E103)</f>
        <v>1.641994310163635</v>
      </c>
      <c r="I103" s="162">
        <f>(B103*B4+C103*C4+D103*D4+E103*E4+F103*F4)/SUM(B4:F4)</f>
        <v>-0.5035485459660264</v>
      </c>
      <c r="K103" s="162">
        <f>(LN(H103)+LN(H123))/2-LN(K114*K115^3)</f>
        <v>-3.8905734998867145</v>
      </c>
    </row>
    <row r="104" spans="1:11" ht="12.75">
      <c r="A104" s="162" t="s">
        <v>196</v>
      </c>
      <c r="B104" s="162">
        <f>B64*10000/B62</f>
        <v>0.7421079935992683</v>
      </c>
      <c r="C104" s="162">
        <f>C64*10000/C62</f>
        <v>1.2875660151429709</v>
      </c>
      <c r="D104" s="162">
        <f>D64*10000/D62</f>
        <v>2.068212946575274</v>
      </c>
      <c r="E104" s="162">
        <f>E64*10000/E62</f>
        <v>0.7810881389895797</v>
      </c>
      <c r="F104" s="162">
        <f>F64*10000/F62</f>
        <v>2.301073703738931</v>
      </c>
      <c r="G104" s="162">
        <f>AVERAGE(C104:E104)</f>
        <v>1.3789557002359416</v>
      </c>
      <c r="H104" s="162">
        <f>STDEV(C104:E104)</f>
        <v>0.6484108446669227</v>
      </c>
      <c r="I104" s="162">
        <f>(B104*B4+C104*C4+D104*D4+E104*E4+F104*F4)/SUM(B4:F4)</f>
        <v>1.4102578377018231</v>
      </c>
      <c r="K104" s="162">
        <f>(LN(H104)+LN(H124))/2-LN(K114*K115^4)</f>
        <v>-3.3752717457639623</v>
      </c>
    </row>
    <row r="105" spans="1:11" ht="12.75">
      <c r="A105" s="162" t="s">
        <v>197</v>
      </c>
      <c r="B105" s="162">
        <f>B65*10000/B62</f>
        <v>-0.45460592713113884</v>
      </c>
      <c r="C105" s="162">
        <f>C65*10000/C62</f>
        <v>-0.1742194006535434</v>
      </c>
      <c r="D105" s="162">
        <f>D65*10000/D62</f>
        <v>-0.5188637735710929</v>
      </c>
      <c r="E105" s="162">
        <f>E65*10000/E62</f>
        <v>-0.3613056630717198</v>
      </c>
      <c r="F105" s="162">
        <f>F65*10000/F62</f>
        <v>-1.552788365094754</v>
      </c>
      <c r="G105" s="162">
        <f>AVERAGE(C105:E105)</f>
        <v>-0.35146294576545206</v>
      </c>
      <c r="H105" s="162">
        <f>STDEV(C105:E105)</f>
        <v>0.17253288167451172</v>
      </c>
      <c r="I105" s="162">
        <f>(B105*B4+C105*C4+D105*D4+E105*E4+F105*F4)/SUM(B4:F4)</f>
        <v>-0.5268517859459309</v>
      </c>
      <c r="K105" s="162">
        <f>(LN(H105)+LN(H125))/2-LN(K114*K115^5)</f>
        <v>-3.8412360288247496</v>
      </c>
    </row>
    <row r="106" spans="1:11" ht="12.75">
      <c r="A106" s="162" t="s">
        <v>198</v>
      </c>
      <c r="B106" s="162">
        <f>B66*10000/B62</f>
        <v>3.62181707710883</v>
      </c>
      <c r="C106" s="162">
        <f>C66*10000/C62</f>
        <v>4.510807379582915</v>
      </c>
      <c r="D106" s="162">
        <f>D66*10000/D62</f>
        <v>4.915409622668501</v>
      </c>
      <c r="E106" s="162">
        <f>E66*10000/E62</f>
        <v>4.624048293391829</v>
      </c>
      <c r="F106" s="162">
        <f>F66*10000/F62</f>
        <v>14.187138574998956</v>
      </c>
      <c r="G106" s="162">
        <f>AVERAGE(C106:E106)</f>
        <v>4.6834217652144154</v>
      </c>
      <c r="H106" s="162">
        <f>STDEV(C106:E106)</f>
        <v>0.20873344400136346</v>
      </c>
      <c r="I106" s="162">
        <f>(B106*B4+C106*C4+D106*D4+E106*E4+F106*F4)/SUM(B4:F4)</f>
        <v>5.799988594325327</v>
      </c>
      <c r="K106" s="162">
        <f>(LN(H106)+LN(H126))/2-LN(K114*K115^6)</f>
        <v>-3.4340858253133693</v>
      </c>
    </row>
    <row r="107" spans="1:11" ht="12.75">
      <c r="A107" s="162" t="s">
        <v>199</v>
      </c>
      <c r="B107" s="162">
        <f>B67*10000/B62</f>
        <v>-0.10376350508131425</v>
      </c>
      <c r="C107" s="162">
        <f>C67*10000/C62</f>
        <v>-0.049192214174844325</v>
      </c>
      <c r="D107" s="162">
        <f>D67*10000/D62</f>
        <v>-0.1758518260345322</v>
      </c>
      <c r="E107" s="162">
        <f>E67*10000/E62</f>
        <v>0.02631076139948278</v>
      </c>
      <c r="F107" s="162">
        <f>F67*10000/F62</f>
        <v>-0.33930719496826506</v>
      </c>
      <c r="G107" s="162">
        <f>AVERAGE(C107:E107)</f>
        <v>-0.06624442626996459</v>
      </c>
      <c r="H107" s="162">
        <f>STDEV(C107:E107)</f>
        <v>0.1021543508251443</v>
      </c>
      <c r="I107" s="162">
        <f>(B107*B4+C107*C4+D107*D4+E107*E4+F107*F4)/SUM(B4:F4)</f>
        <v>-0.10814152612691874</v>
      </c>
      <c r="K107" s="162">
        <f>(LN(H107)+LN(H127))/2-LN(K114*K115^7)</f>
        <v>-3.4284722350456027</v>
      </c>
    </row>
    <row r="108" spans="1:9" ht="12.75">
      <c r="A108" s="162" t="s">
        <v>200</v>
      </c>
      <c r="B108" s="162">
        <f>B68*10000/B62</f>
        <v>-0.10714159392709437</v>
      </c>
      <c r="C108" s="162">
        <f>C68*10000/C62</f>
        <v>-0.09029227831954253</v>
      </c>
      <c r="D108" s="162">
        <f>D68*10000/D62</f>
        <v>0.04272156443589953</v>
      </c>
      <c r="E108" s="162">
        <f>E68*10000/E62</f>
        <v>-0.023118612841483165</v>
      </c>
      <c r="F108" s="162">
        <f>F68*10000/F62</f>
        <v>-0.2048406095718141</v>
      </c>
      <c r="G108" s="162">
        <f>AVERAGE(C108:E108)</f>
        <v>-0.02356310890837539</v>
      </c>
      <c r="H108" s="162">
        <f>STDEV(C108:E108)</f>
        <v>0.0665080354070655</v>
      </c>
      <c r="I108" s="162">
        <f>(B108*B4+C108*C4+D108*D4+E108*E4+F108*F4)/SUM(B4:F4)</f>
        <v>-0.05984359268030308</v>
      </c>
    </row>
    <row r="109" spans="1:9" ht="12.75">
      <c r="A109" s="162" t="s">
        <v>201</v>
      </c>
      <c r="B109" s="162">
        <f>B69*10000/B62</f>
        <v>-0.0751528074691316</v>
      </c>
      <c r="C109" s="162">
        <f>C69*10000/C62</f>
        <v>-0.060860998402633495</v>
      </c>
      <c r="D109" s="162">
        <f>D69*10000/D62</f>
        <v>-0.06299246218601938</v>
      </c>
      <c r="E109" s="162">
        <f>E69*10000/E62</f>
        <v>-0.036962808205294656</v>
      </c>
      <c r="F109" s="162">
        <f>F69*10000/F62</f>
        <v>-0.04983566508486181</v>
      </c>
      <c r="G109" s="162">
        <f>AVERAGE(C109:E109)</f>
        <v>-0.053605422931315844</v>
      </c>
      <c r="H109" s="162">
        <f>STDEV(C109:E109)</f>
        <v>0.014452275016552038</v>
      </c>
      <c r="I109" s="162">
        <f>(B109*B4+C109*C4+D109*D4+E109*E4+F109*F4)/SUM(B4:F4)</f>
        <v>-0.05621110681628322</v>
      </c>
    </row>
    <row r="110" spans="1:11" ht="12.75">
      <c r="A110" s="162" t="s">
        <v>202</v>
      </c>
      <c r="B110" s="162">
        <f>B70*10000/B62</f>
        <v>-0.2805366172780487</v>
      </c>
      <c r="C110" s="162">
        <f>C70*10000/C62</f>
        <v>0.000652024569194898</v>
      </c>
      <c r="D110" s="162">
        <f>D70*10000/D62</f>
        <v>0.04535515241980818</v>
      </c>
      <c r="E110" s="162">
        <f>E70*10000/E62</f>
        <v>0.04658121954082843</v>
      </c>
      <c r="F110" s="162">
        <f>F70*10000/F62</f>
        <v>-0.27023740752952846</v>
      </c>
      <c r="G110" s="162">
        <f>AVERAGE(C110:E110)</f>
        <v>0.030862798843277167</v>
      </c>
      <c r="H110" s="162">
        <f>STDEV(C110:E110)</f>
        <v>0.02617047901407185</v>
      </c>
      <c r="I110" s="162">
        <f>(B110*B4+C110*C4+D110*D4+E110*E4+F110*F4)/SUM(B4:F4)</f>
        <v>-0.05430199427880184</v>
      </c>
      <c r="K110" s="162">
        <f>EXP(AVERAGE(K103:K107))</f>
        <v>0.027490140469808345</v>
      </c>
    </row>
    <row r="111" spans="1:9" ht="12.75">
      <c r="A111" s="162" t="s">
        <v>203</v>
      </c>
      <c r="B111" s="162">
        <f>B71*10000/B62</f>
        <v>0.025169359303228195</v>
      </c>
      <c r="C111" s="162">
        <f>C71*10000/C62</f>
        <v>0.09198969979933701</v>
      </c>
      <c r="D111" s="162">
        <f>D71*10000/D62</f>
        <v>0.09891821689356413</v>
      </c>
      <c r="E111" s="162">
        <f>E71*10000/E62</f>
        <v>0.10217759212922287</v>
      </c>
      <c r="F111" s="162">
        <f>F71*10000/F62</f>
        <v>0.0006485734281076563</v>
      </c>
      <c r="G111" s="162">
        <f>AVERAGE(C111:E111)</f>
        <v>0.09769516960737468</v>
      </c>
      <c r="H111" s="162">
        <f>STDEV(C111:E111)</f>
        <v>0.005202900251736786</v>
      </c>
      <c r="I111" s="162">
        <f>(B111*B4+C111*C4+D111*D4+E111*E4+F111*F4)/SUM(B4:F4)</f>
        <v>0.07426342361075691</v>
      </c>
    </row>
    <row r="112" spans="1:9" ht="12.75">
      <c r="A112" s="162" t="s">
        <v>204</v>
      </c>
      <c r="B112" s="162">
        <f>B72*10000/B62</f>
        <v>-0.12230680052057125</v>
      </c>
      <c r="C112" s="162">
        <f>C72*10000/C62</f>
        <v>-0.08125060142386561</v>
      </c>
      <c r="D112" s="162">
        <f>D72*10000/D62</f>
        <v>-0.09007078539943511</v>
      </c>
      <c r="E112" s="162">
        <f>E72*10000/E62</f>
        <v>-0.08820641563096615</v>
      </c>
      <c r="F112" s="162">
        <f>F72*10000/F62</f>
        <v>-0.10026835417052307</v>
      </c>
      <c r="G112" s="162">
        <f>AVERAGE(C112:E112)</f>
        <v>-0.08650926748475563</v>
      </c>
      <c r="H112" s="162">
        <f>STDEV(C112:E112)</f>
        <v>0.0046485637796378565</v>
      </c>
      <c r="I112" s="162">
        <f>(B112*B4+C112*C4+D112*D4+E112*E4+F112*F4)/SUM(B4:F4)</f>
        <v>-0.09351325754151624</v>
      </c>
    </row>
    <row r="113" spans="1:9" ht="12.75">
      <c r="A113" s="162" t="s">
        <v>205</v>
      </c>
      <c r="B113" s="162">
        <f>B73*10000/B62</f>
        <v>-0.006264008386738136</v>
      </c>
      <c r="C113" s="162">
        <f>C73*10000/C62</f>
        <v>-0.018995713314865447</v>
      </c>
      <c r="D113" s="162">
        <f>D73*10000/D62</f>
        <v>-0.012646371645380785</v>
      </c>
      <c r="E113" s="162">
        <f>E73*10000/E62</f>
        <v>-0.021459204451752714</v>
      </c>
      <c r="F113" s="162">
        <f>F73*10000/F62</f>
        <v>-0.005143902550670362</v>
      </c>
      <c r="G113" s="162">
        <f>AVERAGE(C113:E113)</f>
        <v>-0.01770042980399965</v>
      </c>
      <c r="H113" s="162">
        <f>STDEV(C113:E113)</f>
        <v>0.004546957779483665</v>
      </c>
      <c r="I113" s="162">
        <f>(B113*B4+C113*C4+D113*D4+E113*E4+F113*F4)/SUM(B4:F4)</f>
        <v>-0.014372486852386563</v>
      </c>
    </row>
    <row r="114" spans="1:11" ht="12.75">
      <c r="A114" s="162" t="s">
        <v>206</v>
      </c>
      <c r="B114" s="162">
        <f>B74*10000/B62</f>
        <v>-0.18223371196579963</v>
      </c>
      <c r="C114" s="162">
        <f>C74*10000/C62</f>
        <v>-0.17929249544677148</v>
      </c>
      <c r="D114" s="162">
        <f>D74*10000/D62</f>
        <v>-0.18809910475870376</v>
      </c>
      <c r="E114" s="162">
        <f>E74*10000/E62</f>
        <v>-0.1835466663559777</v>
      </c>
      <c r="F114" s="162">
        <f>F74*10000/F62</f>
        <v>-0.13499949927322236</v>
      </c>
      <c r="G114" s="162">
        <f>AVERAGE(C114:E114)</f>
        <v>-0.18364608885381764</v>
      </c>
      <c r="H114" s="162">
        <f>STDEV(C114:E114)</f>
        <v>0.004404146400616449</v>
      </c>
      <c r="I114" s="162">
        <f>(B114*B4+C114*C4+D114*D4+E114*E4+F114*F4)/SUM(B4:F4)</f>
        <v>-0.17694277296360908</v>
      </c>
      <c r="J114" s="162" t="s">
        <v>224</v>
      </c>
      <c r="K114" s="162">
        <v>285</v>
      </c>
    </row>
    <row r="115" spans="1:11" ht="12.75">
      <c r="A115" s="162" t="s">
        <v>207</v>
      </c>
      <c r="B115" s="162">
        <f>B75*10000/B62</f>
        <v>0.005268951860660583</v>
      </c>
      <c r="C115" s="162">
        <f>C75*10000/C62</f>
        <v>-0.001257992341090926</v>
      </c>
      <c r="D115" s="162">
        <f>D75*10000/D62</f>
        <v>-0.0012893572644767234</v>
      </c>
      <c r="E115" s="162">
        <f>E75*10000/E62</f>
        <v>-0.0004665915551642957</v>
      </c>
      <c r="F115" s="162">
        <f>F75*10000/F62</f>
        <v>0.00159682024959866</v>
      </c>
      <c r="G115" s="162">
        <f>AVERAGE(C115:E115)</f>
        <v>-0.0010046470535773151</v>
      </c>
      <c r="H115" s="162">
        <f>STDEV(C115:E115)</f>
        <v>0.00046623355642221986</v>
      </c>
      <c r="I115" s="162">
        <f>(B115*B4+C115*C4+D115*D4+E115*E4+F115*F4)/SUM(B4:F4)</f>
        <v>0.00024822421704351805</v>
      </c>
      <c r="J115" s="162" t="s">
        <v>225</v>
      </c>
      <c r="K115" s="162">
        <v>0.5536</v>
      </c>
    </row>
    <row r="118" ht="12.75">
      <c r="A118" s="162" t="s">
        <v>190</v>
      </c>
    </row>
    <row r="120" spans="2:9" ht="12.75">
      <c r="B120" s="162" t="s">
        <v>81</v>
      </c>
      <c r="C120" s="162" t="s">
        <v>82</v>
      </c>
      <c r="D120" s="162" t="s">
        <v>83</v>
      </c>
      <c r="E120" s="162" t="s">
        <v>84</v>
      </c>
      <c r="F120" s="162" t="s">
        <v>85</v>
      </c>
      <c r="G120" s="162" t="s">
        <v>192</v>
      </c>
      <c r="H120" s="162" t="s">
        <v>193</v>
      </c>
      <c r="I120" s="162" t="s">
        <v>226</v>
      </c>
    </row>
    <row r="121" spans="1:9" ht="12.75">
      <c r="A121" s="162" t="s">
        <v>208</v>
      </c>
      <c r="B121" s="162">
        <f>B81*10000/B62</f>
        <v>0</v>
      </c>
      <c r="C121" s="162">
        <f>C81*10000/C62</f>
        <v>0</v>
      </c>
      <c r="D121" s="162">
        <f>D81*10000/D62</f>
        <v>0</v>
      </c>
      <c r="E121" s="162">
        <f>E81*10000/E62</f>
        <v>0</v>
      </c>
      <c r="F121" s="162">
        <f>F81*10000/F62</f>
        <v>0</v>
      </c>
      <c r="G121" s="162">
        <f>AVERAGE(C121:E121)</f>
        <v>0</v>
      </c>
      <c r="H121" s="162">
        <f>STDEV(C121:E121)</f>
        <v>0</v>
      </c>
      <c r="I121" s="162">
        <f>(B121*B4+C121*C4+D121*D4+E121*E4+F121*F4)/SUM(B4:F4)</f>
        <v>0</v>
      </c>
    </row>
    <row r="122" spans="1:9" ht="12.75">
      <c r="A122" s="162" t="s">
        <v>209</v>
      </c>
      <c r="B122" s="162">
        <f>B82*10000/B62</f>
        <v>72.76885403366605</v>
      </c>
      <c r="C122" s="162">
        <f>C82*10000/C62</f>
        <v>41.98807114461188</v>
      </c>
      <c r="D122" s="162">
        <f>D82*10000/D62</f>
        <v>-3.5495014784820578</v>
      </c>
      <c r="E122" s="162">
        <f>E82*10000/E62</f>
        <v>-41.02802859099767</v>
      </c>
      <c r="F122" s="162">
        <f>F82*10000/F62</f>
        <v>-74.57308428135495</v>
      </c>
      <c r="G122" s="162">
        <f>AVERAGE(C122:E122)</f>
        <v>-0.8631529749559496</v>
      </c>
      <c r="H122" s="162">
        <f>STDEV(C122:E122)</f>
        <v>41.5731951507214</v>
      </c>
      <c r="I122" s="162">
        <f>(B122*B4+C122*C4+D122*D4+E122*E4+F122*F4)/SUM(B4:F4)</f>
        <v>-0.08598042097676512</v>
      </c>
    </row>
    <row r="123" spans="1:9" ht="12.75">
      <c r="A123" s="162" t="s">
        <v>210</v>
      </c>
      <c r="B123" s="162">
        <f>B83*10000/B62</f>
        <v>2.3867515529398413</v>
      </c>
      <c r="C123" s="162">
        <f>C83*10000/C62</f>
        <v>0.3406008445919107</v>
      </c>
      <c r="D123" s="162">
        <f>D83*10000/D62</f>
        <v>-0.17469956696017555</v>
      </c>
      <c r="E123" s="162">
        <f>E83*10000/E62</f>
        <v>-0.8451137106950649</v>
      </c>
      <c r="F123" s="162">
        <f>F83*10000/F62</f>
        <v>7.164296434837518</v>
      </c>
      <c r="G123" s="162">
        <f>AVERAGE(C123:E123)</f>
        <v>-0.22640414435444325</v>
      </c>
      <c r="H123" s="162">
        <f>STDEV(C123:E123)</f>
        <v>0.5945458553782773</v>
      </c>
      <c r="I123" s="162">
        <f>(B123*B4+C123*C4+D123*D4+E123*E4+F123*F4)/SUM(B4:F4)</f>
        <v>1.1381280528016735</v>
      </c>
    </row>
    <row r="124" spans="1:9" ht="12.75">
      <c r="A124" s="162" t="s">
        <v>211</v>
      </c>
      <c r="B124" s="162">
        <f>B84*10000/B62</f>
        <v>4.002645118854002</v>
      </c>
      <c r="C124" s="162">
        <f>C84*10000/C62</f>
        <v>1.1402555300851687</v>
      </c>
      <c r="D124" s="162">
        <f>D84*10000/D62</f>
        <v>-1.2904177961622965</v>
      </c>
      <c r="E124" s="162">
        <f>E84*10000/E62</f>
        <v>0.6906859837969489</v>
      </c>
      <c r="F124" s="162">
        <f>F84*10000/F62</f>
        <v>2.716473554208185</v>
      </c>
      <c r="G124" s="162">
        <f>AVERAGE(C124:E124)</f>
        <v>0.1801745725732737</v>
      </c>
      <c r="H124" s="162">
        <f>STDEV(C124:E124)</f>
        <v>1.2932554389891118</v>
      </c>
      <c r="I124" s="162">
        <f>(B124*B4+C124*C4+D124*D4+E124*E4+F124*F4)/SUM(B4:F4)</f>
        <v>1.0706341778035884</v>
      </c>
    </row>
    <row r="125" spans="1:9" ht="12.75">
      <c r="A125" s="162" t="s">
        <v>212</v>
      </c>
      <c r="B125" s="162">
        <f>B85*10000/B62</f>
        <v>0.25331389668693505</v>
      </c>
      <c r="C125" s="162">
        <f>C85*10000/C62</f>
        <v>-0.059904090107559954</v>
      </c>
      <c r="D125" s="162">
        <f>D85*10000/D62</f>
        <v>0.789069628241029</v>
      </c>
      <c r="E125" s="162">
        <f>E85*10000/E62</f>
        <v>-0.33658973089640504</v>
      </c>
      <c r="F125" s="162">
        <f>F85*10000/F62</f>
        <v>-0.8315109609242631</v>
      </c>
      <c r="G125" s="162">
        <f>AVERAGE(C125:E125)</f>
        <v>0.13085860241235467</v>
      </c>
      <c r="H125" s="162">
        <f>STDEV(C125:E125)</f>
        <v>0.5865748476081379</v>
      </c>
      <c r="I125" s="162">
        <f>(B125*B4+C125*C4+D125*D4+E125*E4+F125*F4)/SUM(B4:F4)</f>
        <v>0.019950312454015115</v>
      </c>
    </row>
    <row r="126" spans="1:9" ht="12.75">
      <c r="A126" s="162" t="s">
        <v>213</v>
      </c>
      <c r="B126" s="162">
        <f>B86*10000/B62</f>
        <v>0.5443936227682612</v>
      </c>
      <c r="C126" s="162">
        <f>C86*10000/C62</f>
        <v>0.10273979603503573</v>
      </c>
      <c r="D126" s="162">
        <f>D86*10000/D62</f>
        <v>-0.4800484981282232</v>
      </c>
      <c r="E126" s="162">
        <f>E86*10000/E62</f>
        <v>0.09921703751518528</v>
      </c>
      <c r="F126" s="162">
        <f>F86*10000/F62</f>
        <v>2.133983330540995</v>
      </c>
      <c r="G126" s="162">
        <f>AVERAGE(C126:E126)</f>
        <v>-0.09269722152600073</v>
      </c>
      <c r="H126" s="162">
        <f>STDEV(C126:E126)</f>
        <v>0.3354606699315523</v>
      </c>
      <c r="I126" s="162">
        <f>(B126*B4+C126*C4+D126*D4+E126*E4+F126*F4)/SUM(B4:F4)</f>
        <v>0.2967360266522306</v>
      </c>
    </row>
    <row r="127" spans="1:9" ht="12.75">
      <c r="A127" s="162" t="s">
        <v>214</v>
      </c>
      <c r="B127" s="162">
        <f>B87*10000/B62</f>
        <v>0.33992142904079736</v>
      </c>
      <c r="C127" s="162">
        <f>C87*10000/C62</f>
        <v>-0.04720870099371267</v>
      </c>
      <c r="D127" s="162">
        <f>D87*10000/D62</f>
        <v>0.181102777226434</v>
      </c>
      <c r="E127" s="162">
        <f>E87*10000/E62</f>
        <v>-0.24338020134484045</v>
      </c>
      <c r="F127" s="162">
        <f>F87*10000/F62</f>
        <v>0.3087003089240344</v>
      </c>
      <c r="G127" s="162">
        <f>AVERAGE(C127:E127)</f>
        <v>-0.03649537503737304</v>
      </c>
      <c r="H127" s="162">
        <f>STDEV(C127:E127)</f>
        <v>0.21244418393773537</v>
      </c>
      <c r="I127" s="162">
        <f>(B127*B4+C127*C4+D127*D4+E127*E4+F127*F4)/SUM(B4:F4)</f>
        <v>0.06394305808448782</v>
      </c>
    </row>
    <row r="128" spans="1:9" ht="12.75">
      <c r="A128" s="162" t="s">
        <v>215</v>
      </c>
      <c r="B128" s="162">
        <f>B88*10000/B62</f>
        <v>0.4009767790257217</v>
      </c>
      <c r="C128" s="162">
        <f>C88*10000/C62</f>
        <v>0.19499943154800284</v>
      </c>
      <c r="D128" s="162">
        <f>D88*10000/D62</f>
        <v>-0.02536374464787641</v>
      </c>
      <c r="E128" s="162">
        <f>E88*10000/E62</f>
        <v>0.2103229006710069</v>
      </c>
      <c r="F128" s="162">
        <f>F88*10000/F62</f>
        <v>0.448469858693702</v>
      </c>
      <c r="G128" s="162">
        <f>AVERAGE(C128:E128)</f>
        <v>0.1266528625237111</v>
      </c>
      <c r="H128" s="162">
        <f>STDEV(C128:E128)</f>
        <v>0.13187300261411158</v>
      </c>
      <c r="I128" s="162">
        <f>(B128*B4+C128*C4+D128*D4+E128*E4+F128*F4)/SUM(B4:F4)</f>
        <v>0.20923545638072963</v>
      </c>
    </row>
    <row r="129" spans="1:9" ht="12.75">
      <c r="A129" s="162" t="s">
        <v>216</v>
      </c>
      <c r="B129" s="162">
        <f>B89*10000/B62</f>
        <v>-0.03227452365558968</v>
      </c>
      <c r="C129" s="162">
        <f>C89*10000/C62</f>
        <v>-0.01272442088005595</v>
      </c>
      <c r="D129" s="162">
        <f>D89*10000/D62</f>
        <v>0.08502649873499163</v>
      </c>
      <c r="E129" s="162">
        <f>E89*10000/E62</f>
        <v>-0.016743682029858327</v>
      </c>
      <c r="F129" s="162">
        <f>F89*10000/F62</f>
        <v>-0.018547534335846168</v>
      </c>
      <c r="G129" s="162">
        <f>AVERAGE(C129:E129)</f>
        <v>0.018519465275025786</v>
      </c>
      <c r="H129" s="162">
        <f>STDEV(C129:E129)</f>
        <v>0.05763182922466838</v>
      </c>
      <c r="I129" s="162">
        <f>(B129*B4+C129*C4+D129*D4+E129*E4+F129*F4)/SUM(B4:F4)</f>
        <v>0.006237353044899891</v>
      </c>
    </row>
    <row r="130" spans="1:9" ht="12.75">
      <c r="A130" s="162" t="s">
        <v>217</v>
      </c>
      <c r="B130" s="162">
        <f>B90*10000/B62</f>
        <v>0.0897607748878393</v>
      </c>
      <c r="C130" s="162">
        <f>C90*10000/C62</f>
        <v>0.07458116294743697</v>
      </c>
      <c r="D130" s="162">
        <f>D90*10000/D62</f>
        <v>-0.02472957592543084</v>
      </c>
      <c r="E130" s="162">
        <f>E90*10000/E62</f>
        <v>-0.013321221329108481</v>
      </c>
      <c r="F130" s="162">
        <f>F90*10000/F62</f>
        <v>0.16298985931697862</v>
      </c>
      <c r="G130" s="162">
        <f>AVERAGE(C130:E130)</f>
        <v>0.012176788564299218</v>
      </c>
      <c r="H130" s="162">
        <f>STDEV(C130:E130)</f>
        <v>0.05434397018310285</v>
      </c>
      <c r="I130" s="162">
        <f>(B130*B4+C130*C4+D130*D4+E130*E4+F130*F4)/SUM(B4:F4)</f>
        <v>0.04352200004044248</v>
      </c>
    </row>
    <row r="131" spans="1:9" ht="12.75">
      <c r="A131" s="162" t="s">
        <v>218</v>
      </c>
      <c r="B131" s="162">
        <f>B91*10000/B62</f>
        <v>0.18880064208688133</v>
      </c>
      <c r="C131" s="162">
        <f>C91*10000/C62</f>
        <v>0.0955229598788511</v>
      </c>
      <c r="D131" s="162">
        <f>D91*10000/D62</f>
        <v>0.1495802307251187</v>
      </c>
      <c r="E131" s="162">
        <f>E91*10000/E62</f>
        <v>0.11215244959596792</v>
      </c>
      <c r="F131" s="162">
        <f>F91*10000/F62</f>
        <v>0.16924970761287542</v>
      </c>
      <c r="G131" s="162">
        <f>AVERAGE(C131:E131)</f>
        <v>0.11908521339997924</v>
      </c>
      <c r="H131" s="162">
        <f>STDEV(C131:E131)</f>
        <v>0.027687443784292155</v>
      </c>
      <c r="I131" s="162">
        <f>(B131*B4+C131*C4+D131*D4+E131*E4+F131*F4)/SUM(B4:F4)</f>
        <v>0.13584765468350526</v>
      </c>
    </row>
    <row r="132" spans="1:9" ht="12.75">
      <c r="A132" s="162" t="s">
        <v>219</v>
      </c>
      <c r="B132" s="162">
        <f>B92*10000/B62</f>
        <v>0.031124447640534493</v>
      </c>
      <c r="C132" s="162">
        <f>C92*10000/C62</f>
        <v>0.05132769716706227</v>
      </c>
      <c r="D132" s="162">
        <f>D92*10000/D62</f>
        <v>0.04441869639684895</v>
      </c>
      <c r="E132" s="162">
        <f>E92*10000/E62</f>
        <v>0.06847717821978275</v>
      </c>
      <c r="F132" s="162">
        <f>F92*10000/F62</f>
        <v>0.020881447461908995</v>
      </c>
      <c r="G132" s="162">
        <f>AVERAGE(C132:E132)</f>
        <v>0.05474119059456465</v>
      </c>
      <c r="H132" s="162">
        <f>STDEV(C132:E132)</f>
        <v>0.012387154230928558</v>
      </c>
      <c r="I132" s="162">
        <f>(B132*B4+C132*C4+D132*D4+E132*E4+F132*F4)/SUM(B4:F4)</f>
        <v>0.04680934238793237</v>
      </c>
    </row>
    <row r="133" spans="1:9" ht="12.75">
      <c r="A133" s="162" t="s">
        <v>220</v>
      </c>
      <c r="B133" s="162">
        <f>B93*10000/B62</f>
        <v>-0.10181974872677096</v>
      </c>
      <c r="C133" s="162">
        <f>C93*10000/C62</f>
        <v>-0.09893953881253474</v>
      </c>
      <c r="D133" s="162">
        <f>D93*10000/D62</f>
        <v>-0.09277704248187632</v>
      </c>
      <c r="E133" s="162">
        <f>E93*10000/E62</f>
        <v>-0.10066378635301604</v>
      </c>
      <c r="F133" s="162">
        <f>F93*10000/F62</f>
        <v>-0.07510672024159051</v>
      </c>
      <c r="G133" s="162">
        <f>AVERAGE(C133:E133)</f>
        <v>-0.09746012254914237</v>
      </c>
      <c r="H133" s="162">
        <f>STDEV(C133:E133)</f>
        <v>0.00414628587805223</v>
      </c>
      <c r="I133" s="162">
        <f>(B133*B4+C133*C4+D133*D4+E133*E4+F133*F4)/SUM(B4:F4)</f>
        <v>-0.09510266661912531</v>
      </c>
    </row>
    <row r="134" spans="1:9" ht="12.75">
      <c r="A134" s="162" t="s">
        <v>221</v>
      </c>
      <c r="B134" s="162">
        <f>B94*10000/B62</f>
        <v>-0.005453782147520769</v>
      </c>
      <c r="C134" s="162">
        <f>C94*10000/C62</f>
        <v>9.052771921965533E-05</v>
      </c>
      <c r="D134" s="162">
        <f>D94*10000/D62</f>
        <v>-0.0011082282499769557</v>
      </c>
      <c r="E134" s="162">
        <f>E94*10000/E62</f>
        <v>0.005984088935770776</v>
      </c>
      <c r="F134" s="162">
        <f>F94*10000/F62</f>
        <v>-0.016640544626144615</v>
      </c>
      <c r="G134" s="162">
        <f>AVERAGE(C134:E134)</f>
        <v>0.0016554628016711588</v>
      </c>
      <c r="H134" s="162">
        <f>STDEV(C134:E134)</f>
        <v>0.0037963149401793283</v>
      </c>
      <c r="I134" s="162">
        <f>(B134*B4+C134*C4+D134*D4+E134*E4+F134*F4)/SUM(B4:F4)</f>
        <v>-0.001814888851755673</v>
      </c>
    </row>
    <row r="135" spans="1:9" ht="12.75">
      <c r="A135" s="162" t="s">
        <v>222</v>
      </c>
      <c r="B135" s="162">
        <f>B95*10000/B62</f>
        <v>-0.003870555689044311</v>
      </c>
      <c r="C135" s="162">
        <f>C95*10000/C62</f>
        <v>-0.00455762910456753</v>
      </c>
      <c r="D135" s="162">
        <f>D95*10000/D62</f>
        <v>-0.0012322690756607457</v>
      </c>
      <c r="E135" s="162">
        <f>E95*10000/E62</f>
        <v>-0.0017524545264795328</v>
      </c>
      <c r="F135" s="162">
        <f>F95*10000/F62</f>
        <v>0.0016909510690157662</v>
      </c>
      <c r="G135" s="162">
        <f>AVERAGE(C135:E135)</f>
        <v>-0.0025141175689026023</v>
      </c>
      <c r="H135" s="162">
        <f>STDEV(C135:E135)</f>
        <v>0.0017887433502623033</v>
      </c>
      <c r="I135" s="162">
        <f>(B135*B4+C135*C4+D135*D4+E135*E4+F135*F4)/SUM(B4:F4)</f>
        <v>-0.002148030455982699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2003-03-14T12:18:25Z</cp:lastPrinted>
  <dcterms:created xsi:type="dcterms:W3CDTF">1999-06-17T15:15:05Z</dcterms:created>
  <dcterms:modified xsi:type="dcterms:W3CDTF">2003-09-26T12:35:07Z</dcterms:modified>
  <cp:category/>
  <cp:version/>
  <cp:contentType/>
  <cp:contentStatus/>
</cp:coreProperties>
</file>