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firstSheet="6" activeTab="7"/>
  </bookViews>
  <sheets>
    <sheet name="Sommaire" sheetId="1" r:id="rId1"/>
    <sheet name="HCMQAP032_pos1ap2" sheetId="2" r:id="rId2"/>
    <sheet name="HCMQAP032_pos2ap2" sheetId="3" r:id="rId3"/>
    <sheet name="HCMQAP032_pos3ap2" sheetId="4" r:id="rId4"/>
    <sheet name="HCMQAP032_pos4ap2" sheetId="5" r:id="rId5"/>
    <sheet name="HCMQAP032_pos5ap2" sheetId="6" r:id="rId6"/>
    <sheet name="Lmag_hcmqap" sheetId="7" r:id="rId7"/>
    <sheet name="Result_HCMQAP" sheetId="8" r:id="rId8"/>
  </sheets>
  <definedNames>
    <definedName name="_xlnm.Print_Area" localSheetId="1">'HCMQAP032_pos1ap2'!$A$1:$N$28</definedName>
    <definedName name="_xlnm.Print_Area" localSheetId="2">'HCMQAP032_pos2ap2'!$A$1:$N$28</definedName>
    <definedName name="_xlnm.Print_Area" localSheetId="3">'HCMQAP032_pos3ap2'!$A$1:$N$28</definedName>
    <definedName name="_xlnm.Print_Area" localSheetId="4">'HCMQAP032_pos4ap2'!$A$1:$N$28</definedName>
    <definedName name="_xlnm.Print_Area" localSheetId="5">'HCMQAP032_pos5ap2'!$A$1:$N$28</definedName>
    <definedName name="_xlnm.Print_Area" localSheetId="6">'Lmag_hcmqap'!$A$1:$G$54</definedName>
  </definedNames>
  <calcPr fullCalcOnLoad="1"/>
</workbook>
</file>

<file path=xl/sharedStrings.xml><?xml version="1.0" encoding="utf-8"?>
<sst xmlns="http://schemas.openxmlformats.org/spreadsheetml/2006/main" count="499" uniqueCount="181">
  <si>
    <t>Bench Number</t>
  </si>
  <si>
    <t>Valeurs dipôlaires en Teslas (signal absolu mesuré par la bobine externe corrigé de la dérive de l'électronique)</t>
  </si>
  <si>
    <t>Magnet Name</t>
  </si>
  <si>
    <t>hcmqap032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</si>
  <si>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</si>
  <si>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</si>
  <si>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</si>
  <si>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</si>
  <si>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</si>
  <si>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</si>
  <si>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</si>
  <si>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</si>
  <si>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</si>
  <si>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</si>
  <si>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</si>
  <si>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</si>
  <si>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</si>
  <si>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</si>
  <si>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</si>
  <si>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</si>
  <si>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</si>
  <si>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</si>
  <si>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</si>
  <si>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</si>
  <si>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</si>
  <si>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</si>
  <si>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</si>
  <si>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</si>
  <si>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</si>
  <si>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</si>
  <si>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</si>
  <si>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</si>
  <si>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</si>
  <si>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</si>
  <si>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</si>
  <si>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</si>
  <si>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</si>
  <si>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</si>
  <si>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</si>
  <si>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</si>
  <si>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</si>
  <si>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</si>
  <si>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</si>
  <si>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-2.245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</si>
  <si>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</si>
  <si>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</si>
  <si>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</si>
  <si>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</si>
  <si>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</si>
  <si>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</si>
  <si>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</si>
  <si>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</si>
  <si>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</si>
  <si>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</si>
  <si>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</si>
  <si>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</si>
  <si>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HCMQAP032_pos1ap2</t>
  </si>
  <si>
    <t>±12.5</t>
  </si>
  <si>
    <t>THCMQAP032_pos1ap2.xls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</si>
  <si>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</si>
  <si>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HCMQAP032_pos2ap2</t>
  </si>
  <si>
    <t>THCMQAP032_pos2ap2.xls</t>
  </si>
  <si>
    <t>fil de potentiel reparé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</si>
  <si>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</si>
  <si>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HCMQAP032_pos3ap2</t>
  </si>
  <si>
    <t>THCMQAP032_pos3ap2.xls</t>
  </si>
  <si>
    <t>HCMQAP032_pos4ap2</t>
  </si>
  <si>
    <t>THCMQAP032_pos4ap2.xls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</si>
  <si>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-2.102 mT)</t>
    </r>
  </si>
  <si>
    <t>HCMQAP032_pos5ap2</t>
  </si>
  <si>
    <t>THCMQAP032_pos5ap2.xls</t>
  </si>
  <si>
    <t>Sommaire : Valeurs intégrales calculées avec les fichiers: HCMQAP032_pos1ap2+HCMQAP032_pos2ap2+HCMQAP032_pos3ap2+HCMQAP032_pos4ap2+HCMQAP032_pos5ap2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</si>
  <si>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</si>
  <si>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</si>
  <si>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</si>
  <si>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</si>
  <si>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</si>
  <si>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</si>
  <si>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</si>
  <si>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</si>
  <si>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</si>
  <si>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</si>
  <si>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</si>
  <si>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</si>
  <si>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</si>
  <si>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</si>
  <si>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</si>
  <si>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</si>
  <si>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</si>
  <si>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</si>
  <si>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</si>
  <si>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</si>
  <si>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</si>
  <si>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</si>
  <si>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</si>
  <si>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</si>
  <si>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</si>
  <si>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</si>
  <si>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</si>
  <si>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</si>
  <si>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</si>
  <si>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</si>
  <si>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</si>
  <si>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</si>
  <si>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</si>
  <si>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</si>
  <si>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</si>
  <si>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</si>
  <si>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</si>
  <si>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</si>
  <si>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</si>
  <si>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</si>
  <si>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</si>
  <si>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</si>
  <si>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</si>
  <si>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=-3.761</t>
    </r>
  </si>
  <si>
    <t>Gradient (T/m)</t>
  </si>
  <si>
    <t xml:space="preserve"> Wed 09/04/2003       12:44:47</t>
  </si>
  <si>
    <t>LE NOA</t>
  </si>
  <si>
    <t>HCMQAP032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</si>
  <si>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</si>
  <si>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</si>
  <si>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</si>
  <si>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</si>
  <si>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</si>
  <si>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</si>
  <si>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</si>
  <si>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</si>
  <si>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</si>
  <si>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b6*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</si>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</sst>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dd/mm/yy"/>
    <numFmt numFmtId="179" formatCode="0.#"/>
    <numFmt numFmtId="180" formatCode="0.000"/>
  </numFmts>
  <fonts count="14">
    <font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left"/>
    </xf>
    <xf numFmtId="17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3" fontId="2" fillId="0" borderId="3" xfId="0" applyNumberFormat="1" applyFont="1" applyFill="1" applyBorder="1" applyAlignment="1">
      <alignment horizontal="left"/>
    </xf>
    <xf numFmtId="173" fontId="2" fillId="0" borderId="4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173" fontId="2" fillId="0" borderId="8" xfId="0" applyNumberFormat="1" applyFont="1" applyFill="1" applyBorder="1" applyAlignment="1">
      <alignment horizontal="left"/>
    </xf>
    <xf numFmtId="173" fontId="2" fillId="0" borderId="9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76" fontId="2" fillId="0" borderId="7" xfId="0" applyNumberFormat="1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left"/>
    </xf>
    <xf numFmtId="173" fontId="2" fillId="0" borderId="13" xfId="0" applyNumberFormat="1" applyFont="1" applyFill="1" applyBorder="1" applyAlignment="1">
      <alignment horizontal="left"/>
    </xf>
    <xf numFmtId="173" fontId="2" fillId="0" borderId="13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/>
    </xf>
    <xf numFmtId="173" fontId="2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left"/>
    </xf>
    <xf numFmtId="173" fontId="3" fillId="0" borderId="9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2" fillId="0" borderId="9" xfId="0" applyNumberFormat="1" applyFont="1" applyFill="1" applyBorder="1" applyAlignment="1">
      <alignment horizontal="left"/>
    </xf>
    <xf numFmtId="173" fontId="2" fillId="0" borderId="1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173" fontId="2" fillId="0" borderId="18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2" fillId="0" borderId="19" xfId="0" applyNumberFormat="1" applyFont="1" applyFill="1" applyBorder="1" applyAlignment="1">
      <alignment horizontal="center"/>
    </xf>
    <xf numFmtId="173" fontId="2" fillId="0" borderId="20" xfId="0" applyNumberFormat="1" applyFont="1" applyFill="1" applyBorder="1" applyAlignment="1">
      <alignment horizontal="center"/>
    </xf>
    <xf numFmtId="173" fontId="3" fillId="0" borderId="6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173" fontId="2" fillId="0" borderId="7" xfId="0" applyNumberFormat="1" applyFont="1" applyFill="1" applyBorder="1" applyAlignment="1">
      <alignment horizontal="center"/>
    </xf>
    <xf numFmtId="173" fontId="2" fillId="0" borderId="7" xfId="0" applyNumberFormat="1" applyFont="1" applyFill="1" applyBorder="1" applyAlignment="1">
      <alignment horizontal="left"/>
    </xf>
    <xf numFmtId="173" fontId="2" fillId="0" borderId="6" xfId="0" applyNumberFormat="1" applyFont="1" applyFill="1" applyBorder="1" applyAlignment="1">
      <alignment horizontal="center"/>
    </xf>
    <xf numFmtId="173" fontId="2" fillId="2" borderId="11" xfId="0" applyNumberFormat="1" applyFont="1" applyFill="1" applyBorder="1" applyAlignment="1">
      <alignment horizontal="center"/>
    </xf>
    <xf numFmtId="175" fontId="2" fillId="0" borderId="7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2" fillId="2" borderId="6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 horizontal="left"/>
    </xf>
    <xf numFmtId="173" fontId="2" fillId="0" borderId="21" xfId="0" applyNumberFormat="1" applyFont="1" applyFill="1" applyBorder="1" applyAlignment="1">
      <alignment horizontal="center"/>
    </xf>
    <xf numFmtId="173" fontId="2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73" fontId="2" fillId="0" borderId="23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1" fontId="2" fillId="0" borderId="23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left"/>
    </xf>
    <xf numFmtId="173" fontId="6" fillId="0" borderId="24" xfId="0" applyNumberFormat="1" applyFont="1" applyFill="1" applyBorder="1" applyAlignment="1">
      <alignment horizontal="left"/>
    </xf>
    <xf numFmtId="173" fontId="6" fillId="0" borderId="25" xfId="0" applyNumberFormat="1" applyFont="1" applyFill="1" applyBorder="1" applyAlignment="1">
      <alignment horizontal="left"/>
    </xf>
    <xf numFmtId="173" fontId="7" fillId="0" borderId="25" xfId="0" applyNumberFormat="1" applyFont="1" applyFill="1" applyBorder="1" applyAlignment="1">
      <alignment horizontal="left"/>
    </xf>
    <xf numFmtId="173" fontId="6" fillId="0" borderId="26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 horizontal="left"/>
    </xf>
    <xf numFmtId="173" fontId="6" fillId="0" borderId="28" xfId="0" applyNumberFormat="1" applyFont="1" applyFill="1" applyBorder="1" applyAlignment="1">
      <alignment horizontal="left"/>
    </xf>
    <xf numFmtId="173" fontId="6" fillId="0" borderId="28" xfId="0" applyNumberFormat="1" applyFont="1" applyFill="1" applyBorder="1" applyAlignment="1">
      <alignment horizontal="center"/>
    </xf>
    <xf numFmtId="173" fontId="6" fillId="0" borderId="29" xfId="0" applyNumberFormat="1" applyFont="1" applyFill="1" applyBorder="1" applyAlignment="1">
      <alignment horizontal="left"/>
    </xf>
    <xf numFmtId="173" fontId="6" fillId="0" borderId="30" xfId="0" applyNumberFormat="1" applyFont="1" applyFill="1" applyBorder="1" applyAlignment="1">
      <alignment horizontal="left"/>
    </xf>
    <xf numFmtId="173" fontId="6" fillId="0" borderId="31" xfId="0" applyNumberFormat="1" applyFont="1" applyFill="1" applyBorder="1" applyAlignment="1">
      <alignment horizontal="left"/>
    </xf>
    <xf numFmtId="173" fontId="6" fillId="0" borderId="32" xfId="0" applyNumberFormat="1" applyFont="1" applyFill="1" applyBorder="1" applyAlignment="1">
      <alignment horizontal="left"/>
    </xf>
    <xf numFmtId="173" fontId="6" fillId="0" borderId="32" xfId="0" applyNumberFormat="1" applyFont="1" applyFill="1" applyBorder="1" applyAlignment="1">
      <alignment horizontal="center"/>
    </xf>
    <xf numFmtId="173" fontId="6" fillId="0" borderId="33" xfId="0" applyNumberFormat="1" applyFont="1" applyFill="1" applyBorder="1" applyAlignment="1">
      <alignment horizontal="left"/>
    </xf>
    <xf numFmtId="173" fontId="6" fillId="0" borderId="34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173" fontId="6" fillId="0" borderId="36" xfId="0" applyNumberFormat="1" applyFont="1" applyFill="1" applyBorder="1" applyAlignment="1">
      <alignment horizontal="left" vertical="center"/>
    </xf>
    <xf numFmtId="173" fontId="6" fillId="0" borderId="3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3" fontId="3" fillId="2" borderId="11" xfId="0" applyNumberFormat="1" applyFont="1" applyFill="1" applyBorder="1" applyAlignment="1">
      <alignment horizontal="center"/>
    </xf>
    <xf numFmtId="173" fontId="3" fillId="2" borderId="6" xfId="0" applyNumberFormat="1" applyFont="1" applyFill="1" applyBorder="1" applyAlignment="1">
      <alignment horizontal="center"/>
    </xf>
    <xf numFmtId="173" fontId="2" fillId="3" borderId="6" xfId="0" applyNumberFormat="1" applyFont="1" applyFill="1" applyBorder="1" applyAlignment="1">
      <alignment horizontal="center"/>
    </xf>
    <xf numFmtId="178" fontId="0" fillId="4" borderId="0" xfId="0" applyNumberFormat="1" applyFill="1" applyAlignment="1">
      <alignment horizontal="left"/>
    </xf>
    <xf numFmtId="179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180" fontId="3" fillId="0" borderId="11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180" fontId="2" fillId="2" borderId="11" xfId="0" applyNumberFormat="1" applyFont="1" applyFill="1" applyBorder="1" applyAlignment="1">
      <alignment horizontal="center"/>
    </xf>
    <xf numFmtId="180" fontId="2" fillId="0" borderId="38" xfId="0" applyNumberFormat="1" applyFont="1" applyFill="1" applyBorder="1" applyAlignment="1">
      <alignment horizontal="center"/>
    </xf>
    <xf numFmtId="180" fontId="0" fillId="0" borderId="39" xfId="0" applyNumberFormat="1" applyBorder="1" applyAlignment="1">
      <alignment horizontal="left"/>
    </xf>
    <xf numFmtId="180" fontId="0" fillId="0" borderId="4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/>
    </xf>
    <xf numFmtId="180" fontId="0" fillId="0" borderId="39" xfId="0" applyNumberFormat="1" applyBorder="1" applyAlignment="1">
      <alignment horizontal="center"/>
    </xf>
    <xf numFmtId="180" fontId="0" fillId="0" borderId="38" xfId="0" applyNumberFormat="1" applyBorder="1" applyAlignment="1">
      <alignment horizontal="center"/>
    </xf>
    <xf numFmtId="180" fontId="0" fillId="0" borderId="43" xfId="0" applyNumberFormat="1" applyBorder="1" applyAlignment="1">
      <alignment horizontal="left"/>
    </xf>
    <xf numFmtId="180" fontId="0" fillId="0" borderId="16" xfId="0" applyNumberFormat="1" applyBorder="1" applyAlignment="1">
      <alignment horizontal="center"/>
    </xf>
    <xf numFmtId="180" fontId="0" fillId="0" borderId="44" xfId="0" applyNumberFormat="1" applyBorder="1" applyAlignment="1">
      <alignment horizontal="center"/>
    </xf>
    <xf numFmtId="180" fontId="0" fillId="0" borderId="45" xfId="0" applyNumberFormat="1" applyBorder="1" applyAlignment="1">
      <alignment horizontal="left"/>
    </xf>
    <xf numFmtId="180" fontId="0" fillId="0" borderId="10" xfId="0" applyNumberFormat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2" borderId="10" xfId="0" applyNumberFormat="1" applyFont="1" applyFill="1" applyBorder="1" applyAlignment="1">
      <alignment horizontal="center"/>
    </xf>
    <xf numFmtId="180" fontId="2" fillId="0" borderId="46" xfId="0" applyNumberFormat="1" applyFont="1" applyFill="1" applyBorder="1" applyAlignment="1">
      <alignment horizontal="center"/>
    </xf>
    <xf numFmtId="180" fontId="0" fillId="0" borderId="45" xfId="0" applyNumberForma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180" fontId="3" fillId="0" borderId="51" xfId="0" applyNumberFormat="1" applyFont="1" applyFill="1" applyBorder="1" applyAlignment="1">
      <alignment horizontal="center"/>
    </xf>
    <xf numFmtId="180" fontId="3" fillId="0" borderId="52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180" fontId="0" fillId="0" borderId="54" xfId="0" applyNumberForma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55" xfId="0" applyNumberFormat="1" applyBorder="1" applyAlignment="1">
      <alignment horizontal="center"/>
    </xf>
    <xf numFmtId="180" fontId="3" fillId="0" borderId="56" xfId="0" applyNumberFormat="1" applyFont="1" applyFill="1" applyBorder="1" applyAlignment="1">
      <alignment horizontal="center"/>
    </xf>
    <xf numFmtId="180" fontId="2" fillId="2" borderId="16" xfId="0" applyNumberFormat="1" applyFont="1" applyFill="1" applyBorder="1" applyAlignment="1">
      <alignment horizontal="center"/>
    </xf>
    <xf numFmtId="180" fontId="2" fillId="0" borderId="16" xfId="0" applyNumberFormat="1" applyFont="1" applyFill="1" applyBorder="1" applyAlignment="1">
      <alignment horizontal="center"/>
    </xf>
    <xf numFmtId="180" fontId="3" fillId="2" borderId="16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180" fontId="2" fillId="3" borderId="16" xfId="0" applyNumberFormat="1" applyFont="1" applyFill="1" applyBorder="1" applyAlignment="1">
      <alignment horizontal="center"/>
    </xf>
    <xf numFmtId="180" fontId="2" fillId="0" borderId="57" xfId="0" applyNumberFormat="1" applyFont="1" applyFill="1" applyBorder="1" applyAlignment="1">
      <alignment horizontal="center"/>
    </xf>
    <xf numFmtId="180" fontId="0" fillId="0" borderId="58" xfId="0" applyNumberFormat="1" applyBorder="1" applyAlignment="1">
      <alignment horizontal="center"/>
    </xf>
    <xf numFmtId="180" fontId="0" fillId="0" borderId="59" xfId="0" applyNumberFormat="1" applyBorder="1" applyAlignment="1">
      <alignment horizontal="center"/>
    </xf>
    <xf numFmtId="180" fontId="0" fillId="0" borderId="60" xfId="0" applyNumberFormat="1" applyBorder="1" applyAlignment="1">
      <alignment horizontal="center"/>
    </xf>
    <xf numFmtId="180" fontId="10" fillId="0" borderId="60" xfId="0" applyNumberFormat="1" applyFont="1" applyBorder="1" applyAlignment="1">
      <alignment horizontal="center"/>
    </xf>
    <xf numFmtId="180" fontId="0" fillId="0" borderId="61" xfId="0" applyNumberFormat="1" applyBorder="1" applyAlignment="1">
      <alignment horizontal="center"/>
    </xf>
    <xf numFmtId="180" fontId="11" fillId="0" borderId="62" xfId="0" applyNumberFormat="1" applyFont="1" applyBorder="1" applyAlignment="1">
      <alignment horizontal="center"/>
    </xf>
    <xf numFmtId="180" fontId="11" fillId="0" borderId="63" xfId="0" applyNumberFormat="1" applyFont="1" applyBorder="1" applyAlignment="1">
      <alignment horizontal="center"/>
    </xf>
    <xf numFmtId="2" fontId="11" fillId="0" borderId="63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2" fillId="0" borderId="55" xfId="0" applyNumberFormat="1" applyFont="1" applyFill="1" applyBorder="1" applyAlignment="1">
      <alignment horizontal="center"/>
    </xf>
    <xf numFmtId="173" fontId="2" fillId="0" borderId="54" xfId="0" applyNumberFormat="1" applyFont="1" applyFill="1" applyBorder="1" applyAlignment="1">
      <alignment horizontal="center"/>
    </xf>
    <xf numFmtId="173" fontId="2" fillId="0" borderId="64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32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630365"/>
        <c:axId val="35201134"/>
      </c:lineChart>
      <c:catAx>
        <c:axId val="526303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201134"/>
        <c:crosses val="autoZero"/>
        <c:auto val="1"/>
        <c:lblOffset val="100"/>
        <c:noMultiLvlLbl val="0"/>
      </c:catAx>
      <c:valAx>
        <c:axId val="35201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263036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6</xdr:col>
      <xdr:colOff>257175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0" y="5619750"/>
        <a:ext cx="49434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7"/>
  <sheetViews>
    <sheetView workbookViewId="0" topLeftCell="A1">
      <selection activeCell="A6" sqref="A6:IV6"/>
    </sheetView>
  </sheetViews>
  <sheetFormatPr defaultColWidth="9.33203125" defaultRowHeight="12.75"/>
  <cols>
    <col min="1" max="1" width="12" style="2" customWidth="1"/>
    <col min="2" max="3" width="12" style="3" customWidth="1"/>
    <col min="4" max="5" width="12" style="4" customWidth="1"/>
    <col min="6" max="7" width="12" style="5" customWidth="1"/>
    <col min="8" max="8" width="12" style="4" customWidth="1"/>
    <col min="9" max="9" width="12" style="1" customWidth="1"/>
    <col min="10" max="10" width="12" style="6" customWidth="1"/>
    <col min="11" max="11" width="12" style="1" customWidth="1"/>
    <col min="12" max="16384" width="12" style="0" customWidth="1"/>
  </cols>
  <sheetData>
    <row r="1" spans="1:22" ht="12.75">
      <c r="A1" s="2">
        <v>0</v>
      </c>
      <c r="B1" s="3">
        <v>0</v>
      </c>
      <c r="C1" s="3">
        <v>0</v>
      </c>
      <c r="D1" s="4">
        <v>0</v>
      </c>
      <c r="E1" s="4">
        <v>0</v>
      </c>
      <c r="F1" s="5">
        <v>0</v>
      </c>
      <c r="G1" s="5">
        <v>0</v>
      </c>
      <c r="H1" s="4">
        <v>0</v>
      </c>
      <c r="I1" s="1">
        <v>0</v>
      </c>
      <c r="J1" s="6">
        <v>0</v>
      </c>
      <c r="K1" s="5">
        <v>0</v>
      </c>
      <c r="L1">
        <v>0</v>
      </c>
      <c r="M1">
        <v>0</v>
      </c>
      <c r="N1">
        <v>6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</row>
    <row r="2" spans="1:10" s="87" customFormat="1" ht="12.75">
      <c r="A2" s="83">
        <v>44078</v>
      </c>
      <c r="B2" s="84">
        <v>80</v>
      </c>
      <c r="C2" s="84" t="s">
        <v>57</v>
      </c>
      <c r="D2" s="85">
        <v>5</v>
      </c>
      <c r="E2" s="85">
        <v>1</v>
      </c>
      <c r="F2" s="86"/>
      <c r="G2" s="86" t="s">
        <v>56</v>
      </c>
      <c r="H2" s="85">
        <v>1589</v>
      </c>
      <c r="I2" s="87" t="s">
        <v>58</v>
      </c>
      <c r="J2" s="88"/>
    </row>
    <row r="3" spans="1:10" s="87" customFormat="1" ht="12.75">
      <c r="A3" s="83">
        <v>44078</v>
      </c>
      <c r="B3" s="84">
        <v>80</v>
      </c>
      <c r="C3" s="84" t="s">
        <v>57</v>
      </c>
      <c r="D3" s="85">
        <v>5</v>
      </c>
      <c r="E3" s="85">
        <v>2</v>
      </c>
      <c r="F3" s="86"/>
      <c r="G3" s="86" t="s">
        <v>60</v>
      </c>
      <c r="H3" s="85">
        <v>1589</v>
      </c>
      <c r="I3" s="87" t="s">
        <v>61</v>
      </c>
      <c r="J3" s="88"/>
    </row>
    <row r="4" spans="1:11" s="87" customFormat="1" ht="12.75">
      <c r="A4" s="83">
        <v>44078</v>
      </c>
      <c r="B4" s="84">
        <v>80</v>
      </c>
      <c r="C4" s="84" t="s">
        <v>57</v>
      </c>
      <c r="D4" s="85">
        <v>5</v>
      </c>
      <c r="E4" s="85">
        <v>3</v>
      </c>
      <c r="F4" s="86"/>
      <c r="G4" s="86" t="s">
        <v>64</v>
      </c>
      <c r="H4" s="85">
        <v>1589</v>
      </c>
      <c r="I4" s="87" t="s">
        <v>65</v>
      </c>
      <c r="J4" s="88"/>
      <c r="K4" s="87" t="s">
        <v>62</v>
      </c>
    </row>
    <row r="5" spans="1:14" s="87" customFormat="1" ht="12.75">
      <c r="A5" s="83">
        <v>44078</v>
      </c>
      <c r="B5" s="84">
        <v>80</v>
      </c>
      <c r="C5" s="84" t="s">
        <v>57</v>
      </c>
      <c r="D5" s="85">
        <v>5</v>
      </c>
      <c r="E5" s="85">
        <v>4</v>
      </c>
      <c r="F5" s="86"/>
      <c r="G5" s="86" t="s">
        <v>66</v>
      </c>
      <c r="H5" s="85">
        <v>1589</v>
      </c>
      <c r="I5" s="87" t="s">
        <v>67</v>
      </c>
      <c r="J5" s="88"/>
      <c r="K5" s="87" t="s">
        <v>62</v>
      </c>
      <c r="N5" s="89"/>
    </row>
    <row r="6" spans="1:11" s="87" customFormat="1" ht="12.75">
      <c r="A6" s="83">
        <v>44078</v>
      </c>
      <c r="B6" s="84">
        <v>80</v>
      </c>
      <c r="C6" s="84" t="s">
        <v>57</v>
      </c>
      <c r="D6" s="85">
        <v>5</v>
      </c>
      <c r="E6" s="85">
        <v>5</v>
      </c>
      <c r="F6" s="86"/>
      <c r="G6" s="86" t="s">
        <v>69</v>
      </c>
      <c r="H6" s="85">
        <v>1589</v>
      </c>
      <c r="I6" s="87" t="s">
        <v>70</v>
      </c>
      <c r="J6" s="88"/>
      <c r="K6" s="87" t="s">
        <v>62</v>
      </c>
    </row>
    <row r="7" spans="1:10" s="87" customFormat="1" ht="12.75">
      <c r="A7" s="83" t="s">
        <v>71</v>
      </c>
      <c r="B7" s="84"/>
      <c r="C7" s="84"/>
      <c r="D7" s="85"/>
      <c r="E7" s="85"/>
      <c r="F7" s="86"/>
      <c r="G7" s="86"/>
      <c r="H7" s="85"/>
      <c r="J7" s="8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5.4283241E-05</v>
      </c>
      <c r="L2" s="18">
        <v>3.3181721325690056E-07</v>
      </c>
      <c r="M2" s="18">
        <v>0.000105717192</v>
      </c>
      <c r="N2" s="19">
        <v>4.709427889977253E-08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-3.2152670999999995E-05</v>
      </c>
      <c r="L3" s="18">
        <v>8.604438490906475E-08</v>
      </c>
      <c r="M3" s="18">
        <v>1.5904288000000003E-05</v>
      </c>
      <c r="N3" s="19">
        <v>7.612467685256817E-08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-0.002245107833080564</v>
      </c>
      <c r="L4" s="18">
        <v>-2.8718248772276486E-05</v>
      </c>
      <c r="M4" s="18">
        <v>7.21387566304642E-08</v>
      </c>
      <c r="N4" s="19">
        <v>6.3953905</v>
      </c>
    </row>
    <row r="5" spans="1:14" ht="15" customHeight="1" thickBot="1">
      <c r="A5" t="s">
        <v>6</v>
      </c>
      <c r="B5" s="22">
        <v>37720.508784722224</v>
      </c>
      <c r="D5" s="23"/>
      <c r="E5" s="24" t="s">
        <v>43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1589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0.4729983</v>
      </c>
      <c r="E8" s="41">
        <v>0.007909492794421652</v>
      </c>
      <c r="F8" s="41">
        <v>0.8966013100000001</v>
      </c>
      <c r="G8" s="41">
        <v>0.00796632534272584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-1.3726325</v>
      </c>
      <c r="E9" s="43">
        <v>0.03238265882845314</v>
      </c>
      <c r="F9" s="43">
        <v>-0.66578754</v>
      </c>
      <c r="G9" s="43">
        <v>0.01425416256408616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-0.44715917780000003</v>
      </c>
      <c r="E10" s="43">
        <v>0.005965463454557873</v>
      </c>
      <c r="F10" s="47">
        <v>-2.8416867</v>
      </c>
      <c r="G10" s="43">
        <v>0.007001815683176579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1</v>
      </c>
      <c r="D11" s="40">
        <v>5.2374528</v>
      </c>
      <c r="E11" s="41">
        <v>0.011099288052234627</v>
      </c>
      <c r="F11" s="41">
        <v>1.2799804</v>
      </c>
      <c r="G11" s="41">
        <v>0.008632441875851734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-0.30804343</v>
      </c>
      <c r="E12" s="43">
        <v>0.005180224274161186</v>
      </c>
      <c r="F12" s="43">
        <v>0.26198419000000006</v>
      </c>
      <c r="G12" s="43">
        <v>0.005940708170528772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20.706177</v>
      </c>
      <c r="D13" s="46">
        <v>0.0882072497</v>
      </c>
      <c r="E13" s="43">
        <v>0.005756879775351012</v>
      </c>
      <c r="F13" s="47">
        <v>-0.46379947</v>
      </c>
      <c r="G13" s="43">
        <v>0.00415936170434314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0.28032362</v>
      </c>
      <c r="E14" s="43">
        <v>0.006239733809194572</v>
      </c>
      <c r="F14" s="43">
        <v>0.32248846000000003</v>
      </c>
      <c r="G14" s="43">
        <v>0.004729905820562361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-0.26494906</v>
      </c>
      <c r="E15" s="41">
        <v>0.002933491195043353</v>
      </c>
      <c r="F15" s="41">
        <v>0.13576923000000002</v>
      </c>
      <c r="G15" s="41">
        <v>0.001098640781420222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-0.103021375</v>
      </c>
      <c r="E16" s="43">
        <v>0.0029763087907761572</v>
      </c>
      <c r="F16" s="43">
        <v>0.055737472999999996</v>
      </c>
      <c r="G16" s="43">
        <v>0.0033357694033470968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-0.08799999952316284</v>
      </c>
      <c r="D17" s="46">
        <v>0.09302762899999999</v>
      </c>
      <c r="E17" s="43">
        <v>0.002129366551990759</v>
      </c>
      <c r="F17" s="43">
        <v>-0.148182692</v>
      </c>
      <c r="G17" s="43">
        <v>0.0014053745995441997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75.2770004272461</v>
      </c>
      <c r="D18" s="46">
        <v>0.084209485</v>
      </c>
      <c r="E18" s="43">
        <v>0.002822800353223496</v>
      </c>
      <c r="F18" s="47">
        <v>0.15766798999999998</v>
      </c>
      <c r="G18" s="43">
        <v>0.0023410377908963586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-0.16599999368190765</v>
      </c>
      <c r="D19" s="50">
        <v>-0.18644661999999998</v>
      </c>
      <c r="E19" s="43">
        <v>0.00243714684223224</v>
      </c>
      <c r="F19" s="43">
        <v>0.00634762155</v>
      </c>
      <c r="G19" s="43">
        <v>0.0006246478308986255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0.42121580000000003</v>
      </c>
      <c r="D20" s="52">
        <v>-0.0038428425</v>
      </c>
      <c r="E20" s="53">
        <v>0.0007144463679415676</v>
      </c>
      <c r="F20" s="53">
        <v>0.0023162098899999995</v>
      </c>
      <c r="G20" s="53">
        <v>0.0014198014633073019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0.7950807000000001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0.3664291934975602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-2.2452915</v>
      </c>
      <c r="I25" s="66" t="s">
        <v>53</v>
      </c>
      <c r="J25" s="67"/>
      <c r="K25" s="66"/>
      <c r="L25" s="69">
        <v>5.391591755373547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1.0137165781896862</v>
      </c>
      <c r="I26" s="71" t="s">
        <v>55</v>
      </c>
      <c r="J26" s="72"/>
      <c r="K26" s="71"/>
      <c r="L26" s="74">
        <v>0.297710074081608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HCMQAP032_pos1ap2res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6.3034221E-05</v>
      </c>
      <c r="L2" s="18">
        <v>5.0823777630516533E-08</v>
      </c>
      <c r="M2" s="18">
        <v>0.0001814473</v>
      </c>
      <c r="N2" s="19">
        <v>8.806378367971823E-08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-2.9440283000000004E-05</v>
      </c>
      <c r="L3" s="18">
        <v>1.1802820529824516E-07</v>
      </c>
      <c r="M3" s="18">
        <v>1.43662E-05</v>
      </c>
      <c r="N3" s="19">
        <v>1.237396621944214E-07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-0.0037606373831179794</v>
      </c>
      <c r="L4" s="18">
        <v>-2.7137969003653574E-05</v>
      </c>
      <c r="M4" s="18">
        <v>4.622518064408058E-08</v>
      </c>
      <c r="N4" s="19">
        <v>3.6080981999999997</v>
      </c>
    </row>
    <row r="5" spans="1:14" ht="15" customHeight="1" thickBot="1">
      <c r="A5" t="s">
        <v>6</v>
      </c>
      <c r="B5" s="22">
        <v>37720.51368055555</v>
      </c>
      <c r="D5" s="23"/>
      <c r="E5" s="24" t="s">
        <v>59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1589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0.07868293600000001</v>
      </c>
      <c r="E8" s="41">
        <v>0.00850927482187437</v>
      </c>
      <c r="F8" s="41">
        <v>2.4072717</v>
      </c>
      <c r="G8" s="41">
        <v>0.009156338043080268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-0.7945126</v>
      </c>
      <c r="E9" s="43">
        <v>0.011934419099563113</v>
      </c>
      <c r="F9" s="47">
        <v>-3.0530331000000004</v>
      </c>
      <c r="G9" s="43">
        <v>0.020806290734773754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-0.65629028</v>
      </c>
      <c r="E10" s="43">
        <v>0.004118082060086863</v>
      </c>
      <c r="F10" s="43">
        <v>-2.148469</v>
      </c>
      <c r="G10" s="43">
        <v>0.007458900233966478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2</v>
      </c>
      <c r="D11" s="40">
        <v>5.5647655</v>
      </c>
      <c r="E11" s="41">
        <v>0.006950438798651042</v>
      </c>
      <c r="F11" s="41">
        <v>0.43483468</v>
      </c>
      <c r="G11" s="41">
        <v>0.008174438314931738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-0.22859557000000003</v>
      </c>
      <c r="E12" s="43">
        <v>0.005302996655815753</v>
      </c>
      <c r="F12" s="43">
        <v>0.56293502</v>
      </c>
      <c r="G12" s="43">
        <v>0.002672108136031618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20.742798</v>
      </c>
      <c r="D13" s="46">
        <v>-0.044142237</v>
      </c>
      <c r="E13" s="43">
        <v>0.0026418217893710814</v>
      </c>
      <c r="F13" s="47">
        <v>-0.40471038000000004</v>
      </c>
      <c r="G13" s="43">
        <v>0.0018351262494937417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0.13949430000000002</v>
      </c>
      <c r="E14" s="43">
        <v>0.0016699109643930929</v>
      </c>
      <c r="F14" s="43">
        <v>0.10257033999999998</v>
      </c>
      <c r="G14" s="43">
        <v>0.0016818531903962028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-0.0417920045</v>
      </c>
      <c r="E15" s="41">
        <v>0.002317435675497262</v>
      </c>
      <c r="F15" s="41">
        <v>0.13467186999999997</v>
      </c>
      <c r="G15" s="41">
        <v>0.0007037907605273991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-0.0450929685</v>
      </c>
      <c r="E16" s="43">
        <v>0.0030417638445355663</v>
      </c>
      <c r="F16" s="43">
        <v>0.010393940999999999</v>
      </c>
      <c r="G16" s="43">
        <v>0.0016966861120413586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-0.11999999731779099</v>
      </c>
      <c r="D17" s="46">
        <v>0.11077982</v>
      </c>
      <c r="E17" s="43">
        <v>0.0009458853950689252</v>
      </c>
      <c r="F17" s="43">
        <v>-0.09595056400000002</v>
      </c>
      <c r="G17" s="43">
        <v>0.003452018191277669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120.54399871826172</v>
      </c>
      <c r="D18" s="46">
        <v>0.057226882</v>
      </c>
      <c r="E18" s="43">
        <v>0.0017022613039178582</v>
      </c>
      <c r="F18" s="47">
        <v>0.15432971</v>
      </c>
      <c r="G18" s="43">
        <v>0.001257953099444104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-0.3630000054836273</v>
      </c>
      <c r="D19" s="50">
        <v>-0.17578858999999997</v>
      </c>
      <c r="E19" s="43">
        <v>0.0016254609867387205</v>
      </c>
      <c r="F19" s="43">
        <v>0.011303972999999998</v>
      </c>
      <c r="G19" s="43">
        <v>0.0011984429062892044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0.2908687</v>
      </c>
      <c r="D20" s="52">
        <v>-0.0039731108000000005</v>
      </c>
      <c r="E20" s="53">
        <v>0.0017940990925534913</v>
      </c>
      <c r="F20" s="53">
        <v>0.0017064659435</v>
      </c>
      <c r="G20" s="53">
        <v>0.0013258909974786224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0.8181280000000001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0.206728973545243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-3.7607352999999994</v>
      </c>
      <c r="I25" s="66" t="s">
        <v>53</v>
      </c>
      <c r="J25" s="67"/>
      <c r="K25" s="66"/>
      <c r="L25" s="69">
        <v>5.581728788549382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2.4085572532199584</v>
      </c>
      <c r="I26" s="71" t="s">
        <v>55</v>
      </c>
      <c r="J26" s="72"/>
      <c r="K26" s="71"/>
      <c r="L26" s="74">
        <v>0.14100739061987108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HCMQAP032_pos2ap2res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8.130912E-05</v>
      </c>
      <c r="L2" s="18">
        <v>1.8456409525918487E-07</v>
      </c>
      <c r="M2" s="18">
        <v>0.00014443895000000001</v>
      </c>
      <c r="N2" s="19">
        <v>1.5736180920497414E-07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-2.805768E-05</v>
      </c>
      <c r="L3" s="18">
        <v>1.4861224128564294E-07</v>
      </c>
      <c r="M3" s="18">
        <v>1.1895490000000004E-05</v>
      </c>
      <c r="N3" s="19">
        <v>1.1956803669885216E-07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-0.003761731917312189</v>
      </c>
      <c r="L4" s="18">
        <v>1.8940465963785916E-05</v>
      </c>
      <c r="M4" s="18">
        <v>8.329429635932728E-08</v>
      </c>
      <c r="N4" s="19">
        <v>-2.5174981</v>
      </c>
    </row>
    <row r="5" spans="1:14" ht="15" customHeight="1" thickBot="1">
      <c r="A5" t="s">
        <v>6</v>
      </c>
      <c r="B5" s="22">
        <v>37720.51844907407</v>
      </c>
      <c r="D5" s="23"/>
      <c r="E5" s="24" t="s">
        <v>63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1589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2.2270349000000005</v>
      </c>
      <c r="E8" s="41">
        <v>0.006067422239987741</v>
      </c>
      <c r="F8" s="41">
        <v>0.35129745999999995</v>
      </c>
      <c r="G8" s="41">
        <v>0.017350206593997792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-0.56283854</v>
      </c>
      <c r="E9" s="43">
        <v>0.015798256758751357</v>
      </c>
      <c r="F9" s="43">
        <v>-0.99203235</v>
      </c>
      <c r="G9" s="43">
        <v>0.009126599778993945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-1.8512819</v>
      </c>
      <c r="E10" s="43">
        <v>0.006021918783909111</v>
      </c>
      <c r="F10" s="47">
        <v>-2.3812311</v>
      </c>
      <c r="G10" s="43">
        <v>0.005544267042590483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3</v>
      </c>
      <c r="D11" s="40">
        <v>4.8949074</v>
      </c>
      <c r="E11" s="41">
        <v>0.005175231418906411</v>
      </c>
      <c r="F11" s="41">
        <v>0.025734727000000002</v>
      </c>
      <c r="G11" s="41">
        <v>0.008844691402506134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0.0144772</v>
      </c>
      <c r="E12" s="43">
        <v>0.003561432060702553</v>
      </c>
      <c r="F12" s="43">
        <v>0.176607753</v>
      </c>
      <c r="G12" s="43">
        <v>0.004767702518628966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20.776368</v>
      </c>
      <c r="D13" s="46">
        <v>-0.00306578999</v>
      </c>
      <c r="E13" s="43">
        <v>0.0008757201473501081</v>
      </c>
      <c r="F13" s="43">
        <v>0.003755658999999999</v>
      </c>
      <c r="G13" s="43">
        <v>0.003088633753584909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-0.064774321</v>
      </c>
      <c r="E14" s="43">
        <v>0.0021386383972667364</v>
      </c>
      <c r="F14" s="43">
        <v>-0.0401612883</v>
      </c>
      <c r="G14" s="43">
        <v>0.0023220987978831344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-0.027504859460000003</v>
      </c>
      <c r="E15" s="41">
        <v>0.0023267151678074585</v>
      </c>
      <c r="F15" s="41">
        <v>0.0314061</v>
      </c>
      <c r="G15" s="41">
        <v>0.0020363777406243377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-0.026288161999999997</v>
      </c>
      <c r="E16" s="43">
        <v>0.0021695504944356874</v>
      </c>
      <c r="F16" s="43">
        <v>0.005591329000000001</v>
      </c>
      <c r="G16" s="43">
        <v>0.0039005895561509667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0.42500001192092896</v>
      </c>
      <c r="D17" s="46">
        <v>0.053509599</v>
      </c>
      <c r="E17" s="43">
        <v>0.001903880857762457</v>
      </c>
      <c r="F17" s="43">
        <v>-0.080095106</v>
      </c>
      <c r="G17" s="43">
        <v>0.0014702283427461148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7.629000186920166</v>
      </c>
      <c r="D18" s="46">
        <v>0.069496679</v>
      </c>
      <c r="E18" s="43">
        <v>0.0013856655330319228</v>
      </c>
      <c r="F18" s="43">
        <v>0.12539240999999998</v>
      </c>
      <c r="G18" s="43">
        <v>0.0017216069607788155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0.3580000102519989</v>
      </c>
      <c r="D19" s="50">
        <v>-0.17821307</v>
      </c>
      <c r="E19" s="43">
        <v>0.001554705858869862</v>
      </c>
      <c r="F19" s="43">
        <v>0.0007531716000000001</v>
      </c>
      <c r="G19" s="43">
        <v>0.0014754736340176398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0.3641644</v>
      </c>
      <c r="D20" s="52">
        <v>0.001024011944</v>
      </c>
      <c r="E20" s="53">
        <v>0.001569562457784359</v>
      </c>
      <c r="F20" s="53">
        <v>-0.00404737654</v>
      </c>
      <c r="G20" s="53">
        <v>0.0016456197708933033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0.6545705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-0.14424213789832538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-3.7617796</v>
      </c>
      <c r="I25" s="66" t="s">
        <v>53</v>
      </c>
      <c r="J25" s="67"/>
      <c r="K25" s="66"/>
      <c r="L25" s="69">
        <v>4.89497504904249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2.2545718775901697</v>
      </c>
      <c r="I26" s="71" t="s">
        <v>55</v>
      </c>
      <c r="J26" s="72"/>
      <c r="K26" s="71"/>
      <c r="L26" s="74">
        <v>0.04174757970379064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 t="s">
        <v>62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HCMQAP032_pos3ap2res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-8.549907E-06</v>
      </c>
      <c r="L2" s="18">
        <v>1.5146010915749782E-07</v>
      </c>
      <c r="M2" s="18">
        <v>0.00017935047000000001</v>
      </c>
      <c r="N2" s="19">
        <v>3.304387370801261E-08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-2.8552909E-05</v>
      </c>
      <c r="L3" s="18">
        <v>1.9154397660580538E-07</v>
      </c>
      <c r="M3" s="18">
        <v>1.1025670000000003E-05</v>
      </c>
      <c r="N3" s="19">
        <v>1.2888050899957994E-07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-0.0037602990419156436</v>
      </c>
      <c r="L4" s="18">
        <v>4.249929534635221E-05</v>
      </c>
      <c r="M4" s="18">
        <v>3.99269458025874E-08</v>
      </c>
      <c r="N4" s="19">
        <v>-5.650811999999999</v>
      </c>
    </row>
    <row r="5" spans="1:14" ht="15" customHeight="1" thickBot="1">
      <c r="A5" t="s">
        <v>6</v>
      </c>
      <c r="B5" s="22">
        <v>37720.523043981484</v>
      </c>
      <c r="D5" s="23"/>
      <c r="E5" s="24" t="s">
        <v>59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1589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1.6476209000000002</v>
      </c>
      <c r="E8" s="41">
        <v>0.010067183893205395</v>
      </c>
      <c r="F8" s="41">
        <v>0.15055421900000002</v>
      </c>
      <c r="G8" s="41">
        <v>0.007520134837676879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-1.2938861</v>
      </c>
      <c r="E9" s="43">
        <v>0.008562700271518073</v>
      </c>
      <c r="F9" s="43">
        <v>-0.0007457959999999985</v>
      </c>
      <c r="G9" s="43">
        <v>0.019509919927428558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-0.435474853</v>
      </c>
      <c r="E10" s="43">
        <v>0.006615110470340277</v>
      </c>
      <c r="F10" s="47">
        <v>-3.3002775</v>
      </c>
      <c r="G10" s="43">
        <v>0.0033279975961224006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4</v>
      </c>
      <c r="D11" s="40">
        <v>5.1033888</v>
      </c>
      <c r="E11" s="41">
        <v>0.005731843634977037</v>
      </c>
      <c r="F11" s="41">
        <v>0.34181746999999996</v>
      </c>
      <c r="G11" s="41">
        <v>0.007689866343415903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0.170366696</v>
      </c>
      <c r="E12" s="43">
        <v>0.002387355396457145</v>
      </c>
      <c r="F12" s="43">
        <v>0.12200647599999999</v>
      </c>
      <c r="G12" s="43">
        <v>0.006065753756544809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20.831299</v>
      </c>
      <c r="D13" s="46">
        <v>-0.0104424747</v>
      </c>
      <c r="E13" s="43">
        <v>0.0051615058801074785</v>
      </c>
      <c r="F13" s="43">
        <v>-0.11077710599999999</v>
      </c>
      <c r="G13" s="43">
        <v>0.002557048496815232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0.0116003307</v>
      </c>
      <c r="E14" s="43">
        <v>0.0025305518671253032</v>
      </c>
      <c r="F14" s="43">
        <v>0.0396997202</v>
      </c>
      <c r="G14" s="43">
        <v>0.0019362386741998178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-0.069089081</v>
      </c>
      <c r="E15" s="41">
        <v>0.002532436148706291</v>
      </c>
      <c r="F15" s="41">
        <v>0.053830223999999996</v>
      </c>
      <c r="G15" s="41">
        <v>0.001753157692734627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0.0066480340000000014</v>
      </c>
      <c r="E16" s="43">
        <v>0.0033090794922688085</v>
      </c>
      <c r="F16" s="43">
        <v>-0.026198500999999996</v>
      </c>
      <c r="G16" s="43">
        <v>0.0015808425936613927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-0.17100000381469727</v>
      </c>
      <c r="D17" s="46">
        <v>0.11654357</v>
      </c>
      <c r="E17" s="43">
        <v>0.0014301486732503773</v>
      </c>
      <c r="F17" s="43">
        <v>-0.004229317</v>
      </c>
      <c r="G17" s="43">
        <v>0.001528823867878834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177.51100158691406</v>
      </c>
      <c r="D18" s="46">
        <v>-0.0070848199</v>
      </c>
      <c r="E18" s="43">
        <v>0.0010298999653837431</v>
      </c>
      <c r="F18" s="47">
        <v>0.15182853999999998</v>
      </c>
      <c r="G18" s="43">
        <v>0.001182620614315119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-0.4480000138282776</v>
      </c>
      <c r="D19" s="50">
        <v>-0.17695887000000002</v>
      </c>
      <c r="E19" s="43">
        <v>0.0007462882021019306</v>
      </c>
      <c r="F19" s="43">
        <v>0.0050887392</v>
      </c>
      <c r="G19" s="43">
        <v>0.0013636741467026696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-0.0477815</v>
      </c>
      <c r="D20" s="52">
        <v>-0.00016406416999999998</v>
      </c>
      <c r="E20" s="53">
        <v>0.0009269431813065973</v>
      </c>
      <c r="F20" s="53">
        <v>-0.0037203291</v>
      </c>
      <c r="G20" s="53">
        <v>0.0007681598926967865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0.8102881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-0.32376795189696933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-3.7605392</v>
      </c>
      <c r="I25" s="66" t="s">
        <v>53</v>
      </c>
      <c r="J25" s="67"/>
      <c r="K25" s="66"/>
      <c r="L25" s="69">
        <v>5.114823205816858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1.654485177623393</v>
      </c>
      <c r="I26" s="71" t="s">
        <v>55</v>
      </c>
      <c r="J26" s="72"/>
      <c r="K26" s="71"/>
      <c r="L26" s="74">
        <v>0.08758421164407851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 t="s">
        <v>62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HCMQAP032_pos4ap2res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2.0698448699999997E-05</v>
      </c>
      <c r="L2" s="18">
        <v>1.0365038535142035E-07</v>
      </c>
      <c r="M2" s="18">
        <v>0.00014319326</v>
      </c>
      <c r="N2" s="19">
        <v>1.0213818779355667E-07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-3.05800613E-05</v>
      </c>
      <c r="L3" s="18">
        <v>1.3354154572111095E-07</v>
      </c>
      <c r="M3" s="18">
        <v>1.0073720000000001E-05</v>
      </c>
      <c r="N3" s="19">
        <v>1.198086082049286E-07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-0.0021018725688363897</v>
      </c>
      <c r="L4" s="18">
        <v>3.336064184640197E-05</v>
      </c>
      <c r="M4" s="18">
        <v>6.203112618037309E-08</v>
      </c>
      <c r="N4" s="19">
        <v>-7.9352672</v>
      </c>
    </row>
    <row r="5" spans="1:14" ht="15" customHeight="1" thickBot="1">
      <c r="A5" t="s">
        <v>6</v>
      </c>
      <c r="B5" s="22">
        <v>37720.52756944444</v>
      </c>
      <c r="D5" s="23"/>
      <c r="E5" s="24" t="s">
        <v>68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1589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1.9235161</v>
      </c>
      <c r="E8" s="41">
        <v>0.015359039395056175</v>
      </c>
      <c r="F8" s="80">
        <v>7.1378486</v>
      </c>
      <c r="G8" s="41">
        <v>0.02396390010693336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50">
        <v>-3.9399225</v>
      </c>
      <c r="E9" s="43">
        <v>0.016917459723533087</v>
      </c>
      <c r="F9" s="47">
        <v>3.8970371999999998</v>
      </c>
      <c r="G9" s="43">
        <v>0.01599727003789534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-1.78473175</v>
      </c>
      <c r="E10" s="43">
        <v>0.010592958952890334</v>
      </c>
      <c r="F10" s="47">
        <v>-11.640730999999999</v>
      </c>
      <c r="G10" s="43">
        <v>0.010660967780893848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5</v>
      </c>
      <c r="D11" s="81">
        <v>15.634699000000001</v>
      </c>
      <c r="E11" s="41">
        <v>0.009823621735870395</v>
      </c>
      <c r="F11" s="80">
        <v>2.1115614</v>
      </c>
      <c r="G11" s="41">
        <v>0.006862431663813307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0.40395368000000004</v>
      </c>
      <c r="E12" s="43">
        <v>0.008086155119001948</v>
      </c>
      <c r="F12" s="43">
        <v>0.32051162</v>
      </c>
      <c r="G12" s="43">
        <v>0.006779902420288067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20.913697</v>
      </c>
      <c r="D13" s="46">
        <v>0.07529255100000001</v>
      </c>
      <c r="E13" s="43">
        <v>0.00544690663138555</v>
      </c>
      <c r="F13" s="43">
        <v>0.10842806899999999</v>
      </c>
      <c r="G13" s="43">
        <v>0.004970388940662212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0.21955006</v>
      </c>
      <c r="E14" s="43">
        <v>0.005772619654143693</v>
      </c>
      <c r="F14" s="43">
        <v>0.35039738</v>
      </c>
      <c r="G14" s="43">
        <v>0.001783043233529457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-0.28459816</v>
      </c>
      <c r="E15" s="41">
        <v>0.0012790735691923696</v>
      </c>
      <c r="F15" s="41">
        <v>0.23525574000000002</v>
      </c>
      <c r="G15" s="41">
        <v>0.0051829186199853165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-0.010141513000000001</v>
      </c>
      <c r="E16" s="43">
        <v>0.0018231812143684346</v>
      </c>
      <c r="F16" s="43">
        <v>-0.0241440355</v>
      </c>
      <c r="G16" s="43">
        <v>0.003819503069535493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0.4009999930858612</v>
      </c>
      <c r="D17" s="82">
        <v>0.15311112</v>
      </c>
      <c r="E17" s="43">
        <v>0.0032073432255691273</v>
      </c>
      <c r="F17" s="43">
        <v>0.008442359</v>
      </c>
      <c r="G17" s="43">
        <v>0.0008735488422028834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6.611999988555908</v>
      </c>
      <c r="D18" s="46">
        <v>-0.028768059000000002</v>
      </c>
      <c r="E18" s="43">
        <v>0.0010896638516276586</v>
      </c>
      <c r="F18" s="47">
        <v>0.15579638</v>
      </c>
      <c r="G18" s="43">
        <v>0.002734502404203792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0.2329999953508377</v>
      </c>
      <c r="D19" s="46">
        <v>-0.13262404</v>
      </c>
      <c r="E19" s="43">
        <v>0.002024149668973462</v>
      </c>
      <c r="F19" s="43">
        <v>-0.029451033999999997</v>
      </c>
      <c r="G19" s="43">
        <v>0.0007867108092075988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0.1490275</v>
      </c>
      <c r="D20" s="52">
        <v>0.00261924884</v>
      </c>
      <c r="E20" s="53">
        <v>0.0015707676397121962</v>
      </c>
      <c r="F20" s="53">
        <v>0.0033007862999999997</v>
      </c>
      <c r="G20" s="53">
        <v>0.001953056209065311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1.1604942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-0.4546577039015276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-2.1021373</v>
      </c>
      <c r="I25" s="66" t="s">
        <v>53</v>
      </c>
      <c r="J25" s="67"/>
      <c r="K25" s="66"/>
      <c r="L25" s="69">
        <v>15.776644268239396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7.392482453376617</v>
      </c>
      <c r="I26" s="71" t="s">
        <v>55</v>
      </c>
      <c r="J26" s="72"/>
      <c r="K26" s="71"/>
      <c r="L26" s="74">
        <v>0.3692443308682385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 t="s">
        <v>62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HCMQAP032_pos5ap2res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12" t="s">
        <v>108</v>
      </c>
      <c r="B1" s="104" t="s">
        <v>56</v>
      </c>
      <c r="C1" s="94" t="s">
        <v>60</v>
      </c>
      <c r="D1" s="94" t="s">
        <v>64</v>
      </c>
      <c r="E1" s="94" t="s">
        <v>66</v>
      </c>
      <c r="F1" s="101" t="s">
        <v>69</v>
      </c>
      <c r="G1" s="137" t="s">
        <v>109</v>
      </c>
    </row>
    <row r="2" spans="1:7" ht="13.5" thickBot="1">
      <c r="A2" s="113" t="s">
        <v>78</v>
      </c>
      <c r="B2" s="105">
        <v>-2.2452915</v>
      </c>
      <c r="C2" s="96">
        <v>-3.7607352999999994</v>
      </c>
      <c r="D2" s="96">
        <v>-3.7617796</v>
      </c>
      <c r="E2" s="96">
        <v>-3.7605392</v>
      </c>
      <c r="F2" s="102">
        <v>-2.1021373</v>
      </c>
      <c r="G2" s="138">
        <v>3.1165229793704525</v>
      </c>
    </row>
    <row r="3" spans="1:7" ht="14.25" thickBot="1" thickTop="1">
      <c r="A3" s="121" t="s">
        <v>77</v>
      </c>
      <c r="B3" s="122" t="s">
        <v>72</v>
      </c>
      <c r="C3" s="123" t="s">
        <v>73</v>
      </c>
      <c r="D3" s="123" t="s">
        <v>74</v>
      </c>
      <c r="E3" s="123" t="s">
        <v>75</v>
      </c>
      <c r="F3" s="124" t="s">
        <v>76</v>
      </c>
      <c r="G3" s="132" t="s">
        <v>110</v>
      </c>
    </row>
    <row r="4" spans="1:7" ht="12.75">
      <c r="A4" s="118" t="s">
        <v>79</v>
      </c>
      <c r="B4" s="119">
        <v>0.4729983</v>
      </c>
      <c r="C4" s="120">
        <v>0.07868293600000001</v>
      </c>
      <c r="D4" s="120">
        <v>2.2270349000000005</v>
      </c>
      <c r="E4" s="120">
        <v>1.6476209000000002</v>
      </c>
      <c r="F4" s="125">
        <v>1.9235161</v>
      </c>
      <c r="G4" s="133">
        <v>1.277950096787166</v>
      </c>
    </row>
    <row r="5" spans="1:7" ht="12.75">
      <c r="A5" s="113" t="s">
        <v>81</v>
      </c>
      <c r="B5" s="107">
        <v>-1.3726325</v>
      </c>
      <c r="C5" s="91">
        <v>-0.7945126</v>
      </c>
      <c r="D5" s="91">
        <v>-0.56283854</v>
      </c>
      <c r="E5" s="91">
        <v>-1.2938861</v>
      </c>
      <c r="F5" s="126">
        <v>-3.9399225</v>
      </c>
      <c r="G5" s="134">
        <v>-1.3649708576565274</v>
      </c>
    </row>
    <row r="6" spans="1:7" ht="12.75">
      <c r="A6" s="113" t="s">
        <v>83</v>
      </c>
      <c r="B6" s="107">
        <v>-0.44715917780000003</v>
      </c>
      <c r="C6" s="91">
        <v>-0.65629028</v>
      </c>
      <c r="D6" s="91">
        <v>-1.8512819</v>
      </c>
      <c r="E6" s="91">
        <v>-0.435474853</v>
      </c>
      <c r="F6" s="127">
        <v>-1.78473175</v>
      </c>
      <c r="G6" s="134">
        <v>-1.0124845628962278</v>
      </c>
    </row>
    <row r="7" spans="1:7" ht="12.75">
      <c r="A7" s="113" t="s">
        <v>85</v>
      </c>
      <c r="B7" s="106">
        <v>5.2374528</v>
      </c>
      <c r="C7" s="90">
        <v>5.5647655</v>
      </c>
      <c r="D7" s="90">
        <v>4.8949074</v>
      </c>
      <c r="E7" s="90">
        <v>5.1033888</v>
      </c>
      <c r="F7" s="128">
        <v>15.634699000000001</v>
      </c>
      <c r="G7" s="135">
        <v>6.599831837836952</v>
      </c>
    </row>
    <row r="8" spans="1:7" ht="12.75">
      <c r="A8" s="113" t="s">
        <v>87</v>
      </c>
      <c r="B8" s="107">
        <v>-0.30804343</v>
      </c>
      <c r="C8" s="91">
        <v>-0.22859557000000003</v>
      </c>
      <c r="D8" s="91">
        <v>0.0144772</v>
      </c>
      <c r="E8" s="91">
        <v>0.170366696</v>
      </c>
      <c r="F8" s="127">
        <v>0.40395368000000004</v>
      </c>
      <c r="G8" s="134">
        <v>-0.00045027092698452593</v>
      </c>
    </row>
    <row r="9" spans="1:7" ht="12.75">
      <c r="A9" s="113" t="s">
        <v>89</v>
      </c>
      <c r="B9" s="107">
        <v>0.0882072497</v>
      </c>
      <c r="C9" s="91">
        <v>-0.044142237</v>
      </c>
      <c r="D9" s="91">
        <v>-0.00306578999</v>
      </c>
      <c r="E9" s="91">
        <v>-0.0104424747</v>
      </c>
      <c r="F9" s="127">
        <v>0.07529255100000001</v>
      </c>
      <c r="G9" s="134">
        <v>0.008925945420121945</v>
      </c>
    </row>
    <row r="10" spans="1:7" ht="12.75">
      <c r="A10" s="113" t="s">
        <v>91</v>
      </c>
      <c r="B10" s="107">
        <v>0.28032362</v>
      </c>
      <c r="C10" s="91">
        <v>0.13949430000000002</v>
      </c>
      <c r="D10" s="91">
        <v>-0.064774321</v>
      </c>
      <c r="E10" s="91">
        <v>0.0116003307</v>
      </c>
      <c r="F10" s="127">
        <v>0.21955006</v>
      </c>
      <c r="G10" s="134">
        <v>0.09055961596208392</v>
      </c>
    </row>
    <row r="11" spans="1:7" ht="12.75">
      <c r="A11" s="113" t="s">
        <v>93</v>
      </c>
      <c r="B11" s="106">
        <v>-0.26494906</v>
      </c>
      <c r="C11" s="90">
        <v>-0.0417920045</v>
      </c>
      <c r="D11" s="90">
        <v>-0.027504859460000003</v>
      </c>
      <c r="E11" s="90">
        <v>-0.069089081</v>
      </c>
      <c r="F11" s="129">
        <v>-0.28459816</v>
      </c>
      <c r="G11" s="134">
        <v>-0.10963195277794245</v>
      </c>
    </row>
    <row r="12" spans="1:7" ht="12.75">
      <c r="A12" s="113" t="s">
        <v>95</v>
      </c>
      <c r="B12" s="107">
        <v>-0.103021375</v>
      </c>
      <c r="C12" s="91">
        <v>-0.0450929685</v>
      </c>
      <c r="D12" s="91">
        <v>-0.026288161999999997</v>
      </c>
      <c r="E12" s="91">
        <v>0.0066480340000000014</v>
      </c>
      <c r="F12" s="127">
        <v>-0.010141513000000001</v>
      </c>
      <c r="G12" s="134">
        <v>-0.03173956115293455</v>
      </c>
    </row>
    <row r="13" spans="1:7" ht="12.75">
      <c r="A13" s="113" t="s">
        <v>97</v>
      </c>
      <c r="B13" s="107">
        <v>0.09302762899999999</v>
      </c>
      <c r="C13" s="91">
        <v>0.11077982</v>
      </c>
      <c r="D13" s="91">
        <v>0.053509599</v>
      </c>
      <c r="E13" s="91">
        <v>0.11654357</v>
      </c>
      <c r="F13" s="130">
        <v>0.15311112</v>
      </c>
      <c r="G13" s="135">
        <v>0.10152637715835382</v>
      </c>
    </row>
    <row r="14" spans="1:7" ht="12.75">
      <c r="A14" s="113" t="s">
        <v>99</v>
      </c>
      <c r="B14" s="107">
        <v>0.084209485</v>
      </c>
      <c r="C14" s="91">
        <v>0.057226882</v>
      </c>
      <c r="D14" s="91">
        <v>0.069496679</v>
      </c>
      <c r="E14" s="91">
        <v>-0.0070848199</v>
      </c>
      <c r="F14" s="127">
        <v>-0.028768059000000002</v>
      </c>
      <c r="G14" s="134">
        <v>0.037017668381491245</v>
      </c>
    </row>
    <row r="15" spans="1:7" ht="12.75">
      <c r="A15" s="113" t="s">
        <v>101</v>
      </c>
      <c r="B15" s="108">
        <v>-0.18644661999999998</v>
      </c>
      <c r="C15" s="92">
        <v>-0.17578858999999997</v>
      </c>
      <c r="D15" s="92">
        <v>-0.17821307</v>
      </c>
      <c r="E15" s="92">
        <v>-0.17695887000000002</v>
      </c>
      <c r="F15" s="127">
        <v>-0.13262404</v>
      </c>
      <c r="G15" s="134">
        <v>-0.17237947055383201</v>
      </c>
    </row>
    <row r="16" spans="1:7" ht="12.75">
      <c r="A16" s="113" t="s">
        <v>103</v>
      </c>
      <c r="B16" s="107">
        <v>-0.0038428425</v>
      </c>
      <c r="C16" s="91">
        <v>-0.0039731108000000005</v>
      </c>
      <c r="D16" s="91">
        <v>0.001024011944</v>
      </c>
      <c r="E16" s="91">
        <v>-0.00016406416999999998</v>
      </c>
      <c r="F16" s="127">
        <v>0.00261924884</v>
      </c>
      <c r="G16" s="134">
        <v>-0.0009487206217038361</v>
      </c>
    </row>
    <row r="17" spans="1:7" ht="12.75">
      <c r="A17" s="113" t="s">
        <v>80</v>
      </c>
      <c r="B17" s="106">
        <v>0.8966013100000001</v>
      </c>
      <c r="C17" s="90">
        <v>2.4072717</v>
      </c>
      <c r="D17" s="90">
        <v>0.35129745999999995</v>
      </c>
      <c r="E17" s="90">
        <v>0.15055421900000002</v>
      </c>
      <c r="F17" s="128">
        <v>7.1378486</v>
      </c>
      <c r="G17" s="134">
        <v>1.78872588790973</v>
      </c>
    </row>
    <row r="18" spans="1:7" ht="12.75">
      <c r="A18" s="113" t="s">
        <v>82</v>
      </c>
      <c r="B18" s="107">
        <v>-0.66578754</v>
      </c>
      <c r="C18" s="92">
        <v>-3.0530331000000004</v>
      </c>
      <c r="D18" s="91">
        <v>-0.99203235</v>
      </c>
      <c r="E18" s="91">
        <v>-0.0007457959999999985</v>
      </c>
      <c r="F18" s="126">
        <v>3.8970371999999998</v>
      </c>
      <c r="G18" s="134">
        <v>-0.545027361237959</v>
      </c>
    </row>
    <row r="19" spans="1:7" ht="12.75">
      <c r="A19" s="113" t="s">
        <v>84</v>
      </c>
      <c r="B19" s="108">
        <v>-2.8416867</v>
      </c>
      <c r="C19" s="91">
        <v>-2.148469</v>
      </c>
      <c r="D19" s="92">
        <v>-2.3812311</v>
      </c>
      <c r="E19" s="92">
        <v>-3.3002775</v>
      </c>
      <c r="F19" s="126">
        <v>-11.640730999999999</v>
      </c>
      <c r="G19" s="135">
        <v>-3.857791400756313</v>
      </c>
    </row>
    <row r="20" spans="1:7" ht="12.75">
      <c r="A20" s="113" t="s">
        <v>86</v>
      </c>
      <c r="B20" s="106">
        <v>1.2799804</v>
      </c>
      <c r="C20" s="90">
        <v>0.43483468</v>
      </c>
      <c r="D20" s="90">
        <v>0.025734727000000002</v>
      </c>
      <c r="E20" s="90">
        <v>0.34181746999999996</v>
      </c>
      <c r="F20" s="128">
        <v>2.1115614</v>
      </c>
      <c r="G20" s="134">
        <v>0.6609038028778378</v>
      </c>
    </row>
    <row r="21" spans="1:7" ht="12.75">
      <c r="A21" s="113" t="s">
        <v>88</v>
      </c>
      <c r="B21" s="107">
        <v>0.26198419000000006</v>
      </c>
      <c r="C21" s="91">
        <v>0.56293502</v>
      </c>
      <c r="D21" s="91">
        <v>0.176607753</v>
      </c>
      <c r="E21" s="91">
        <v>0.12200647599999999</v>
      </c>
      <c r="F21" s="127">
        <v>0.32051162</v>
      </c>
      <c r="G21" s="134">
        <v>0.2880403321279417</v>
      </c>
    </row>
    <row r="22" spans="1:7" ht="12.75">
      <c r="A22" s="113" t="s">
        <v>90</v>
      </c>
      <c r="B22" s="108">
        <v>-0.46379947</v>
      </c>
      <c r="C22" s="92">
        <v>-0.40471038000000004</v>
      </c>
      <c r="D22" s="91">
        <v>0.003755658999999999</v>
      </c>
      <c r="E22" s="91">
        <v>-0.11077710599999999</v>
      </c>
      <c r="F22" s="127">
        <v>0.10842806899999999</v>
      </c>
      <c r="G22" s="134">
        <v>-0.17516391767978223</v>
      </c>
    </row>
    <row r="23" spans="1:7" ht="12.75">
      <c r="A23" s="113" t="s">
        <v>92</v>
      </c>
      <c r="B23" s="107">
        <v>0.32248846000000003</v>
      </c>
      <c r="C23" s="91">
        <v>0.10257033999999998</v>
      </c>
      <c r="D23" s="91">
        <v>-0.0401612883</v>
      </c>
      <c r="E23" s="91">
        <v>0.0396997202</v>
      </c>
      <c r="F23" s="127">
        <v>0.35039738</v>
      </c>
      <c r="G23" s="134">
        <v>0.11801416178778705</v>
      </c>
    </row>
    <row r="24" spans="1:7" ht="12.75">
      <c r="A24" s="113" t="s">
        <v>94</v>
      </c>
      <c r="B24" s="106">
        <v>0.13576923000000002</v>
      </c>
      <c r="C24" s="90">
        <v>0.13467186999999997</v>
      </c>
      <c r="D24" s="90">
        <v>0.0314061</v>
      </c>
      <c r="E24" s="90">
        <v>0.053830223999999996</v>
      </c>
      <c r="F24" s="129">
        <v>0.23525574000000002</v>
      </c>
      <c r="G24" s="134">
        <v>0.10405437399454873</v>
      </c>
    </row>
    <row r="25" spans="1:7" ht="12.75">
      <c r="A25" s="113" t="s">
        <v>96</v>
      </c>
      <c r="B25" s="107">
        <v>0.055737472999999996</v>
      </c>
      <c r="C25" s="91">
        <v>0.010393940999999999</v>
      </c>
      <c r="D25" s="91">
        <v>0.005591329000000001</v>
      </c>
      <c r="E25" s="91">
        <v>-0.026198500999999996</v>
      </c>
      <c r="F25" s="127">
        <v>-0.0241440355</v>
      </c>
      <c r="G25" s="134">
        <v>0.0023028408779022336</v>
      </c>
    </row>
    <row r="26" spans="1:7" ht="12.75">
      <c r="A26" s="113" t="s">
        <v>98</v>
      </c>
      <c r="B26" s="107">
        <v>-0.148182692</v>
      </c>
      <c r="C26" s="91">
        <v>-0.09595056400000002</v>
      </c>
      <c r="D26" s="91">
        <v>-0.080095106</v>
      </c>
      <c r="E26" s="91">
        <v>-0.004229317</v>
      </c>
      <c r="F26" s="127">
        <v>0.008442359</v>
      </c>
      <c r="G26" s="134">
        <v>-0.0635307091061723</v>
      </c>
    </row>
    <row r="27" spans="1:7" ht="12.75">
      <c r="A27" s="113" t="s">
        <v>100</v>
      </c>
      <c r="B27" s="108">
        <v>0.15766798999999998</v>
      </c>
      <c r="C27" s="92">
        <v>0.15432971</v>
      </c>
      <c r="D27" s="91">
        <v>0.12539240999999998</v>
      </c>
      <c r="E27" s="92">
        <v>0.15182853999999998</v>
      </c>
      <c r="F27" s="126">
        <v>0.15579638</v>
      </c>
      <c r="G27" s="135">
        <v>0.14744041938009642</v>
      </c>
    </row>
    <row r="28" spans="1:7" ht="12.75">
      <c r="A28" s="113" t="s">
        <v>102</v>
      </c>
      <c r="B28" s="107">
        <v>0.00634762155</v>
      </c>
      <c r="C28" s="91">
        <v>0.011303972999999998</v>
      </c>
      <c r="D28" s="91">
        <v>0.0007531716000000001</v>
      </c>
      <c r="E28" s="91">
        <v>0.0050887392</v>
      </c>
      <c r="F28" s="127">
        <v>-0.029451033999999997</v>
      </c>
      <c r="G28" s="134">
        <v>0.0010762983342099122</v>
      </c>
    </row>
    <row r="29" spans="1:7" ht="13.5" thickBot="1">
      <c r="A29" s="114" t="s">
        <v>104</v>
      </c>
      <c r="B29" s="109">
        <v>0.0023162098899999995</v>
      </c>
      <c r="C29" s="93">
        <v>0.0017064659435</v>
      </c>
      <c r="D29" s="93">
        <v>-0.00404737654</v>
      </c>
      <c r="E29" s="93">
        <v>-0.0037203291</v>
      </c>
      <c r="F29" s="131">
        <v>0.0033007862999999997</v>
      </c>
      <c r="G29" s="136">
        <v>-0.0006819330468914128</v>
      </c>
    </row>
    <row r="30" spans="1:7" ht="13.5" thickTop="1">
      <c r="A30" s="115" t="s">
        <v>105</v>
      </c>
      <c r="B30" s="110">
        <v>0.3664291934975602</v>
      </c>
      <c r="C30" s="99">
        <v>0.206728973545243</v>
      </c>
      <c r="D30" s="99">
        <v>-0.14424213789832538</v>
      </c>
      <c r="E30" s="99">
        <v>-0.32376795189696933</v>
      </c>
      <c r="F30" s="95">
        <v>-0.4546577039015276</v>
      </c>
      <c r="G30" s="137" t="s">
        <v>116</v>
      </c>
    </row>
    <row r="31" spans="1:7" ht="13.5" thickBot="1">
      <c r="A31" s="116" t="s">
        <v>106</v>
      </c>
      <c r="B31" s="105">
        <v>20.706177</v>
      </c>
      <c r="C31" s="96">
        <v>20.742798</v>
      </c>
      <c r="D31" s="96">
        <v>20.776368</v>
      </c>
      <c r="E31" s="96">
        <v>20.831299</v>
      </c>
      <c r="F31" s="97">
        <v>20.913697</v>
      </c>
      <c r="G31" s="139">
        <v>-210.09</v>
      </c>
    </row>
    <row r="32" spans="1:7" ht="15.75" thickBot="1" thickTop="1">
      <c r="A32" s="117" t="s">
        <v>107</v>
      </c>
      <c r="B32" s="111">
        <v>-0.12699999660253525</v>
      </c>
      <c r="C32" s="100">
        <v>-0.24150000140070915</v>
      </c>
      <c r="D32" s="100">
        <v>0.39150001108646393</v>
      </c>
      <c r="E32" s="100">
        <v>-0.3095000088214874</v>
      </c>
      <c r="F32" s="98">
        <v>0.31699999421834946</v>
      </c>
      <c r="G32" s="103" t="s">
        <v>115</v>
      </c>
    </row>
    <row r="33" spans="1:7" ht="15" thickTop="1">
      <c r="A33" t="s">
        <v>111</v>
      </c>
      <c r="G33" s="6" t="s">
        <v>112</v>
      </c>
    </row>
    <row r="34" ht="14.25">
      <c r="A34" t="s">
        <v>113</v>
      </c>
    </row>
    <row r="35" spans="1:2" ht="12.75">
      <c r="A35" t="s">
        <v>114</v>
      </c>
      <c r="B35" t="s">
        <v>16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40" bestFit="1" customWidth="1"/>
    <col min="2" max="2" width="15.66015625" style="140" bestFit="1" customWidth="1"/>
    <col min="3" max="3" width="14.83203125" style="140" bestFit="1" customWidth="1"/>
    <col min="4" max="4" width="16" style="140" bestFit="1" customWidth="1"/>
    <col min="5" max="5" width="21.33203125" style="140" bestFit="1" customWidth="1"/>
    <col min="6" max="7" width="14.83203125" style="140" bestFit="1" customWidth="1"/>
    <col min="8" max="8" width="14.16015625" style="140" bestFit="1" customWidth="1"/>
    <col min="9" max="9" width="14.83203125" style="140" bestFit="1" customWidth="1"/>
    <col min="10" max="10" width="6.33203125" style="140" bestFit="1" customWidth="1"/>
    <col min="11" max="11" width="15" style="140" bestFit="1" customWidth="1"/>
    <col min="12" max="16384" width="10.66015625" style="140" customWidth="1"/>
  </cols>
  <sheetData>
    <row r="1" spans="1:5" ht="12.75">
      <c r="A1" s="140" t="s">
        <v>117</v>
      </c>
      <c r="B1" s="140" t="s">
        <v>118</v>
      </c>
      <c r="C1" s="140" t="s">
        <v>119</v>
      </c>
      <c r="D1" s="140" t="s">
        <v>120</v>
      </c>
      <c r="E1" s="140" t="s">
        <v>121</v>
      </c>
    </row>
    <row r="3" spans="1:7" ht="12.75">
      <c r="A3" s="140" t="s">
        <v>122</v>
      </c>
      <c r="B3" s="140" t="s">
        <v>72</v>
      </c>
      <c r="C3" s="140" t="s">
        <v>73</v>
      </c>
      <c r="D3" s="140" t="s">
        <v>74</v>
      </c>
      <c r="E3" s="140" t="s">
        <v>75</v>
      </c>
      <c r="F3" s="140" t="s">
        <v>76</v>
      </c>
      <c r="G3" s="140" t="s">
        <v>123</v>
      </c>
    </row>
    <row r="4" spans="1:7" ht="12.75">
      <c r="A4" s="140" t="s">
        <v>124</v>
      </c>
      <c r="B4" s="140">
        <v>0.002244</v>
      </c>
      <c r="C4" s="140">
        <v>0.003759</v>
      </c>
      <c r="D4" s="140">
        <v>0.00376</v>
      </c>
      <c r="E4" s="140">
        <v>0.003759</v>
      </c>
      <c r="F4" s="140">
        <v>0.002101</v>
      </c>
      <c r="G4" s="140">
        <v>0.011716</v>
      </c>
    </row>
    <row r="5" spans="1:7" ht="12.75">
      <c r="A5" s="140" t="s">
        <v>125</v>
      </c>
      <c r="B5" s="140">
        <v>7.403189</v>
      </c>
      <c r="C5" s="140">
        <v>4.970436</v>
      </c>
      <c r="D5" s="140">
        <v>-1.092098</v>
      </c>
      <c r="E5" s="140">
        <v>-4.745022</v>
      </c>
      <c r="F5" s="140">
        <v>-6.454817</v>
      </c>
      <c r="G5" s="140">
        <v>-1.26888</v>
      </c>
    </row>
    <row r="6" spans="1:7" ht="12.75">
      <c r="A6" s="140" t="s">
        <v>126</v>
      </c>
      <c r="B6" s="141">
        <v>-368.4543</v>
      </c>
      <c r="C6" s="141">
        <v>-296.4362</v>
      </c>
      <c r="D6" s="141">
        <v>-350.9277</v>
      </c>
      <c r="E6" s="141">
        <v>-115.6843</v>
      </c>
      <c r="F6" s="141">
        <v>-237.9632</v>
      </c>
      <c r="G6" s="141">
        <v>965.3896</v>
      </c>
    </row>
    <row r="7" spans="1:7" ht="12.75">
      <c r="A7" s="140" t="s">
        <v>127</v>
      </c>
      <c r="B7" s="141">
        <v>10000</v>
      </c>
      <c r="C7" s="141">
        <v>10000</v>
      </c>
      <c r="D7" s="141">
        <v>10000</v>
      </c>
      <c r="E7" s="141">
        <v>10000</v>
      </c>
      <c r="F7" s="141">
        <v>10000</v>
      </c>
      <c r="G7" s="141">
        <v>10000</v>
      </c>
    </row>
    <row r="8" spans="1:7" ht="12.75">
      <c r="A8" s="140" t="s">
        <v>79</v>
      </c>
      <c r="B8" s="141">
        <v>0.4091648</v>
      </c>
      <c r="C8" s="141">
        <v>0.03210655</v>
      </c>
      <c r="D8" s="141">
        <v>2.184794</v>
      </c>
      <c r="E8" s="141">
        <v>1.711004</v>
      </c>
      <c r="F8" s="141">
        <v>1.885092</v>
      </c>
      <c r="G8" s="141">
        <v>1.731091</v>
      </c>
    </row>
    <row r="9" spans="1:7" ht="12.75">
      <c r="A9" s="140" t="s">
        <v>81</v>
      </c>
      <c r="B9" s="141">
        <v>-1.384284</v>
      </c>
      <c r="C9" s="141">
        <v>-0.7486489</v>
      </c>
      <c r="D9" s="141">
        <v>-0.7271927</v>
      </c>
      <c r="E9" s="141">
        <v>-1.261251</v>
      </c>
      <c r="F9" s="141">
        <v>-2.970982</v>
      </c>
      <c r="G9" s="141">
        <v>1.256971</v>
      </c>
    </row>
    <row r="10" spans="1:7" ht="12.75">
      <c r="A10" s="140" t="s">
        <v>128</v>
      </c>
      <c r="B10" s="141">
        <v>-0.04611699</v>
      </c>
      <c r="C10" s="141">
        <v>-0.5031435</v>
      </c>
      <c r="D10" s="141">
        <v>-1.67168</v>
      </c>
      <c r="E10" s="141">
        <v>-0.9291435</v>
      </c>
      <c r="F10" s="141">
        <v>-2.677757</v>
      </c>
      <c r="G10" s="141">
        <v>3.701677</v>
      </c>
    </row>
    <row r="11" spans="1:7" ht="12.75">
      <c r="A11" s="140" t="s">
        <v>129</v>
      </c>
      <c r="B11" s="141">
        <v>5.16828</v>
      </c>
      <c r="C11" s="141">
        <v>5.54729</v>
      </c>
      <c r="D11" s="141">
        <v>4.91086</v>
      </c>
      <c r="E11" s="141">
        <v>5.096917</v>
      </c>
      <c r="F11" s="141">
        <v>15.67022</v>
      </c>
      <c r="G11" s="141">
        <v>6.592721</v>
      </c>
    </row>
    <row r="12" spans="1:7" ht="12.75">
      <c r="A12" s="140" t="s">
        <v>87</v>
      </c>
      <c r="B12" s="141">
        <v>-0.3183302</v>
      </c>
      <c r="C12" s="141">
        <v>-0.2483713</v>
      </c>
      <c r="D12" s="141">
        <v>0.01710542</v>
      </c>
      <c r="E12" s="141">
        <v>0.1767911</v>
      </c>
      <c r="F12" s="141">
        <v>0.4010977</v>
      </c>
      <c r="G12" s="141">
        <v>0.2796055</v>
      </c>
    </row>
    <row r="13" spans="1:7" ht="12.75">
      <c r="A13" s="140" t="s">
        <v>89</v>
      </c>
      <c r="B13" s="141">
        <v>0.1338837</v>
      </c>
      <c r="C13" s="141">
        <v>-0.02531185</v>
      </c>
      <c r="D13" s="141">
        <v>-0.01051591</v>
      </c>
      <c r="E13" s="141">
        <v>-0.01645394</v>
      </c>
      <c r="F13" s="141">
        <v>0.02640144</v>
      </c>
      <c r="G13" s="141">
        <v>-0.01022028</v>
      </c>
    </row>
    <row r="14" spans="1:7" ht="12.75">
      <c r="A14" s="140" t="s">
        <v>91</v>
      </c>
      <c r="B14" s="141">
        <v>0.2378359</v>
      </c>
      <c r="C14" s="141">
        <v>0.1358186</v>
      </c>
      <c r="D14" s="141">
        <v>-0.06197017</v>
      </c>
      <c r="E14" s="141">
        <v>0.02483907</v>
      </c>
      <c r="F14" s="141">
        <v>0.2076347</v>
      </c>
      <c r="G14" s="141">
        <v>-0.115694</v>
      </c>
    </row>
    <row r="15" spans="1:7" ht="12.75">
      <c r="A15" s="140" t="s">
        <v>93</v>
      </c>
      <c r="B15" s="141">
        <v>-0.2916884</v>
      </c>
      <c r="C15" s="141">
        <v>-0.0520299</v>
      </c>
      <c r="D15" s="141">
        <v>-0.03189529</v>
      </c>
      <c r="E15" s="141">
        <v>-0.06743129</v>
      </c>
      <c r="F15" s="141">
        <v>-0.2728379</v>
      </c>
      <c r="G15" s="141">
        <v>-0.1150251</v>
      </c>
    </row>
    <row r="16" spans="1:7" ht="12.75">
      <c r="A16" s="140" t="s">
        <v>95</v>
      </c>
      <c r="B16" s="141">
        <v>-0.09846796</v>
      </c>
      <c r="C16" s="141">
        <v>-0.04169588</v>
      </c>
      <c r="D16" s="141">
        <v>-0.03018412</v>
      </c>
      <c r="E16" s="141">
        <v>-0.01597892</v>
      </c>
      <c r="F16" s="141">
        <v>-0.01834339</v>
      </c>
      <c r="G16" s="141">
        <v>-0.00381131</v>
      </c>
    </row>
    <row r="17" spans="1:7" ht="12.75">
      <c r="A17" s="140" t="s">
        <v>130</v>
      </c>
      <c r="B17" s="141">
        <v>0.1208264</v>
      </c>
      <c r="C17" s="141">
        <v>0.1193881</v>
      </c>
      <c r="D17" s="141">
        <v>0.07467556</v>
      </c>
      <c r="E17" s="141">
        <v>0.115714</v>
      </c>
      <c r="F17" s="141">
        <v>0.1177028</v>
      </c>
      <c r="G17" s="141">
        <v>-0.1077334</v>
      </c>
    </row>
    <row r="18" spans="1:7" ht="12.75">
      <c r="A18" s="140" t="s">
        <v>131</v>
      </c>
      <c r="B18" s="141">
        <v>0.05988801</v>
      </c>
      <c r="C18" s="141">
        <v>0.04442013</v>
      </c>
      <c r="D18" s="141">
        <v>0.06563793</v>
      </c>
      <c r="E18" s="141">
        <v>0.01387916</v>
      </c>
      <c r="F18" s="141">
        <v>-0.0116844</v>
      </c>
      <c r="G18" s="141">
        <v>-0.1496966</v>
      </c>
    </row>
    <row r="19" spans="1:7" ht="12.75">
      <c r="A19" s="140" t="s">
        <v>101</v>
      </c>
      <c r="B19" s="141">
        <v>-0.1861598</v>
      </c>
      <c r="C19" s="141">
        <v>-0.1761775</v>
      </c>
      <c r="D19" s="141">
        <v>-0.1782104</v>
      </c>
      <c r="E19" s="141">
        <v>-0.1762496</v>
      </c>
      <c r="F19" s="141">
        <v>-0.1348641</v>
      </c>
      <c r="G19" s="141">
        <v>-0.1725618</v>
      </c>
    </row>
    <row r="20" spans="1:7" ht="12.75">
      <c r="A20" s="140" t="s">
        <v>103</v>
      </c>
      <c r="B20" s="141">
        <v>-0.004106981</v>
      </c>
      <c r="C20" s="141">
        <v>-0.0040667</v>
      </c>
      <c r="D20" s="141">
        <v>0.0009477323</v>
      </c>
      <c r="E20" s="141">
        <v>-0.000418656</v>
      </c>
      <c r="F20" s="141">
        <v>0.002932374</v>
      </c>
      <c r="G20" s="141">
        <v>-0.0008524928</v>
      </c>
    </row>
    <row r="21" spans="1:7" ht="12.75">
      <c r="A21" s="140" t="s">
        <v>132</v>
      </c>
      <c r="B21" s="141">
        <v>-955.8269</v>
      </c>
      <c r="C21" s="141">
        <v>-966.7597</v>
      </c>
      <c r="D21" s="141">
        <v>-866.6913</v>
      </c>
      <c r="E21" s="141">
        <v>-958.3685</v>
      </c>
      <c r="F21" s="141">
        <v>-1162.309</v>
      </c>
      <c r="G21" s="141">
        <v>-268.5324</v>
      </c>
    </row>
    <row r="22" spans="1:7" ht="12.75">
      <c r="A22" s="140" t="s">
        <v>133</v>
      </c>
      <c r="B22" s="141">
        <v>148.0746</v>
      </c>
      <c r="C22" s="141">
        <v>99.41199</v>
      </c>
      <c r="D22" s="141">
        <v>-21.84199</v>
      </c>
      <c r="E22" s="141">
        <v>-94.90329</v>
      </c>
      <c r="F22" s="141">
        <v>-129.1035</v>
      </c>
      <c r="G22" s="141">
        <v>0</v>
      </c>
    </row>
    <row r="23" spans="1:7" ht="12.75">
      <c r="A23" s="140" t="s">
        <v>80</v>
      </c>
      <c r="B23" s="141">
        <v>0.8843998</v>
      </c>
      <c r="C23" s="141">
        <v>2.374361</v>
      </c>
      <c r="D23" s="141">
        <v>0.3380161</v>
      </c>
      <c r="E23" s="141">
        <v>0.1244827</v>
      </c>
      <c r="F23" s="141">
        <v>6.851144</v>
      </c>
      <c r="G23" s="141">
        <v>-1.257432</v>
      </c>
    </row>
    <row r="24" spans="1:7" ht="12.75">
      <c r="A24" s="140" t="s">
        <v>82</v>
      </c>
      <c r="B24" s="141">
        <v>-0.8088859</v>
      </c>
      <c r="C24" s="141">
        <v>-3.093601</v>
      </c>
      <c r="D24" s="141">
        <v>-0.9917279</v>
      </c>
      <c r="E24" s="141">
        <v>0.2437469</v>
      </c>
      <c r="F24" s="141">
        <v>4.032796</v>
      </c>
      <c r="G24" s="141">
        <v>0.4982584</v>
      </c>
    </row>
    <row r="25" spans="1:7" ht="12.75">
      <c r="A25" s="140" t="s">
        <v>84</v>
      </c>
      <c r="B25" s="141">
        <v>-2.806114</v>
      </c>
      <c r="C25" s="141">
        <v>-2.156174</v>
      </c>
      <c r="D25" s="141">
        <v>-2.612135</v>
      </c>
      <c r="E25" s="141">
        <v>-3.319658</v>
      </c>
      <c r="F25" s="141">
        <v>-10.05566</v>
      </c>
      <c r="G25" s="141">
        <v>-1.113448</v>
      </c>
    </row>
    <row r="26" spans="1:7" ht="12.75">
      <c r="A26" s="140" t="s">
        <v>86</v>
      </c>
      <c r="B26" s="141">
        <v>1.524086</v>
      </c>
      <c r="C26" s="141">
        <v>0.6076678</v>
      </c>
      <c r="D26" s="141">
        <v>-0.004441635</v>
      </c>
      <c r="E26" s="141">
        <v>0.1789406</v>
      </c>
      <c r="F26" s="141">
        <v>1.536955</v>
      </c>
      <c r="G26" s="141">
        <v>0.6143391</v>
      </c>
    </row>
    <row r="27" spans="1:7" ht="12.75">
      <c r="A27" s="140" t="s">
        <v>88</v>
      </c>
      <c r="B27" s="141">
        <v>0.2197289</v>
      </c>
      <c r="C27" s="141">
        <v>0.5471849</v>
      </c>
      <c r="D27" s="141">
        <v>0.1803991</v>
      </c>
      <c r="E27" s="141">
        <v>0.1302271</v>
      </c>
      <c r="F27" s="141">
        <v>0.309609</v>
      </c>
      <c r="G27" s="141">
        <v>0.004915551</v>
      </c>
    </row>
    <row r="28" spans="1:7" ht="12.75">
      <c r="A28" s="140" t="s">
        <v>90</v>
      </c>
      <c r="B28" s="141">
        <v>-0.4413324</v>
      </c>
      <c r="C28" s="141">
        <v>-0.4059569</v>
      </c>
      <c r="D28" s="141">
        <v>0.00327795</v>
      </c>
      <c r="E28" s="141">
        <v>-0.1172791</v>
      </c>
      <c r="F28" s="141">
        <v>0.1235326</v>
      </c>
      <c r="G28" s="141">
        <v>0.1718799</v>
      </c>
    </row>
    <row r="29" spans="1:7" ht="12.75">
      <c r="A29" s="140" t="s">
        <v>92</v>
      </c>
      <c r="B29" s="141">
        <v>0.3551494</v>
      </c>
      <c r="C29" s="141">
        <v>0.112917</v>
      </c>
      <c r="D29" s="141">
        <v>-0.03407556</v>
      </c>
      <c r="E29" s="141">
        <v>0.03161166</v>
      </c>
      <c r="F29" s="141">
        <v>0.2832716</v>
      </c>
      <c r="G29" s="141">
        <v>0.08581388</v>
      </c>
    </row>
    <row r="30" spans="1:7" ht="12.75">
      <c r="A30" s="140" t="s">
        <v>94</v>
      </c>
      <c r="B30" s="141">
        <v>0.1274273</v>
      </c>
      <c r="C30" s="141">
        <v>0.135127</v>
      </c>
      <c r="D30" s="141">
        <v>0.03727238</v>
      </c>
      <c r="E30" s="141">
        <v>0.06290694</v>
      </c>
      <c r="F30" s="141">
        <v>0.2542571</v>
      </c>
      <c r="G30" s="141">
        <v>0.1091013</v>
      </c>
    </row>
    <row r="31" spans="1:7" ht="12.75">
      <c r="A31" s="140" t="s">
        <v>96</v>
      </c>
      <c r="B31" s="141">
        <v>0.02350608</v>
      </c>
      <c r="C31" s="141">
        <v>0.002178231</v>
      </c>
      <c r="D31" s="141">
        <v>-0.009779995</v>
      </c>
      <c r="E31" s="141">
        <v>-0.02395762</v>
      </c>
      <c r="F31" s="141">
        <v>0.003058685</v>
      </c>
      <c r="G31" s="141">
        <v>0.03775158</v>
      </c>
    </row>
    <row r="32" spans="1:7" ht="12.75">
      <c r="A32" s="140" t="s">
        <v>98</v>
      </c>
      <c r="B32" s="141">
        <v>-0.1170008</v>
      </c>
      <c r="C32" s="141">
        <v>-0.08175812</v>
      </c>
      <c r="D32" s="141">
        <v>-0.07620869</v>
      </c>
      <c r="E32" s="141">
        <v>-0.0399677</v>
      </c>
      <c r="F32" s="141">
        <v>-0.01527896</v>
      </c>
      <c r="G32" s="141">
        <v>0.06647259</v>
      </c>
    </row>
    <row r="33" spans="1:7" ht="12.75">
      <c r="A33" s="140" t="s">
        <v>100</v>
      </c>
      <c r="B33" s="141">
        <v>0.1660397</v>
      </c>
      <c r="C33" s="141">
        <v>0.1579269</v>
      </c>
      <c r="D33" s="141">
        <v>0.1315864</v>
      </c>
      <c r="E33" s="141">
        <v>0.1512917</v>
      </c>
      <c r="F33" s="141">
        <v>0.1470263</v>
      </c>
      <c r="G33" s="141">
        <v>0.03682954</v>
      </c>
    </row>
    <row r="34" spans="1:7" ht="12.75">
      <c r="A34" s="140" t="s">
        <v>102</v>
      </c>
      <c r="B34" s="141">
        <v>-0.01298803</v>
      </c>
      <c r="C34" s="141">
        <v>-0.0009548735</v>
      </c>
      <c r="D34" s="141">
        <v>0.003420386</v>
      </c>
      <c r="E34" s="141">
        <v>0.0168801</v>
      </c>
      <c r="F34" s="141">
        <v>-0.01733953</v>
      </c>
      <c r="G34" s="141">
        <v>0.0004250537</v>
      </c>
    </row>
    <row r="35" spans="1:7" ht="12.75">
      <c r="A35" s="140" t="s">
        <v>104</v>
      </c>
      <c r="B35" s="141">
        <v>0.001876345</v>
      </c>
      <c r="C35" s="141">
        <v>0.001405738</v>
      </c>
      <c r="D35" s="141">
        <v>-0.004063935</v>
      </c>
      <c r="E35" s="141">
        <v>-0.003699109</v>
      </c>
      <c r="F35" s="141">
        <v>0.003033792</v>
      </c>
      <c r="G35" s="141">
        <v>0.001046473</v>
      </c>
    </row>
    <row r="36" spans="1:6" ht="12.75">
      <c r="A36" s="140" t="s">
        <v>134</v>
      </c>
      <c r="B36" s="141">
        <v>20.9137</v>
      </c>
      <c r="C36" s="141">
        <v>20.91675</v>
      </c>
      <c r="D36" s="141">
        <v>20.93201</v>
      </c>
      <c r="E36" s="141">
        <v>20.93506</v>
      </c>
      <c r="F36" s="141">
        <v>20.95337</v>
      </c>
    </row>
    <row r="37" spans="1:6" ht="12.75">
      <c r="A37" s="140" t="s">
        <v>135</v>
      </c>
      <c r="B37" s="141">
        <v>0.3128052</v>
      </c>
      <c r="C37" s="141">
        <v>0.2761841</v>
      </c>
      <c r="D37" s="141">
        <v>0.2639771</v>
      </c>
      <c r="E37" s="141">
        <v>0.2568563</v>
      </c>
      <c r="F37" s="141">
        <v>0.2527873</v>
      </c>
    </row>
    <row r="38" spans="1:7" ht="12.75">
      <c r="A38" s="140" t="s">
        <v>136</v>
      </c>
      <c r="B38" s="141">
        <v>0.0006502905</v>
      </c>
      <c r="C38" s="141">
        <v>0.0005202285</v>
      </c>
      <c r="D38" s="141">
        <v>0.0005933561</v>
      </c>
      <c r="E38" s="141">
        <v>0.0001811851</v>
      </c>
      <c r="F38" s="141">
        <v>0.0003789644</v>
      </c>
      <c r="G38" s="141">
        <v>0.0002272121</v>
      </c>
    </row>
    <row r="39" spans="1:7" ht="12.75">
      <c r="A39" s="140" t="s">
        <v>137</v>
      </c>
      <c r="B39" s="141">
        <v>0.001615277</v>
      </c>
      <c r="C39" s="141">
        <v>0.00163832</v>
      </c>
      <c r="D39" s="141">
        <v>0.001474671</v>
      </c>
      <c r="E39" s="141">
        <v>0.001630946</v>
      </c>
      <c r="F39" s="141">
        <v>0.001980817</v>
      </c>
      <c r="G39" s="141">
        <v>0.0008208522</v>
      </c>
    </row>
    <row r="40" spans="2:5" ht="12.75">
      <c r="B40" s="140" t="s">
        <v>138</v>
      </c>
      <c r="C40" s="140">
        <v>0.003759</v>
      </c>
      <c r="D40" s="140" t="s">
        <v>139</v>
      </c>
      <c r="E40" s="140">
        <v>3.116527</v>
      </c>
    </row>
    <row r="42" ht="12.75">
      <c r="A42" s="140" t="s">
        <v>140</v>
      </c>
    </row>
    <row r="50" spans="1:7" ht="12.75">
      <c r="A50" s="140" t="s">
        <v>141</v>
      </c>
      <c r="B50" s="140">
        <f>-0.017/(B7*B7+B22*B22)*(B21*B22+B6*B7)</f>
        <v>0.0006502904533491178</v>
      </c>
      <c r="C50" s="140">
        <f>-0.017/(C7*C7+C22*C22)*(C21*C22+C6*C7)</f>
        <v>0.0005202284031168719</v>
      </c>
      <c r="D50" s="140">
        <f>-0.017/(D7*D7+D22*D22)*(D21*D22+D6*D7)</f>
        <v>0.0005933561146006823</v>
      </c>
      <c r="E50" s="140">
        <f>-0.017/(E7*E7+E22*E22)*(E21*E22+E6*E7)</f>
        <v>0.00018118509629469172</v>
      </c>
      <c r="F50" s="140">
        <f>-0.017/(F7*F7+F22*F22)*(F21*F22+F6*F7)</f>
        <v>0.0003789643881038645</v>
      </c>
      <c r="G50" s="140">
        <f>(B50*B$4+C50*C$4+D50*D$4+E50*E$4+F50*F$4)/SUM(B$4:F$4)</f>
        <v>0.0004559360104914723</v>
      </c>
    </row>
    <row r="51" spans="1:7" ht="12.75">
      <c r="A51" s="140" t="s">
        <v>142</v>
      </c>
      <c r="B51" s="140">
        <f>-0.017/(B7*B7+B22*B22)*(B21*B7-B6*B22)</f>
        <v>0.001615276580123651</v>
      </c>
      <c r="C51" s="140">
        <f>-0.017/(C7*C7+C22*C22)*(C21*C7-C6*C22)</f>
        <v>0.001638319795919163</v>
      </c>
      <c r="D51" s="140">
        <f>-0.017/(D7*D7+D22*D22)*(D21*D7-D6*D22)</f>
        <v>0.0014746712178321548</v>
      </c>
      <c r="E51" s="140">
        <f>-0.017/(E7*E7+E22*E22)*(E21*E7-E6*E22)</f>
        <v>0.0016309459561737337</v>
      </c>
      <c r="F51" s="140">
        <f>-0.017/(F7*F7+F22*F22)*(F21*F7-F6*F22)</f>
        <v>0.001980817862887957</v>
      </c>
      <c r="G51" s="140">
        <f>(B51*B$4+C51*C$4+D51*D$4+E51*E$4+F51*F$4)/SUM(B$4:F$4)</f>
        <v>0.0016399099223510963</v>
      </c>
    </row>
    <row r="58" ht="12.75">
      <c r="A58" s="140" t="s">
        <v>144</v>
      </c>
    </row>
    <row r="60" spans="2:6" ht="12.75">
      <c r="B60" s="140" t="s">
        <v>72</v>
      </c>
      <c r="C60" s="140" t="s">
        <v>73</v>
      </c>
      <c r="D60" s="140" t="s">
        <v>74</v>
      </c>
      <c r="E60" s="140" t="s">
        <v>75</v>
      </c>
      <c r="F60" s="140" t="s">
        <v>76</v>
      </c>
    </row>
    <row r="61" spans="1:6" ht="12.75">
      <c r="A61" s="140" t="s">
        <v>146</v>
      </c>
      <c r="B61" s="140">
        <f>B6+(1/0.017)*(B7*B50-B22*B51)</f>
        <v>0</v>
      </c>
      <c r="C61" s="140">
        <f>C6+(1/0.017)*(C7*C50-C22*C51)</f>
        <v>0</v>
      </c>
      <c r="D61" s="140">
        <f>D6+(1/0.017)*(D7*D50-D22*D51)</f>
        <v>0</v>
      </c>
      <c r="E61" s="140">
        <f>E6+(1/0.017)*(E7*E50-E22*E51)</f>
        <v>0</v>
      </c>
      <c r="F61" s="140">
        <f>F6+(1/0.017)*(F7*F50-F22*F51)</f>
        <v>0</v>
      </c>
    </row>
    <row r="62" spans="1:6" ht="12.75">
      <c r="A62" s="140" t="s">
        <v>149</v>
      </c>
      <c r="B62" s="140">
        <f>B7+(2/0.017)*(B8*B50-B23*B51)</f>
        <v>9999.863238315162</v>
      </c>
      <c r="C62" s="140">
        <f>C7+(2/0.017)*(C8*C50-C23*C51)</f>
        <v>9999.544322365915</v>
      </c>
      <c r="D62" s="140">
        <f>D7+(2/0.017)*(D8*D50-D23*D51)</f>
        <v>10000.093870384142</v>
      </c>
      <c r="E62" s="140">
        <f>E7+(2/0.017)*(E8*E50-E23*E51)</f>
        <v>10000.01258633745</v>
      </c>
      <c r="F62" s="140">
        <f>F7+(2/0.017)*(F8*F50-F23*F51)</f>
        <v>9998.487472272927</v>
      </c>
    </row>
    <row r="63" spans="1:6" ht="12.75">
      <c r="A63" s="140" t="s">
        <v>150</v>
      </c>
      <c r="B63" s="140">
        <f>B8+(3/0.017)*(B9*B50-B24*B51)</f>
        <v>0.4808802906479373</v>
      </c>
      <c r="C63" s="140">
        <f>C8+(3/0.017)*(C9*C50-C24*C51)</f>
        <v>0.8577840800999617</v>
      </c>
      <c r="D63" s="140">
        <f>D8+(3/0.017)*(D9*D50-D24*D51)</f>
        <v>2.366733121472908</v>
      </c>
      <c r="E63" s="140">
        <f>E8+(3/0.017)*(E9*E50-E24*E51)</f>
        <v>1.6005231932755895</v>
      </c>
      <c r="F63" s="140">
        <f>F8+(3/0.017)*(F9*F50-F24*F51)</f>
        <v>0.2767159888445829</v>
      </c>
    </row>
    <row r="64" spans="1:6" ht="12.75">
      <c r="A64" s="140" t="s">
        <v>151</v>
      </c>
      <c r="B64" s="140">
        <f>B9+(4/0.017)*(B10*B50-B25*B51)</f>
        <v>-0.3248344030534347</v>
      </c>
      <c r="C64" s="140">
        <f>C9+(4/0.017)*(C10*C50-C25*C51)</f>
        <v>0.02094004308295816</v>
      </c>
      <c r="D64" s="140">
        <f>D9+(4/0.017)*(D10*D50-D25*D51)</f>
        <v>-0.0542188760149821</v>
      </c>
      <c r="E64" s="140">
        <f>E9+(4/0.017)*(E10*E50-E25*E51)</f>
        <v>-0.026936685538659466</v>
      </c>
      <c r="F64" s="140">
        <f>F9+(4/0.017)*(F10*F50-F25*F51)</f>
        <v>1.4769371548546055</v>
      </c>
    </row>
    <row r="65" spans="1:6" ht="12.75">
      <c r="A65" s="140" t="s">
        <v>152</v>
      </c>
      <c r="B65" s="140">
        <f>B10+(5/0.017)*(B11*B50-B26*B51)</f>
        <v>0.21831322245318938</v>
      </c>
      <c r="C65" s="140">
        <f>C10+(5/0.017)*(C11*C50-C26*C51)</f>
        <v>0.052828156542219284</v>
      </c>
      <c r="D65" s="140">
        <f>D10+(5/0.017)*(D11*D50-D26*D51)</f>
        <v>-0.8127274234580818</v>
      </c>
      <c r="E65" s="140">
        <f>E10+(5/0.017)*(E11*E50-E26*E51)</f>
        <v>-0.743366161915956</v>
      </c>
      <c r="F65" s="140">
        <f>F10+(5/0.017)*(F11*F50-F26*F51)</f>
        <v>-1.8265724660888298</v>
      </c>
    </row>
    <row r="66" spans="1:6" ht="12.75">
      <c r="A66" s="140" t="s">
        <v>153</v>
      </c>
      <c r="B66" s="140">
        <f>B11+(6/0.017)*(B12*B50-B27*B51)</f>
        <v>4.9699517519226895</v>
      </c>
      <c r="C66" s="140">
        <f>C11+(6/0.017)*(C12*C50-C27*C51)</f>
        <v>5.185287532302197</v>
      </c>
      <c r="D66" s="140">
        <f>D11+(6/0.017)*(D12*D50-D27*D51)</f>
        <v>4.820549498255407</v>
      </c>
      <c r="E66" s="140">
        <f>E11+(6/0.017)*(E12*E50-E27*E51)</f>
        <v>5.033260017769993</v>
      </c>
      <c r="F66" s="140">
        <f>F11+(6/0.017)*(F12*F50-F27*F51)</f>
        <v>15.507416249437467</v>
      </c>
    </row>
    <row r="67" spans="1:6" ht="12.75">
      <c r="A67" s="140" t="s">
        <v>154</v>
      </c>
      <c r="B67" s="140">
        <f>B12+(7/0.017)*(B13*B50-B28*B51)</f>
        <v>0.011055698363043709</v>
      </c>
      <c r="C67" s="140">
        <f>C12+(7/0.017)*(C13*C50-C28*C51)</f>
        <v>0.020066051516576283</v>
      </c>
      <c r="D67" s="140">
        <f>D12+(7/0.017)*(D13*D50-D28*D51)</f>
        <v>0.012545711404524495</v>
      </c>
      <c r="E67" s="140">
        <f>E12+(7/0.017)*(E13*E50-E28*E51)</f>
        <v>0.25432419742926915</v>
      </c>
      <c r="F67" s="140">
        <f>F12+(7/0.017)*(F13*F50-F28*F51)</f>
        <v>0.30446048669292214</v>
      </c>
    </row>
    <row r="68" spans="1:6" ht="12.75">
      <c r="A68" s="140" t="s">
        <v>155</v>
      </c>
      <c r="B68" s="140">
        <f>B13+(8/0.017)*(B14*B50-B29*B51)</f>
        <v>-0.06329375554412758</v>
      </c>
      <c r="C68" s="140">
        <f>C13+(8/0.017)*(C14*C50-C29*C51)</f>
        <v>-0.07911771494316938</v>
      </c>
      <c r="D68" s="140">
        <f>D13+(8/0.017)*(D14*D50-D29*D51)</f>
        <v>-0.004172442578273464</v>
      </c>
      <c r="E68" s="140">
        <f>E13+(8/0.017)*(E14*E50-E29*E51)</f>
        <v>-0.03859814694358513</v>
      </c>
      <c r="F68" s="140">
        <f>F13+(8/0.017)*(F14*F50-F29*F51)</f>
        <v>-0.20062128390316364</v>
      </c>
    </row>
    <row r="69" spans="1:6" ht="12.75">
      <c r="A69" s="140" t="s">
        <v>156</v>
      </c>
      <c r="B69" s="140">
        <f>B14+(9/0.017)*(B15*B50-B30*B51)</f>
        <v>0.02844692134825741</v>
      </c>
      <c r="C69" s="140">
        <f>C14+(9/0.017)*(C15*C50-C30*C51)</f>
        <v>0.004286950724088634</v>
      </c>
      <c r="D69" s="140">
        <f>D14+(9/0.017)*(D15*D50-D30*D51)</f>
        <v>-0.10108828424653432</v>
      </c>
      <c r="E69" s="140">
        <f>E14+(9/0.017)*(E15*E50-E30*E51)</f>
        <v>-0.03594553456598239</v>
      </c>
      <c r="F69" s="140">
        <f>F14+(9/0.017)*(F15*F50-F30*F51)</f>
        <v>-0.11373563408471743</v>
      </c>
    </row>
    <row r="70" spans="1:6" ht="12.75">
      <c r="A70" s="140" t="s">
        <v>157</v>
      </c>
      <c r="B70" s="140">
        <f>B15+(10/0.017)*(B16*B50-B31*B51)</f>
        <v>-0.3516893381548681</v>
      </c>
      <c r="C70" s="140">
        <f>C15+(10/0.017)*(C16*C50-C31*C51)</f>
        <v>-0.06688873531549265</v>
      </c>
      <c r="D70" s="140">
        <f>D15+(10/0.017)*(D16*D50-D31*D51)</f>
        <v>-0.033946851781646095</v>
      </c>
      <c r="E70" s="140">
        <f>E15+(10/0.017)*(E16*E50-E31*E51)</f>
        <v>-0.04614985394137543</v>
      </c>
      <c r="F70" s="140">
        <f>F15+(10/0.017)*(F16*F50-F31*F51)</f>
        <v>-0.28049095261885176</v>
      </c>
    </row>
    <row r="71" spans="1:6" ht="12.75">
      <c r="A71" s="140" t="s">
        <v>158</v>
      </c>
      <c r="B71" s="140">
        <f>B16+(11/0.017)*(B17*B50-B32*B51)</f>
        <v>0.0746596854006473</v>
      </c>
      <c r="C71" s="140">
        <f>C16+(11/0.017)*(C17*C50-C32*C51)</f>
        <v>0.08516325517413004</v>
      </c>
      <c r="D71" s="140">
        <f>D16+(11/0.017)*(D17*D50-D32*D51)</f>
        <v>0.07120479647753859</v>
      </c>
      <c r="E71" s="140">
        <f>E16+(11/0.017)*(E17*E50-E32*E51)</f>
        <v>0.03976572236337046</v>
      </c>
      <c r="F71" s="140">
        <f>F16+(11/0.017)*(F17*F50-F32*F51)</f>
        <v>0.030101908307004897</v>
      </c>
    </row>
    <row r="72" spans="1:6" ht="12.75">
      <c r="A72" s="140" t="s">
        <v>159</v>
      </c>
      <c r="B72" s="140">
        <f>B17+(12/0.017)*(B18*B50-B33*B51)</f>
        <v>-0.041000967723068577</v>
      </c>
      <c r="C72" s="140">
        <f>C17+(12/0.017)*(C18*C50-C33*C51)</f>
        <v>-0.04693624349317807</v>
      </c>
      <c r="D72" s="140">
        <f>D17+(12/0.017)*(D18*D50-D33*D51)</f>
        <v>-0.0348067997338241</v>
      </c>
      <c r="E72" s="140">
        <f>E17+(12/0.017)*(E18*E50-E33*E51)</f>
        <v>-0.05668639250110134</v>
      </c>
      <c r="F72" s="140">
        <f>F17+(12/0.017)*(F18*F50-F33*F51)</f>
        <v>-0.0909985831887184</v>
      </c>
    </row>
    <row r="73" spans="1:6" ht="12.75">
      <c r="A73" s="140" t="s">
        <v>160</v>
      </c>
      <c r="B73" s="140">
        <f>B18+(13/0.017)*(B19*B50-B34*B51)</f>
        <v>-0.01664274533727588</v>
      </c>
      <c r="C73" s="140">
        <f>C18+(13/0.017)*(C19*C50-C34*C51)</f>
        <v>-0.02447080925424487</v>
      </c>
      <c r="D73" s="140">
        <f>D18+(13/0.017)*(D19*D50-D34*D51)</f>
        <v>-0.019080909945624877</v>
      </c>
      <c r="E73" s="140">
        <f>E18+(13/0.017)*(E19*E50-E34*E51)</f>
        <v>-0.031593564151483455</v>
      </c>
      <c r="F73" s="140">
        <f>F18+(13/0.017)*(F19*F50-F34*F51)</f>
        <v>-0.024502583816632825</v>
      </c>
    </row>
    <row r="74" spans="1:6" ht="12.75">
      <c r="A74" s="140" t="s">
        <v>161</v>
      </c>
      <c r="B74" s="140">
        <f>B19+(14/0.017)*(B20*B50-B35*B51)</f>
        <v>-0.19085519137621507</v>
      </c>
      <c r="C74" s="140">
        <f>C19+(14/0.017)*(C20*C50-C35*C51)</f>
        <v>-0.17981639749195508</v>
      </c>
      <c r="D74" s="140">
        <f>D19+(14/0.017)*(D20*D50-D35*D51)</f>
        <v>-0.172811908809888</v>
      </c>
      <c r="E74" s="140">
        <f>E19+(14/0.017)*(E20*E50-E35*E51)</f>
        <v>-0.1713436766516176</v>
      </c>
      <c r="F74" s="140">
        <f>F19+(14/0.017)*(F20*F50-F35*F51)</f>
        <v>-0.13889784923188167</v>
      </c>
    </row>
    <row r="75" spans="1:6" ht="12.75">
      <c r="A75" s="140" t="s">
        <v>162</v>
      </c>
      <c r="B75" s="141">
        <f>B20</f>
        <v>-0.004106981</v>
      </c>
      <c r="C75" s="141">
        <f>C20</f>
        <v>-0.0040667</v>
      </c>
      <c r="D75" s="141">
        <f>D20</f>
        <v>0.0009477323</v>
      </c>
      <c r="E75" s="141">
        <f>E20</f>
        <v>-0.000418656</v>
      </c>
      <c r="F75" s="141">
        <f>F20</f>
        <v>0.002932374</v>
      </c>
    </row>
    <row r="78" ht="12.75">
      <c r="A78" s="140" t="s">
        <v>144</v>
      </c>
    </row>
    <row r="80" spans="2:6" ht="12.75">
      <c r="B80" s="140" t="s">
        <v>72</v>
      </c>
      <c r="C80" s="140" t="s">
        <v>73</v>
      </c>
      <c r="D80" s="140" t="s">
        <v>74</v>
      </c>
      <c r="E80" s="140" t="s">
        <v>75</v>
      </c>
      <c r="F80" s="140" t="s">
        <v>76</v>
      </c>
    </row>
    <row r="81" spans="1:6" ht="12.75">
      <c r="A81" s="140" t="s">
        <v>163</v>
      </c>
      <c r="B81" s="140">
        <f>B21+(1/0.017)*(B7*B51+B22*B50)</f>
        <v>0</v>
      </c>
      <c r="C81" s="140">
        <f>C21+(1/0.017)*(C7*C51+C22*C50)</f>
        <v>0</v>
      </c>
      <c r="D81" s="140">
        <f>D21+(1/0.017)*(D7*D51+D22*D50)</f>
        <v>0</v>
      </c>
      <c r="E81" s="140">
        <f>E21+(1/0.017)*(E7*E51+E22*E50)</f>
        <v>0</v>
      </c>
      <c r="F81" s="140">
        <f>F21+(1/0.017)*(F7*F51+F22*F50)</f>
        <v>0</v>
      </c>
    </row>
    <row r="82" spans="1:6" ht="12.75">
      <c r="A82" s="140" t="s">
        <v>164</v>
      </c>
      <c r="B82" s="140">
        <f>B22+(2/0.017)*(B8*B51+B23*B50)</f>
        <v>148.22001541949822</v>
      </c>
      <c r="C82" s="140">
        <f>C22+(2/0.017)*(C8*C51+C23*C50)</f>
        <v>99.56349715622314</v>
      </c>
      <c r="D82" s="140">
        <f>D22+(2/0.017)*(D8*D51+D23*D50)</f>
        <v>-21.439352735475193</v>
      </c>
      <c r="E82" s="140">
        <f>E22+(2/0.017)*(E8*E51+E23*E50)</f>
        <v>-94.57233594531958</v>
      </c>
      <c r="F82" s="140">
        <f>F22+(2/0.017)*(F8*F51+F23*F50)</f>
        <v>-128.35875135287546</v>
      </c>
    </row>
    <row r="83" spans="1:6" ht="12.75">
      <c r="A83" s="140" t="s">
        <v>165</v>
      </c>
      <c r="B83" s="140">
        <f>B23+(3/0.017)*(B9*B51+B24*B50)</f>
        <v>0.3969858639896593</v>
      </c>
      <c r="C83" s="140">
        <f>C23+(3/0.017)*(C9*C51+C24*C50)</f>
        <v>1.8739071021457887</v>
      </c>
      <c r="D83" s="140">
        <f>D23+(3/0.017)*(D9*D51+D24*D50)</f>
        <v>0.04493057800127992</v>
      </c>
      <c r="E83" s="140">
        <f>E23+(3/0.017)*(E9*E51+E24*E50)</f>
        <v>-0.23072946105094916</v>
      </c>
      <c r="F83" s="140">
        <f>F23+(3/0.017)*(F9*F51+F24*F50)</f>
        <v>6.082316679865139</v>
      </c>
    </row>
    <row r="84" spans="1:6" ht="12.75">
      <c r="A84" s="140" t="s">
        <v>166</v>
      </c>
      <c r="B84" s="140">
        <f>B24+(4/0.017)*(B10*B51+B25*B50)</f>
        <v>-1.2557755092004947</v>
      </c>
      <c r="C84" s="140">
        <f>C24+(4/0.017)*(C10*C51+C25*C50)</f>
        <v>-3.5514863913176873</v>
      </c>
      <c r="D84" s="140">
        <f>D24+(4/0.017)*(D10*D51+D25*D50)</f>
        <v>-1.9364584072560258</v>
      </c>
      <c r="E84" s="140">
        <f>E24+(4/0.017)*(E10*E51+E25*E50)</f>
        <v>-0.25433672080601255</v>
      </c>
      <c r="F84" s="140">
        <f>F24+(4/0.017)*(F10*F51+F25*F50)</f>
        <v>1.8881169560108773</v>
      </c>
    </row>
    <row r="85" spans="1:6" ht="12.75">
      <c r="A85" s="140" t="s">
        <v>167</v>
      </c>
      <c r="B85" s="140">
        <f>B25+(5/0.017)*(B11*B51+B26*B50)</f>
        <v>-0.05926099429279219</v>
      </c>
      <c r="C85" s="140">
        <f>C25+(5/0.017)*(C11*C51+C26*C50)</f>
        <v>0.6098145499776346</v>
      </c>
      <c r="D85" s="140">
        <f>D25+(5/0.017)*(D11*D51+D26*D50)</f>
        <v>-0.4829384042596643</v>
      </c>
      <c r="E85" s="140">
        <f>E25+(5/0.017)*(E11*E51+E26*E50)</f>
        <v>-0.8651822529572977</v>
      </c>
      <c r="F85" s="140">
        <f>F25+(5/0.017)*(F11*F51+F26*F50)</f>
        <v>-0.7549826757346167</v>
      </c>
    </row>
    <row r="86" spans="1:6" ht="12.75">
      <c r="A86" s="140" t="s">
        <v>168</v>
      </c>
      <c r="B86" s="140">
        <f>B26+(6/0.017)*(B12*B51+B27*B50)</f>
        <v>1.393037631478409</v>
      </c>
      <c r="C86" s="140">
        <f>C26+(6/0.017)*(C12*C51+C27*C50)</f>
        <v>0.564520567955937</v>
      </c>
      <c r="D86" s="140">
        <f>D26+(6/0.017)*(D12*D51+D27*D50)</f>
        <v>0.04224040485754957</v>
      </c>
      <c r="E86" s="140">
        <f>E26+(6/0.017)*(E12*E51+E27*E50)</f>
        <v>0.28903422563041814</v>
      </c>
      <c r="F86" s="140">
        <f>F26+(6/0.017)*(F12*F51+F27*F50)</f>
        <v>1.8587781555857852</v>
      </c>
    </row>
    <row r="87" spans="1:6" ht="12.75">
      <c r="A87" s="140" t="s">
        <v>169</v>
      </c>
      <c r="B87" s="140">
        <f>B27+(7/0.017)*(B13*B51+B28*B50)</f>
        <v>0.19060270648097216</v>
      </c>
      <c r="C87" s="140">
        <f>C27+(7/0.017)*(C13*C51+C28*C50)</f>
        <v>0.4431487527509832</v>
      </c>
      <c r="D87" s="140">
        <f>D27+(7/0.017)*(D13*D51+D28*D50)</f>
        <v>0.17481453371098787</v>
      </c>
      <c r="E87" s="140">
        <f>E27+(7/0.017)*(E13*E51+E28*E50)</f>
        <v>0.11042751273347882</v>
      </c>
      <c r="F87" s="140">
        <f>F27+(7/0.017)*(F13*F51+F28*F50)</f>
        <v>0.350419370640877</v>
      </c>
    </row>
    <row r="88" spans="1:6" ht="12.75">
      <c r="A88" s="140" t="s">
        <v>170</v>
      </c>
      <c r="B88" s="140">
        <f>B28+(8/0.017)*(B14*B51+B29*B50)</f>
        <v>-0.15186368305162457</v>
      </c>
      <c r="C88" s="140">
        <f>C28+(8/0.017)*(C14*C51+C29*C50)</f>
        <v>-0.2736006968805768</v>
      </c>
      <c r="D88" s="140">
        <f>D28+(8/0.017)*(D14*D51+D29*D50)</f>
        <v>-0.04924184668122733</v>
      </c>
      <c r="E88" s="140">
        <f>E28+(8/0.017)*(E14*E51+E29*E50)</f>
        <v>-0.09551969179635231</v>
      </c>
      <c r="F88" s="140">
        <f>F28+(8/0.017)*(F14*F51+F29*F50)</f>
        <v>0.36759677471839286</v>
      </c>
    </row>
    <row r="89" spans="1:6" ht="12.75">
      <c r="A89" s="140" t="s">
        <v>171</v>
      </c>
      <c r="B89" s="140">
        <f>B29+(9/0.017)*(B15*B51+B30*B50)</f>
        <v>0.14958268466181354</v>
      </c>
      <c r="C89" s="140">
        <f>C29+(9/0.017)*(C15*C51+C30*C50)</f>
        <v>0.10500509379438305</v>
      </c>
      <c r="D89" s="140">
        <f>D29+(9/0.017)*(D15*D51+D30*D50)</f>
        <v>-0.04726811553636506</v>
      </c>
      <c r="E89" s="140">
        <f>E29+(9/0.017)*(E15*E51+E30*E50)</f>
        <v>-0.020577216933656793</v>
      </c>
      <c r="F89" s="140">
        <f>F29+(9/0.017)*(F15*F51+F30*F50)</f>
        <v>0.04816629429220737</v>
      </c>
    </row>
    <row r="90" spans="1:6" ht="12.75">
      <c r="A90" s="140" t="s">
        <v>172</v>
      </c>
      <c r="B90" s="140">
        <f>B30+(10/0.017)*(B16*B51+B31*B50)</f>
        <v>0.04285835278771068</v>
      </c>
      <c r="C90" s="140">
        <f>C30+(10/0.017)*(C16*C51+C31*C50)</f>
        <v>0.09561052471910574</v>
      </c>
      <c r="D90" s="140">
        <f>D30+(10/0.017)*(D16*D51+D31*D50)</f>
        <v>0.007675513627290589</v>
      </c>
      <c r="E90" s="140">
        <f>E30+(10/0.017)*(E16*E51+E31*E50)</f>
        <v>0.0450236937384028</v>
      </c>
      <c r="F90" s="140">
        <f>F30+(10/0.017)*(F16*F51+F31*F50)</f>
        <v>0.2335654635950042</v>
      </c>
    </row>
    <row r="91" spans="1:6" ht="12.75">
      <c r="A91" s="140" t="s">
        <v>173</v>
      </c>
      <c r="B91" s="140">
        <f>B31+(11/0.017)*(B17*B51+B32*B50)</f>
        <v>0.10056014235122772</v>
      </c>
      <c r="C91" s="140">
        <f>C31+(11/0.017)*(C17*C51+C32*C50)</f>
        <v>0.10121899015265468</v>
      </c>
      <c r="D91" s="140">
        <f>D31+(11/0.017)*(D17*D51+D32*D50)</f>
        <v>0.03221606823018783</v>
      </c>
      <c r="E91" s="140">
        <f>E31+(11/0.017)*(E17*E51+E32*E50)</f>
        <v>0.09347173392909473</v>
      </c>
      <c r="F91" s="140">
        <f>F31+(11/0.017)*(F17*F51+F32*F50)</f>
        <v>0.15017244366301863</v>
      </c>
    </row>
    <row r="92" spans="1:6" ht="12.75">
      <c r="A92" s="140" t="s">
        <v>174</v>
      </c>
      <c r="B92" s="140">
        <f>B32+(12/0.017)*(B18*B51+B33*B50)</f>
        <v>0.027500187131879447</v>
      </c>
      <c r="C92" s="140">
        <f>C32+(12/0.017)*(C18*C51+C33*C50)</f>
        <v>0.027605953397059263</v>
      </c>
      <c r="D92" s="140">
        <f>D32+(12/0.017)*(D18*D51+D33*D50)</f>
        <v>0.047230341440498536</v>
      </c>
      <c r="E92" s="140">
        <f>E32+(12/0.017)*(E18*E51+E33*E50)</f>
        <v>-0.004639727451640575</v>
      </c>
      <c r="F92" s="140">
        <f>F32+(12/0.017)*(F18*F51+F33*F50)</f>
        <v>0.007713790760621534</v>
      </c>
    </row>
    <row r="93" spans="1:6" ht="12.75">
      <c r="A93" s="140" t="s">
        <v>175</v>
      </c>
      <c r="B93" s="140">
        <f>B33+(13/0.017)*(B19*B51+B34*B50)</f>
        <v>-0.07036572595441712</v>
      </c>
      <c r="C93" s="140">
        <f>C33+(13/0.017)*(C19*C51+C34*C50)</f>
        <v>-0.0631739174177185</v>
      </c>
      <c r="D93" s="140">
        <f>D33+(13/0.017)*(D19*D51+D34*D50)</f>
        <v>-0.0678276663801465</v>
      </c>
      <c r="E93" s="140">
        <f>E33+(13/0.017)*(E19*E51+E34*E50)</f>
        <v>-0.06618694400544489</v>
      </c>
      <c r="F93" s="140">
        <f>F33+(13/0.017)*(F19*F51+F34*F50)</f>
        <v>-0.06228309266729187</v>
      </c>
    </row>
    <row r="94" spans="1:6" ht="12.75">
      <c r="A94" s="140" t="s">
        <v>176</v>
      </c>
      <c r="B94" s="140">
        <f>B34+(14/0.017)*(B20*B51+B35*B50)</f>
        <v>-0.01744640492768991</v>
      </c>
      <c r="C94" s="140">
        <f>C34+(14/0.017)*(C20*C51+C35*C50)</f>
        <v>-0.005839432553396034</v>
      </c>
      <c r="D94" s="140">
        <f>D34+(14/0.017)*(D20*D51+D35*D50)</f>
        <v>0.002585518946354237</v>
      </c>
      <c r="E94" s="140">
        <f>E34+(14/0.017)*(E20*E51+E35*E50)</f>
        <v>0.01576584104539035</v>
      </c>
      <c r="F94" s="140">
        <f>F34+(14/0.017)*(F20*F51+F35*F50)</f>
        <v>-0.011609249352767262</v>
      </c>
    </row>
    <row r="95" spans="1:6" ht="12.75">
      <c r="A95" s="140" t="s">
        <v>177</v>
      </c>
      <c r="B95" s="141">
        <f>B35</f>
        <v>0.001876345</v>
      </c>
      <c r="C95" s="141">
        <f>C35</f>
        <v>0.001405738</v>
      </c>
      <c r="D95" s="141">
        <f>D35</f>
        <v>-0.004063935</v>
      </c>
      <c r="E95" s="141">
        <f>E35</f>
        <v>-0.003699109</v>
      </c>
      <c r="F95" s="141">
        <f>F35</f>
        <v>0.003033792</v>
      </c>
    </row>
    <row r="98" ht="12.75">
      <c r="A98" s="140" t="s">
        <v>145</v>
      </c>
    </row>
    <row r="100" spans="2:11" ht="12.75">
      <c r="B100" s="140" t="s">
        <v>72</v>
      </c>
      <c r="C100" s="140" t="s">
        <v>73</v>
      </c>
      <c r="D100" s="140" t="s">
        <v>74</v>
      </c>
      <c r="E100" s="140" t="s">
        <v>75</v>
      </c>
      <c r="F100" s="140" t="s">
        <v>76</v>
      </c>
      <c r="G100" s="140" t="s">
        <v>147</v>
      </c>
      <c r="H100" s="140" t="s">
        <v>148</v>
      </c>
      <c r="I100" s="140" t="s">
        <v>143</v>
      </c>
      <c r="K100" s="140" t="s">
        <v>178</v>
      </c>
    </row>
    <row r="101" spans="1:9" ht="12.75">
      <c r="A101" s="140" t="s">
        <v>146</v>
      </c>
      <c r="B101" s="140">
        <f>B61*10000/B62</f>
        <v>0</v>
      </c>
      <c r="C101" s="140">
        <f>C61*10000/C62</f>
        <v>0</v>
      </c>
      <c r="D101" s="140">
        <f>D61*10000/D62</f>
        <v>0</v>
      </c>
      <c r="E101" s="140">
        <f>E61*10000/E62</f>
        <v>0</v>
      </c>
      <c r="F101" s="140">
        <f>F61*10000/F62</f>
        <v>0</v>
      </c>
      <c r="G101" s="140">
        <f>AVERAGE(C101:E101)</f>
        <v>0</v>
      </c>
      <c r="H101" s="140">
        <f>STDEV(C101:E101)</f>
        <v>0</v>
      </c>
      <c r="I101" s="140">
        <f>(B101*B4+C101*C4+D101*D4+E101*E4+F101*F4)/SUM(B4:F4)</f>
        <v>0</v>
      </c>
    </row>
    <row r="102" spans="1:9" ht="12.75">
      <c r="A102" s="140" t="s">
        <v>149</v>
      </c>
      <c r="B102" s="140">
        <f>B62*10000/B62</f>
        <v>10000</v>
      </c>
      <c r="C102" s="140">
        <f>C62*10000/C62</f>
        <v>10000</v>
      </c>
      <c r="D102" s="140">
        <f>D62*10000/D62</f>
        <v>10000</v>
      </c>
      <c r="E102" s="140">
        <f>E62*10000/E62</f>
        <v>10000</v>
      </c>
      <c r="F102" s="140">
        <f>F62*10000/F62</f>
        <v>10000</v>
      </c>
      <c r="G102" s="140">
        <f>AVERAGE(C102:E102)</f>
        <v>10000</v>
      </c>
      <c r="H102" s="140">
        <f>STDEV(C102:E102)</f>
        <v>0</v>
      </c>
      <c r="I102" s="140">
        <f>(B102*B4+C102*C4+D102*D4+E102*E4+F102*F4)/SUM(B4:F4)</f>
        <v>10000</v>
      </c>
    </row>
    <row r="103" spans="1:11" ht="12.75">
      <c r="A103" s="140" t="s">
        <v>150</v>
      </c>
      <c r="B103" s="140">
        <f>B63*10000/B62</f>
        <v>0.48088686733775665</v>
      </c>
      <c r="C103" s="140">
        <f>C63*10000/C62</f>
        <v>0.8578231691831814</v>
      </c>
      <c r="D103" s="140">
        <f>D63*10000/D62</f>
        <v>2.3667109050667268</v>
      </c>
      <c r="E103" s="140">
        <f>E63*10000/E62</f>
        <v>1.6005211788056242</v>
      </c>
      <c r="F103" s="140">
        <f>F63*10000/F62</f>
        <v>0.2767578492366485</v>
      </c>
      <c r="G103" s="140">
        <f>AVERAGE(C103:E103)</f>
        <v>1.608351751018511</v>
      </c>
      <c r="H103" s="140">
        <f>STDEV(C103:E103)</f>
        <v>0.7544743456677823</v>
      </c>
      <c r="I103" s="140">
        <f>(B103*B4+C103*C4+D103*D4+E103*E4+F103*F4)/SUM(B4:F4)</f>
        <v>1.2673832028863175</v>
      </c>
      <c r="K103" s="140">
        <f>(LN(H103)+LN(H123))/2-LN(K114*K115^3)</f>
        <v>-3.9521873131599308</v>
      </c>
    </row>
    <row r="104" spans="1:11" ht="12.75">
      <c r="A104" s="140" t="s">
        <v>151</v>
      </c>
      <c r="B104" s="140">
        <f>B64*10000/B62</f>
        <v>-0.3248388456042173</v>
      </c>
      <c r="C104" s="140">
        <f>C64*10000/C62</f>
        <v>0.020940997317369456</v>
      </c>
      <c r="D104" s="140">
        <f>D64*10000/D62</f>
        <v>-0.0542183670650877</v>
      </c>
      <c r="E104" s="140">
        <f>E64*10000/E62</f>
        <v>-0.026936651635280737</v>
      </c>
      <c r="F104" s="140">
        <f>F64*10000/F62</f>
        <v>1.477160579487987</v>
      </c>
      <c r="G104" s="140">
        <f>AVERAGE(C104:E104)</f>
        <v>-0.020071340460999662</v>
      </c>
      <c r="H104" s="140">
        <f>STDEV(C104:E104)</f>
        <v>0.038047100897880826</v>
      </c>
      <c r="I104" s="140">
        <f>(B104*B4+C104*C4+D104*D4+E104*E4+F104*F4)/SUM(B4:F4)</f>
        <v>0.13750094624736856</v>
      </c>
      <c r="K104" s="140">
        <f>(LN(H104)+LN(H124))/2-LN(K114*K115^4)</f>
        <v>-4.671688398755158</v>
      </c>
    </row>
    <row r="105" spans="1:11" ht="12.75">
      <c r="A105" s="140" t="s">
        <v>152</v>
      </c>
      <c r="B105" s="140">
        <f>B65*10000/B62</f>
        <v>0.21831620818243525</v>
      </c>
      <c r="C105" s="140">
        <f>C65*10000/C62</f>
        <v>0.052830563912856406</v>
      </c>
      <c r="D105" s="140">
        <f>D65*10000/D62</f>
        <v>-0.8127197944261516</v>
      </c>
      <c r="E105" s="140">
        <f>E65*10000/E62</f>
        <v>-0.7433652262913972</v>
      </c>
      <c r="F105" s="140">
        <f>F65*10000/F62</f>
        <v>-1.8268487820324293</v>
      </c>
      <c r="G105" s="140">
        <f>AVERAGE(C105:E105)</f>
        <v>-0.5010848189348974</v>
      </c>
      <c r="H105" s="140">
        <f>STDEV(C105:E105)</f>
        <v>0.48095654954145267</v>
      </c>
      <c r="I105" s="140">
        <f>(B105*B4+C105*C4+D105*D4+E105*E4+F105*F4)/SUM(B4:F4)</f>
        <v>-0.5760643885817074</v>
      </c>
      <c r="K105" s="140">
        <f>(LN(H105)+LN(H125))/2-LN(K114*K115^5)</f>
        <v>-3.195525186615993</v>
      </c>
    </row>
    <row r="106" spans="1:11" ht="12.75">
      <c r="A106" s="140" t="s">
        <v>153</v>
      </c>
      <c r="B106" s="140">
        <f>B66*10000/B62</f>
        <v>4.970019722749786</v>
      </c>
      <c r="C106" s="140">
        <f>C66*10000/C62</f>
        <v>5.185523825025005</v>
      </c>
      <c r="D106" s="140">
        <f>D66*10000/D62</f>
        <v>4.820504247996856</v>
      </c>
      <c r="E106" s="140">
        <f>E66*10000/E62</f>
        <v>5.03325368274706</v>
      </c>
      <c r="F106" s="140">
        <f>F66*10000/F62</f>
        <v>15.509762143965773</v>
      </c>
      <c r="G106" s="140">
        <f>AVERAGE(C106:E106)</f>
        <v>5.0130939185896395</v>
      </c>
      <c r="H106" s="140">
        <f>STDEV(C106:E106)</f>
        <v>0.18334294361011064</v>
      </c>
      <c r="I106" s="140">
        <f>(B106*B4+C106*C4+D106*D4+E106*E4+F106*F4)/SUM(B4:F4)</f>
        <v>6.418499337291556</v>
      </c>
      <c r="K106" s="140">
        <f>(LN(H106)+LN(H126))/2-LN(K114*K115^6)</f>
        <v>-3.62388270205925</v>
      </c>
    </row>
    <row r="107" spans="1:11" ht="12.75">
      <c r="A107" s="140" t="s">
        <v>154</v>
      </c>
      <c r="B107" s="140">
        <f>B67*10000/B62</f>
        <v>0.011055849564705088</v>
      </c>
      <c r="C107" s="140">
        <f>C67*10000/C62</f>
        <v>0.020066965923331802</v>
      </c>
      <c r="D107" s="140">
        <f>D67*10000/D62</f>
        <v>0.012545593638555081</v>
      </c>
      <c r="E107" s="140">
        <f>E67*10000/E62</f>
        <v>0.25432387732865497</v>
      </c>
      <c r="F107" s="140">
        <f>F67*10000/F62</f>
        <v>0.30450654415203265</v>
      </c>
      <c r="G107" s="140">
        <f>AVERAGE(C107:E107)</f>
        <v>0.09564547896351394</v>
      </c>
      <c r="H107" s="140">
        <f>STDEV(C107:E107)</f>
        <v>0.13747097272172168</v>
      </c>
      <c r="I107" s="140">
        <f>(B107*B4+C107*C4+D107*D4+E107*E4+F107*F4)/SUM(B4:F4)</f>
        <v>0.111578069996275</v>
      </c>
      <c r="K107" s="140">
        <f>(LN(H107)+LN(H127))/2-LN(K114*K115^7)</f>
        <v>-3.3727357649774063</v>
      </c>
    </row>
    <row r="108" spans="1:9" ht="12.75">
      <c r="A108" s="140" t="s">
        <v>155</v>
      </c>
      <c r="B108" s="140">
        <f>B68*10000/B62</f>
        <v>-0.06329462117203086</v>
      </c>
      <c r="C108" s="140">
        <f>C68*10000/C62</f>
        <v>-0.07912132032477451</v>
      </c>
      <c r="D108" s="140">
        <f>D68*10000/D62</f>
        <v>-0.0041724034117623585</v>
      </c>
      <c r="E108" s="140">
        <f>E68*10000/E62</f>
        <v>-0.03859809836271603</v>
      </c>
      <c r="F108" s="140">
        <f>F68*10000/F62</f>
        <v>-0.200651633019006</v>
      </c>
      <c r="G108" s="140">
        <f>AVERAGE(C108:E108)</f>
        <v>-0.04063060736641763</v>
      </c>
      <c r="H108" s="140">
        <f>STDEV(C108:E108)</f>
        <v>0.03751577476537031</v>
      </c>
      <c r="I108" s="140">
        <f>(B108*B4+C108*C4+D108*D4+E108*E4+F108*F4)/SUM(B4:F4)</f>
        <v>-0.065403427162355</v>
      </c>
    </row>
    <row r="109" spans="1:9" ht="12.75">
      <c r="A109" s="140" t="s">
        <v>156</v>
      </c>
      <c r="B109" s="140">
        <f>B69*10000/B62</f>
        <v>0.028447310398467332</v>
      </c>
      <c r="C109" s="140">
        <f>C69*10000/C62</f>
        <v>0.0042871460797468935</v>
      </c>
      <c r="D109" s="140">
        <f>D69*10000/D62</f>
        <v>-0.10108733533583433</v>
      </c>
      <c r="E109" s="140">
        <f>E69*10000/E62</f>
        <v>-0.035945489323776544</v>
      </c>
      <c r="F109" s="140">
        <f>F69*10000/F62</f>
        <v>-0.11375283951709772</v>
      </c>
      <c r="G109" s="140">
        <f>AVERAGE(C109:E109)</f>
        <v>-0.04424855952662132</v>
      </c>
      <c r="H109" s="140">
        <f>STDEV(C109:E109)</f>
        <v>0.053175662332458976</v>
      </c>
      <c r="I109" s="140">
        <f>(B109*B4+C109*C4+D109*D4+E109*E4+F109*F4)/SUM(B4:F4)</f>
        <v>-0.04315759101378136</v>
      </c>
    </row>
    <row r="110" spans="1:11" ht="12.75">
      <c r="A110" s="140" t="s">
        <v>157</v>
      </c>
      <c r="B110" s="140">
        <f>B70*10000/B62</f>
        <v>-0.3516941479832907</v>
      </c>
      <c r="C110" s="140">
        <f>C70*10000/C62</f>
        <v>-0.0668917834244537</v>
      </c>
      <c r="D110" s="140">
        <f>D70*10000/D62</f>
        <v>-0.03394653312423563</v>
      </c>
      <c r="E110" s="140">
        <f>E70*10000/E62</f>
        <v>-0.04614979585568504</v>
      </c>
      <c r="F110" s="140">
        <f>F70*10000/F62</f>
        <v>-0.28053338407102946</v>
      </c>
      <c r="G110" s="140">
        <f>AVERAGE(C110:E110)</f>
        <v>-0.04899603746812479</v>
      </c>
      <c r="H110" s="140">
        <f>STDEV(C110:E110)</f>
        <v>0.01665602587123629</v>
      </c>
      <c r="I110" s="140">
        <f>(B110*B4+C110*C4+D110*D4+E110*E4+F110*F4)/SUM(B4:F4)</f>
        <v>-0.12361035454579178</v>
      </c>
      <c r="K110" s="140">
        <f>EXP(AVERAGE(K103:K107))</f>
        <v>0.02320926159910983</v>
      </c>
    </row>
    <row r="111" spans="1:9" ht="12.75">
      <c r="A111" s="140" t="s">
        <v>158</v>
      </c>
      <c r="B111" s="140">
        <f>B71*10000/B62</f>
        <v>0.07466070647304815</v>
      </c>
      <c r="C111" s="140">
        <f>C71*10000/C62</f>
        <v>0.08516713605003574</v>
      </c>
      <c r="D111" s="140">
        <f>D71*10000/D62</f>
        <v>0.07120412808165304</v>
      </c>
      <c r="E111" s="140">
        <f>E71*10000/E62</f>
        <v>0.039765672312953394</v>
      </c>
      <c r="F111" s="140">
        <f>F71*10000/F62</f>
        <v>0.03010646199285772</v>
      </c>
      <c r="G111" s="140">
        <f>AVERAGE(C111:E111)</f>
        <v>0.06537897881488072</v>
      </c>
      <c r="H111" s="140">
        <f>STDEV(C111:E111)</f>
        <v>0.02325451569808614</v>
      </c>
      <c r="I111" s="140">
        <f>(B111*B4+C111*C4+D111*D4+E111*E4+F111*F4)/SUM(B4:F4)</f>
        <v>0.061969036049158654</v>
      </c>
    </row>
    <row r="112" spans="1:9" ht="12.75">
      <c r="A112" s="140" t="s">
        <v>159</v>
      </c>
      <c r="B112" s="140">
        <f>B72*10000/B62</f>
        <v>-0.04100152846687999</v>
      </c>
      <c r="C112" s="140">
        <f>C72*10000/C62</f>
        <v>-0.046938382370280696</v>
      </c>
      <c r="D112" s="140">
        <f>D72*10000/D62</f>
        <v>-0.03480647300412494</v>
      </c>
      <c r="E112" s="140">
        <f>E72*10000/E62</f>
        <v>-0.056686321153784656</v>
      </c>
      <c r="F112" s="140">
        <f>F72*10000/F62</f>
        <v>-0.09101234905886416</v>
      </c>
      <c r="G112" s="140">
        <f>AVERAGE(C112:E112)</f>
        <v>-0.046143725509396764</v>
      </c>
      <c r="H112" s="140">
        <f>STDEV(C112:E112)</f>
        <v>0.010961548631829115</v>
      </c>
      <c r="I112" s="140">
        <f>(B112*B4+C112*C4+D112*D4+E112*E4+F112*F4)/SUM(B4:F4)</f>
        <v>-0.05143839046884874</v>
      </c>
    </row>
    <row r="113" spans="1:9" ht="12.75">
      <c r="A113" s="140" t="s">
        <v>160</v>
      </c>
      <c r="B113" s="140">
        <f>B73*10000/B62</f>
        <v>-0.01664297294937801</v>
      </c>
      <c r="C113" s="140">
        <f>C73*10000/C62</f>
        <v>-0.024471924385105405</v>
      </c>
      <c r="D113" s="140">
        <f>D73*10000/D62</f>
        <v>-0.019080730834071566</v>
      </c>
      <c r="E113" s="140">
        <f>E73*10000/E62</f>
        <v>-0.03159352438680754</v>
      </c>
      <c r="F113" s="140">
        <f>F73*10000/F62</f>
        <v>-0.02450629046101382</v>
      </c>
      <c r="G113" s="140">
        <f>AVERAGE(C113:E113)</f>
        <v>-0.025048726535328174</v>
      </c>
      <c r="H113" s="140">
        <f>STDEV(C113:E113)</f>
        <v>0.006276306729576234</v>
      </c>
      <c r="I113" s="140">
        <f>(B113*B4+C113*C4+D113*D4+E113*E4+F113*F4)/SUM(B4:F4)</f>
        <v>-0.023768041824663907</v>
      </c>
    </row>
    <row r="114" spans="1:11" ht="12.75">
      <c r="A114" s="140" t="s">
        <v>161</v>
      </c>
      <c r="B114" s="140">
        <f>B74*10000/B62</f>
        <v>-0.19085780157966592</v>
      </c>
      <c r="C114" s="140">
        <f>C74*10000/C62</f>
        <v>-0.17982459169640452</v>
      </c>
      <c r="D114" s="140">
        <f>D74*10000/D62</f>
        <v>-0.172810286633089</v>
      </c>
      <c r="E114" s="140">
        <f>E74*10000/E62</f>
        <v>-0.1713434609929556</v>
      </c>
      <c r="F114" s="140">
        <f>F74*10000/F62</f>
        <v>-0.1389188610948036</v>
      </c>
      <c r="G114" s="140">
        <f>AVERAGE(C114:E114)</f>
        <v>-0.17465944644081635</v>
      </c>
      <c r="H114" s="140">
        <f>STDEV(C114:E114)</f>
        <v>0.004532873095305398</v>
      </c>
      <c r="I114" s="140">
        <f>(B114*B4+C114*C4+D114*D4+E114*E4+F114*F4)/SUM(B4:F4)</f>
        <v>-0.17217953156913987</v>
      </c>
      <c r="J114" s="140" t="s">
        <v>179</v>
      </c>
      <c r="K114" s="140">
        <v>285</v>
      </c>
    </row>
    <row r="115" spans="1:11" ht="12.75">
      <c r="A115" s="140" t="s">
        <v>162</v>
      </c>
      <c r="B115" s="140">
        <f>B75*10000/B62</f>
        <v>-0.004107037168532286</v>
      </c>
      <c r="C115" s="140">
        <f>C75*10000/C62</f>
        <v>-0.00406688531886802</v>
      </c>
      <c r="D115" s="140">
        <f>D75*10000/D62</f>
        <v>0.0009477234036840036</v>
      </c>
      <c r="E115" s="140">
        <f>E75*10000/E62</f>
        <v>-0.00041865547306609404</v>
      </c>
      <c r="F115" s="140">
        <f>F75*10000/F62</f>
        <v>0.00293281759679336</v>
      </c>
      <c r="G115" s="140">
        <f>AVERAGE(C115:E115)</f>
        <v>-0.0011792724627500367</v>
      </c>
      <c r="H115" s="140">
        <f>STDEV(C115:E115)</f>
        <v>0.002592388630938773</v>
      </c>
      <c r="I115" s="140">
        <f>(B115*B4+C115*C4+D115*D4+E115*E4+F115*F4)/SUM(B4:F4)</f>
        <v>-0.0010466651394963888</v>
      </c>
      <c r="J115" s="140" t="s">
        <v>180</v>
      </c>
      <c r="K115" s="140">
        <v>0.5536</v>
      </c>
    </row>
    <row r="118" ht="12.75">
      <c r="A118" s="140" t="s">
        <v>145</v>
      </c>
    </row>
    <row r="120" spans="2:9" ht="12.75">
      <c r="B120" s="140" t="s">
        <v>72</v>
      </c>
      <c r="C120" s="140" t="s">
        <v>73</v>
      </c>
      <c r="D120" s="140" t="s">
        <v>74</v>
      </c>
      <c r="E120" s="140" t="s">
        <v>75</v>
      </c>
      <c r="F120" s="140" t="s">
        <v>76</v>
      </c>
      <c r="G120" s="140" t="s">
        <v>147</v>
      </c>
      <c r="H120" s="140" t="s">
        <v>148</v>
      </c>
      <c r="I120" s="140" t="s">
        <v>143</v>
      </c>
    </row>
    <row r="121" spans="1:9" ht="12.75">
      <c r="A121" s="140" t="s">
        <v>163</v>
      </c>
      <c r="B121" s="140">
        <f>B81*10000/B62</f>
        <v>0</v>
      </c>
      <c r="C121" s="140">
        <f>C81*10000/C62</f>
        <v>0</v>
      </c>
      <c r="D121" s="140">
        <f>D81*10000/D62</f>
        <v>0</v>
      </c>
      <c r="E121" s="140">
        <f>E81*10000/E62</f>
        <v>0</v>
      </c>
      <c r="F121" s="140">
        <f>F81*10000/F62</f>
        <v>0</v>
      </c>
      <c r="G121" s="140">
        <f>AVERAGE(C121:E121)</f>
        <v>0</v>
      </c>
      <c r="H121" s="140">
        <f>STDEV(C121:E121)</f>
        <v>0</v>
      </c>
      <c r="I121" s="140">
        <f>(B121*B4+C121*C4+D121*D4+E121*E4+F121*F4)/SUM(B4:F4)</f>
        <v>0</v>
      </c>
    </row>
    <row r="122" spans="1:9" ht="12.75">
      <c r="A122" s="140" t="s">
        <v>164</v>
      </c>
      <c r="B122" s="140">
        <f>B82*10000/B62</f>
        <v>148.22204252912488</v>
      </c>
      <c r="C122" s="140">
        <f>C82*10000/C62</f>
        <v>99.56803424885084</v>
      </c>
      <c r="D122" s="140">
        <f>D82*10000/D62</f>
        <v>-21.43915148533663</v>
      </c>
      <c r="E122" s="140">
        <f>E82*10000/E62</f>
        <v>-94.57221691353602</v>
      </c>
      <c r="F122" s="140">
        <f>F82*10000/F62</f>
        <v>-128.3781689068777</v>
      </c>
      <c r="G122" s="140">
        <f>AVERAGE(C122:E122)</f>
        <v>-5.481111383340604</v>
      </c>
      <c r="H122" s="140">
        <f>STDEV(C122:E122)</f>
        <v>98.04898552902701</v>
      </c>
      <c r="I122" s="140">
        <f>(B122*B4+C122*C4+D122*D4+E122*E4+F122*F4)/SUM(B4:F4)</f>
        <v>0.0675797440049143</v>
      </c>
    </row>
    <row r="123" spans="1:9" ht="12.75">
      <c r="A123" s="140" t="s">
        <v>165</v>
      </c>
      <c r="B123" s="140">
        <f>B83*10000/B62</f>
        <v>0.39699129330947325</v>
      </c>
      <c r="C123" s="140">
        <f>C83*10000/C62</f>
        <v>1.8739924957924663</v>
      </c>
      <c r="D123" s="140">
        <f>D83*10000/D62</f>
        <v>0.044930156240177335</v>
      </c>
      <c r="E123" s="140">
        <f>E83*10000/E62</f>
        <v>-0.230729170647429</v>
      </c>
      <c r="F123" s="140">
        <f>F83*10000/F62</f>
        <v>6.0832367862961005</v>
      </c>
      <c r="G123" s="140">
        <f>AVERAGE(C123:E123)</f>
        <v>0.5627311604617382</v>
      </c>
      <c r="H123" s="140">
        <f>STDEV(C123:E123)</f>
        <v>1.143919461008958</v>
      </c>
      <c r="I123" s="140">
        <f>(B123*B4+C123*C4+D123*D4+E123*E4+F123*F4)/SUM(B4:F4)</f>
        <v>1.2812963692554458</v>
      </c>
    </row>
    <row r="124" spans="1:9" ht="12.75">
      <c r="A124" s="140" t="s">
        <v>166</v>
      </c>
      <c r="B124" s="140">
        <f>B84*10000/B62</f>
        <v>-1.2557926836328168</v>
      </c>
      <c r="C124" s="140">
        <f>C84*10000/C62</f>
        <v>-3.5516482319840326</v>
      </c>
      <c r="D124" s="140">
        <f>D84*10000/D62</f>
        <v>-1.9364402298172017</v>
      </c>
      <c r="E124" s="140">
        <f>E84*10000/E62</f>
        <v>-0.25433640068963603</v>
      </c>
      <c r="F124" s="140">
        <f>F84*10000/F62</f>
        <v>1.8884025821374133</v>
      </c>
      <c r="G124" s="140">
        <f>AVERAGE(C124:E124)</f>
        <v>-1.91414162083029</v>
      </c>
      <c r="H124" s="140">
        <f>STDEV(C124:E124)</f>
        <v>1.6487690102529722</v>
      </c>
      <c r="I124" s="140">
        <f>(B124*B4+C124*C4+D124*D4+E124*E4+F124*F4)/SUM(B4:F4)</f>
        <v>-1.3082107441166444</v>
      </c>
    </row>
    <row r="125" spans="1:9" ht="12.75">
      <c r="A125" s="140" t="s">
        <v>167</v>
      </c>
      <c r="B125" s="140">
        <f>B85*10000/B62</f>
        <v>-0.059261804767218845</v>
      </c>
      <c r="C125" s="140">
        <f>C85*10000/C62</f>
        <v>0.6098423391290605</v>
      </c>
      <c r="D125" s="140">
        <f>D85*10000/D62</f>
        <v>-0.4829338709408662</v>
      </c>
      <c r="E125" s="140">
        <f>E85*10000/E62</f>
        <v>-0.8651811640110891</v>
      </c>
      <c r="F125" s="140">
        <f>F85*10000/F62</f>
        <v>-0.755096886232322</v>
      </c>
      <c r="G125" s="140">
        <f>AVERAGE(C125:E125)</f>
        <v>-0.24609089860763164</v>
      </c>
      <c r="H125" s="140">
        <f>STDEV(C125:E125)</f>
        <v>0.7655027948098496</v>
      </c>
      <c r="I125" s="140">
        <f>(B125*B4+C125*C4+D125*D4+E125*E4+F125*F4)/SUM(B4:F4)</f>
        <v>-0.28772271940990524</v>
      </c>
    </row>
    <row r="126" spans="1:9" ht="12.75">
      <c r="A126" s="140" t="s">
        <v>168</v>
      </c>
      <c r="B126" s="140">
        <f>B86*10000/B62</f>
        <v>1.3930566831563154</v>
      </c>
      <c r="C126" s="140">
        <f>C86*10000/C62</f>
        <v>0.5645462930678526</v>
      </c>
      <c r="D126" s="140">
        <f>D86*10000/D62</f>
        <v>0.04224000834896858</v>
      </c>
      <c r="E126" s="140">
        <f>E86*10000/E62</f>
        <v>0.2890338618426462</v>
      </c>
      <c r="F126" s="140">
        <f>F86*10000/F62</f>
        <v>1.8590593434661118</v>
      </c>
      <c r="G126" s="140">
        <f>AVERAGE(C126:E126)</f>
        <v>0.2986067210864891</v>
      </c>
      <c r="H126" s="140">
        <f>STDEV(C126:E126)</f>
        <v>0.26128469815469074</v>
      </c>
      <c r="I126" s="140">
        <f>(B126*B4+C126*C4+D126*D4+E126*E4+F126*F4)/SUM(B4:F4)</f>
        <v>0.6656425213675837</v>
      </c>
    </row>
    <row r="127" spans="1:9" ht="12.75">
      <c r="A127" s="140" t="s">
        <v>169</v>
      </c>
      <c r="B127" s="140">
        <f>B87*10000/B62</f>
        <v>0.19060531323134983</v>
      </c>
      <c r="C127" s="140">
        <f>C87*10000/C62</f>
        <v>0.4431689469687087</v>
      </c>
      <c r="D127" s="140">
        <f>D87*10000/D62</f>
        <v>0.17481289273564846</v>
      </c>
      <c r="E127" s="140">
        <f>E87*10000/E62</f>
        <v>0.11042737374585986</v>
      </c>
      <c r="F127" s="140">
        <f>F87*10000/F62</f>
        <v>0.3504723805601941</v>
      </c>
      <c r="G127" s="140">
        <f>AVERAGE(C127:E127)</f>
        <v>0.24280307115007235</v>
      </c>
      <c r="H127" s="140">
        <f>STDEV(C127:E127)</f>
        <v>0.17648296492387872</v>
      </c>
      <c r="I127" s="140">
        <f>(B127*B4+C127*C4+D127*D4+E127*E4+F127*F4)/SUM(B4:F4)</f>
        <v>0.24978082575051005</v>
      </c>
    </row>
    <row r="128" spans="1:9" ht="12.75">
      <c r="A128" s="140" t="s">
        <v>170</v>
      </c>
      <c r="B128" s="140">
        <f>B88*10000/B62</f>
        <v>-0.15186575999334517</v>
      </c>
      <c r="C128" s="140">
        <f>C88*10000/C62</f>
        <v>-0.27361316482053677</v>
      </c>
      <c r="D128" s="140">
        <f>D88*10000/D62</f>
        <v>-0.049241384450459925</v>
      </c>
      <c r="E128" s="140">
        <f>E88*10000/E62</f>
        <v>-0.09551957157219622</v>
      </c>
      <c r="F128" s="140">
        <f>F88*10000/F62</f>
        <v>0.36765238316073834</v>
      </c>
      <c r="G128" s="140">
        <f>AVERAGE(C128:E128)</f>
        <v>-0.13945804028106432</v>
      </c>
      <c r="H128" s="140">
        <f>STDEV(C128:E128)</f>
        <v>0.11846356288314831</v>
      </c>
      <c r="I128" s="140">
        <f>(B128*B4+C128*C4+D128*D4+E128*E4+F128*F4)/SUM(B4:F4)</f>
        <v>-0.07303761569726482</v>
      </c>
    </row>
    <row r="129" spans="1:9" ht="12.75">
      <c r="A129" s="140" t="s">
        <v>171</v>
      </c>
      <c r="B129" s="140">
        <f>B89*10000/B62</f>
        <v>0.14958473040778922</v>
      </c>
      <c r="C129" s="140">
        <f>C89*10000/C62</f>
        <v>0.1050098788596985</v>
      </c>
      <c r="D129" s="140">
        <f>D89*10000/D62</f>
        <v>-0.04726767183291382</v>
      </c>
      <c r="E129" s="140">
        <f>E89*10000/E62</f>
        <v>-0.02057719103450978</v>
      </c>
      <c r="F129" s="140">
        <f>F89*10000/F62</f>
        <v>0.048173580679856436</v>
      </c>
      <c r="G129" s="140">
        <f>AVERAGE(C129:E129)</f>
        <v>0.012388338664091633</v>
      </c>
      <c r="H129" s="140">
        <f>STDEV(C129:E129)</f>
        <v>0.08131517522865771</v>
      </c>
      <c r="I129" s="140">
        <f>(B129*B4+C129*C4+D129*D4+E129*E4+F129*F4)/SUM(B4:F4)</f>
        <v>0.03690308234568174</v>
      </c>
    </row>
    <row r="130" spans="1:9" ht="12.75">
      <c r="A130" s="140" t="s">
        <v>172</v>
      </c>
      <c r="B130" s="140">
        <f>B90*10000/B62</f>
        <v>0.04285893893378057</v>
      </c>
      <c r="C130" s="140">
        <f>C90*10000/C62</f>
        <v>0.09561488167541225</v>
      </c>
      <c r="D130" s="140">
        <f>D90*10000/D62</f>
        <v>0.007675441577625655</v>
      </c>
      <c r="E130" s="140">
        <f>E90*10000/E62</f>
        <v>0.04502363707013386</v>
      </c>
      <c r="F130" s="140">
        <f>F90*10000/F62</f>
        <v>0.23360079636316078</v>
      </c>
      <c r="G130" s="140">
        <f>AVERAGE(C130:E130)</f>
        <v>0.049437986774390597</v>
      </c>
      <c r="H130" s="140">
        <f>STDEV(C130:E130)</f>
        <v>0.0441355995049535</v>
      </c>
      <c r="I130" s="140">
        <f>(B130*B4+C130*C4+D130*D4+E130*E4+F130*F4)/SUM(B4:F4)</f>
        <v>0.0732567742701648</v>
      </c>
    </row>
    <row r="131" spans="1:9" ht="12.75">
      <c r="A131" s="140" t="s">
        <v>173</v>
      </c>
      <c r="B131" s="140">
        <f>B91*10000/B62</f>
        <v>0.10056151764748605</v>
      </c>
      <c r="C131" s="140">
        <f>C91*10000/C62</f>
        <v>0.10122360268583322</v>
      </c>
      <c r="D131" s="140">
        <f>D91*10000/D62</f>
        <v>0.03221576581955654</v>
      </c>
      <c r="E131" s="140">
        <f>E91*10000/E62</f>
        <v>0.09347161628256427</v>
      </c>
      <c r="F131" s="140">
        <f>F91*10000/F62</f>
        <v>0.15019516109758185</v>
      </c>
      <c r="G131" s="140">
        <f>AVERAGE(C131:E131)</f>
        <v>0.07563699492931801</v>
      </c>
      <c r="H131" s="140">
        <f>STDEV(C131:E131)</f>
        <v>0.03780311728351135</v>
      </c>
      <c r="I131" s="140">
        <f>(B131*B4+C131*C4+D131*D4+E131*E4+F131*F4)/SUM(B4:F4)</f>
        <v>0.08924090678171395</v>
      </c>
    </row>
    <row r="132" spans="1:9" ht="12.75">
      <c r="A132" s="140" t="s">
        <v>174</v>
      </c>
      <c r="B132" s="140">
        <f>B92*10000/B62</f>
        <v>0.02750056323421564</v>
      </c>
      <c r="C132" s="140">
        <f>C92*10000/C62</f>
        <v>0.02760721139593652</v>
      </c>
      <c r="D132" s="140">
        <f>D92*10000/D62</f>
        <v>0.04722989809163085</v>
      </c>
      <c r="E132" s="140">
        <f>E92*10000/E62</f>
        <v>-0.004639721611930387</v>
      </c>
      <c r="F132" s="140">
        <f>F92*10000/F62</f>
        <v>0.007714957669360345</v>
      </c>
      <c r="G132" s="140">
        <f>AVERAGE(C132:E132)</f>
        <v>0.023399129291878994</v>
      </c>
      <c r="H132" s="140">
        <f>STDEV(C132:E132)</f>
        <v>0.026189603439034426</v>
      </c>
      <c r="I132" s="140">
        <f>(B132*B4+C132*C4+D132*D4+E132*E4+F132*F4)/SUM(B4:F4)</f>
        <v>0.021880535165046216</v>
      </c>
    </row>
    <row r="133" spans="1:9" ht="12.75">
      <c r="A133" s="140" t="s">
        <v>175</v>
      </c>
      <c r="B133" s="140">
        <f>B93*10000/B62</f>
        <v>-0.07036668830110197</v>
      </c>
      <c r="C133" s="140">
        <f>C93*10000/C62</f>
        <v>-0.06317679624302261</v>
      </c>
      <c r="D133" s="140">
        <f>D93*10000/D62</f>
        <v>-0.06782702968521333</v>
      </c>
      <c r="E133" s="140">
        <f>E93*10000/E62</f>
        <v>-0.06618686070042853</v>
      </c>
      <c r="F133" s="140">
        <f>F93*10000/F62</f>
        <v>-0.062292514582841435</v>
      </c>
      <c r="G133" s="140">
        <f>AVERAGE(C133:E133)</f>
        <v>-0.0657302288762215</v>
      </c>
      <c r="H133" s="140">
        <f>STDEV(C133:E133)</f>
        <v>0.0023585063565476285</v>
      </c>
      <c r="I133" s="140">
        <f>(B133*B4+C133*C4+D133*D4+E133*E4+F133*F4)/SUM(B4:F4)</f>
        <v>-0.06593401009748817</v>
      </c>
    </row>
    <row r="134" spans="1:9" ht="12.75">
      <c r="A134" s="140" t="s">
        <v>176</v>
      </c>
      <c r="B134" s="140">
        <f>B94*10000/B62</f>
        <v>-0.017446643530926315</v>
      </c>
      <c r="C134" s="140">
        <f>C94*10000/C62</f>
        <v>-0.005839698655402741</v>
      </c>
      <c r="D134" s="140">
        <f>D94*10000/D62</f>
        <v>0.0025854946762163917</v>
      </c>
      <c r="E134" s="140">
        <f>E94*10000/E62</f>
        <v>0.015765821201995767</v>
      </c>
      <c r="F134" s="140">
        <f>F94*10000/F62</f>
        <v>-0.01161100554955055</v>
      </c>
      <c r="G134" s="140">
        <f>AVERAGE(C134:E134)</f>
        <v>0.004170539074269806</v>
      </c>
      <c r="H134" s="140">
        <f>STDEV(C134:E134)</f>
        <v>0.010889623335311497</v>
      </c>
      <c r="I134" s="140">
        <f>(B134*B4+C134*C4+D134*D4+E134*E4+F134*F4)/SUM(B4:F4)</f>
        <v>-0.0010568543882600995</v>
      </c>
    </row>
    <row r="135" spans="1:9" ht="12.75">
      <c r="A135" s="140" t="s">
        <v>177</v>
      </c>
      <c r="B135" s="140">
        <f>B95*10000/B62</f>
        <v>0.0018763706615613056</v>
      </c>
      <c r="C135" s="140">
        <f>C95*10000/C62</f>
        <v>0.0014058020592556352</v>
      </c>
      <c r="D135" s="140">
        <f>D95*10000/D62</f>
        <v>-0.004063896852044138</v>
      </c>
      <c r="E135" s="140">
        <f>E95*10000/E62</f>
        <v>-0.003699104344182446</v>
      </c>
      <c r="F135" s="140">
        <f>F95*10000/F62</f>
        <v>0.0030342509388675935</v>
      </c>
      <c r="G135" s="140">
        <f>AVERAGE(C135:E135)</f>
        <v>-0.0021190663789903163</v>
      </c>
      <c r="H135" s="140">
        <f>STDEV(C135:E135)</f>
        <v>0.0030580699016953235</v>
      </c>
      <c r="I135" s="140">
        <f>(B135*B4+C135*C4+D135*D4+E135*E4+F135*F4)/SUM(B4:F4)</f>
        <v>-0.0008522843541971107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touet</dc:creator>
  <cp:keywords/>
  <dc:description/>
  <cp:lastModifiedBy>hagen</cp:lastModifiedBy>
  <cp:lastPrinted>2003-04-09T11:48:51Z</cp:lastPrinted>
  <dcterms:created xsi:type="dcterms:W3CDTF">2002-03-14T07:46:46Z</dcterms:created>
  <dcterms:modified xsi:type="dcterms:W3CDTF">2003-09-26T12:39:26Z</dcterms:modified>
  <cp:category/>
  <cp:version/>
  <cp:contentType/>
  <cp:contentStatus/>
</cp:coreProperties>
</file>