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firstSheet="6" activeTab="7"/>
  </bookViews>
  <sheets>
    <sheet name="Sommaire" sheetId="1" r:id="rId1"/>
    <sheet name="HCMQAP033_pos1ap2" sheetId="2" r:id="rId2"/>
    <sheet name="HCMQAP033_pos2ap2" sheetId="3" r:id="rId3"/>
    <sheet name="HCMQAP033_pos3ap2" sheetId="4" r:id="rId4"/>
    <sheet name="HCMQAP033_pos4ap2" sheetId="5" r:id="rId5"/>
    <sheet name="HCMQAP033_pos5ap2" sheetId="6" r:id="rId6"/>
    <sheet name="Lmag_hcmqap" sheetId="7" r:id="rId7"/>
    <sheet name="Result_HCMQAP" sheetId="8" r:id="rId8"/>
  </sheets>
  <definedNames>
    <definedName name="_xlnm.Print_Area" localSheetId="1">'HCMQAP033_pos1ap2'!$A$1:$N$28</definedName>
    <definedName name="_xlnm.Print_Area" localSheetId="2">'HCMQAP033_pos2ap2'!$A$1:$N$28</definedName>
    <definedName name="_xlnm.Print_Area" localSheetId="3">'HCMQAP033_pos3ap2'!$A$1:$N$28</definedName>
    <definedName name="_xlnm.Print_Area" localSheetId="4">'HCMQAP033_pos4ap2'!$A$1:$N$28</definedName>
    <definedName name="_xlnm.Print_Area" localSheetId="5">'HCMQAP033_pos5ap2'!$A$1:$N$28</definedName>
    <definedName name="_xlnm.Print_Area" localSheetId="6">'Lmag_hcmqap'!$A$1:$G$54</definedName>
  </definedNames>
  <calcPr fullCalcOnLoad="1"/>
</workbook>
</file>

<file path=xl/sharedStrings.xml><?xml version="1.0" encoding="utf-8"?>
<sst xmlns="http://schemas.openxmlformats.org/spreadsheetml/2006/main" count="493" uniqueCount="178">
  <si>
    <t>Bench Number</t>
  </si>
  <si>
    <t>Valeurs dipôlaires en Teslas (signal absolu mesuré par la bobine externe corrigé de la dérive de l'électronique)</t>
  </si>
  <si>
    <t>Magnet Name</t>
  </si>
  <si>
    <t>hcmqap033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</si>
  <si>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</si>
  <si>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</si>
  <si>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</si>
  <si>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</si>
  <si>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</si>
  <si>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</si>
  <si>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</si>
  <si>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</si>
  <si>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</si>
  <si>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</si>
  <si>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</si>
  <si>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</si>
  <si>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</si>
  <si>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</si>
  <si>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</si>
  <si>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</si>
  <si>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</si>
  <si>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</si>
  <si>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</si>
  <si>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</si>
  <si>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</si>
  <si>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</si>
  <si>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</si>
  <si>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</si>
  <si>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</si>
  <si>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</si>
  <si>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</si>
  <si>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</si>
  <si>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</si>
  <si>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</si>
  <si>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</si>
  <si>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</si>
  <si>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</si>
  <si>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</si>
  <si>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</si>
  <si>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</si>
  <si>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</si>
  <si>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</si>
  <si>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</si>
  <si>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</si>
  <si>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</si>
  <si>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</si>
  <si>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</si>
  <si>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</si>
  <si>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</si>
  <si>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</si>
  <si>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</si>
  <si>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</si>
  <si>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</si>
  <si>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</si>
  <si>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</si>
  <si>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</si>
  <si>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HCMQAP033_pos1ap2</t>
  </si>
  <si>
    <t>±12.5</t>
  </si>
  <si>
    <t>THCMQAP033_pos1ap2.xls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</si>
  <si>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</si>
  <si>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HCMQAP033_pos2ap2</t>
  </si>
  <si>
    <t>THCMQAP033_pos2ap2.xls</t>
  </si>
  <si>
    <t>HCMQAP033_pos3ap2</t>
  </si>
  <si>
    <t>THCMQAP033_pos3ap2.xls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</si>
  <si>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</si>
  <si>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HCMQAP033_pos4ap2</t>
  </si>
  <si>
    <t>THCMQAP033_pos4ap2.xls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</si>
  <si>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</si>
  <si>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t>HCMQAP033_pos5ap2</t>
  </si>
  <si>
    <t>THCMQAP033_pos5ap2.xls</t>
  </si>
  <si>
    <t>Sommaire : Valeurs intégrales calculées avec les fichiers: HCMQAP033_pos1ap2+HCMQAP033_pos2ap2+HCMQAP033_pos3ap2+HCMQAP033_pos4ap2+HCMQAP033_pos5ap2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</si>
  <si>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</si>
  <si>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</si>
  <si>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</si>
  <si>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</si>
  <si>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</si>
  <si>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</si>
  <si>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</si>
  <si>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</si>
  <si>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</si>
  <si>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</si>
  <si>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</si>
  <si>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</si>
  <si>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</si>
  <si>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</si>
  <si>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</si>
  <si>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</si>
  <si>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</si>
  <si>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</si>
  <si>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</si>
  <si>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</si>
  <si>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</si>
  <si>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</si>
  <si>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</si>
  <si>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</si>
  <si>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</si>
  <si>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</si>
  <si>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</si>
  <si>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</si>
  <si>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</si>
  <si>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</si>
  <si>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</si>
  <si>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</si>
  <si>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</si>
  <si>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</si>
  <si>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</si>
  <si>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</si>
  <si>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</si>
  <si>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</si>
  <si>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</si>
  <si>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</si>
  <si>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</si>
  <si>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</si>
  <si>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</si>
  <si>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</si>
  <si>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</si>
  <si>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Wed 09/04/2003       15:36:25</t>
  </si>
  <si>
    <t>LE NOA</t>
  </si>
  <si>
    <t>HCMQAP033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</si>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</sst>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dd/mm/yy"/>
    <numFmt numFmtId="179" formatCode="0.#"/>
    <numFmt numFmtId="180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3" fontId="2" fillId="0" borderId="3" xfId="0" applyNumberFormat="1" applyFont="1" applyFill="1" applyBorder="1" applyAlignment="1">
      <alignment horizontal="left"/>
    </xf>
    <xf numFmtId="173" fontId="2" fillId="0" borderId="4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173" fontId="2" fillId="0" borderId="8" xfId="0" applyNumberFormat="1" applyFont="1" applyFill="1" applyBorder="1" applyAlignment="1">
      <alignment horizontal="left"/>
    </xf>
    <xf numFmtId="173" fontId="2" fillId="0" borderId="9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173" fontId="2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left"/>
    </xf>
    <xf numFmtId="173" fontId="3" fillId="0" borderId="9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2" fillId="0" borderId="9" xfId="0" applyNumberFormat="1" applyFont="1" applyFill="1" applyBorder="1" applyAlignment="1">
      <alignment horizontal="left"/>
    </xf>
    <xf numFmtId="173" fontId="2" fillId="0" borderId="1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73" fontId="2" fillId="0" borderId="18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2" fillId="0" borderId="19" xfId="0" applyNumberFormat="1" applyFont="1" applyFill="1" applyBorder="1" applyAlignment="1">
      <alignment horizontal="center"/>
    </xf>
    <xf numFmtId="173" fontId="2" fillId="0" borderId="20" xfId="0" applyNumberFormat="1" applyFont="1" applyFill="1" applyBorder="1" applyAlignment="1">
      <alignment horizontal="center"/>
    </xf>
    <xf numFmtId="173" fontId="3" fillId="0" borderId="6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left"/>
    </xf>
    <xf numFmtId="173" fontId="2" fillId="0" borderId="6" xfId="0" applyNumberFormat="1" applyFont="1" applyFill="1" applyBorder="1" applyAlignment="1">
      <alignment horizontal="center"/>
    </xf>
    <xf numFmtId="175" fontId="2" fillId="0" borderId="7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2" fillId="2" borderId="11" xfId="0" applyNumberFormat="1" applyFont="1" applyFill="1" applyBorder="1" applyAlignment="1">
      <alignment horizontal="center"/>
    </xf>
    <xf numFmtId="173" fontId="2" fillId="2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left"/>
    </xf>
    <xf numFmtId="173" fontId="2" fillId="0" borderId="21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73" fontId="2" fillId="0" borderId="23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173" fontId="6" fillId="0" borderId="24" xfId="0" applyNumberFormat="1" applyFont="1" applyFill="1" applyBorder="1" applyAlignment="1">
      <alignment horizontal="left"/>
    </xf>
    <xf numFmtId="173" fontId="6" fillId="0" borderId="25" xfId="0" applyNumberFormat="1" applyFont="1" applyFill="1" applyBorder="1" applyAlignment="1">
      <alignment horizontal="left"/>
    </xf>
    <xf numFmtId="173" fontId="7" fillId="0" borderId="25" xfId="0" applyNumberFormat="1" applyFont="1" applyFill="1" applyBorder="1" applyAlignment="1">
      <alignment horizontal="left"/>
    </xf>
    <xf numFmtId="173" fontId="6" fillId="0" borderId="26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center"/>
    </xf>
    <xf numFmtId="173" fontId="6" fillId="0" borderId="29" xfId="0" applyNumberFormat="1" applyFont="1" applyFill="1" applyBorder="1" applyAlignment="1">
      <alignment horizontal="left"/>
    </xf>
    <xf numFmtId="173" fontId="6" fillId="0" borderId="30" xfId="0" applyNumberFormat="1" applyFont="1" applyFill="1" applyBorder="1" applyAlignment="1">
      <alignment horizontal="left"/>
    </xf>
    <xf numFmtId="173" fontId="6" fillId="0" borderId="31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center"/>
    </xf>
    <xf numFmtId="173" fontId="6" fillId="0" borderId="33" xfId="0" applyNumberFormat="1" applyFont="1" applyFill="1" applyBorder="1" applyAlignment="1">
      <alignment horizontal="left"/>
    </xf>
    <xf numFmtId="173" fontId="6" fillId="0" borderId="34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173" fontId="6" fillId="0" borderId="36" xfId="0" applyNumberFormat="1" applyFont="1" applyFill="1" applyBorder="1" applyAlignment="1">
      <alignment horizontal="left" vertical="center"/>
    </xf>
    <xf numFmtId="173" fontId="6" fillId="0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3" fontId="3" fillId="2" borderId="11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3" borderId="11" xfId="0" applyNumberFormat="1" applyFont="1" applyFill="1" applyBorder="1" applyAlignment="1">
      <alignment horizontal="center"/>
    </xf>
    <xf numFmtId="173" fontId="2" fillId="3" borderId="11" xfId="0" applyNumberFormat="1" applyFont="1" applyFill="1" applyBorder="1" applyAlignment="1">
      <alignment horizontal="center"/>
    </xf>
    <xf numFmtId="178" fontId="0" fillId="4" borderId="0" xfId="0" applyNumberFormat="1" applyFill="1" applyAlignment="1">
      <alignment horizontal="left"/>
    </xf>
    <xf numFmtId="179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180" fontId="3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2" borderId="11" xfId="0" applyNumberFormat="1" applyFont="1" applyFill="1" applyBorder="1" applyAlignment="1">
      <alignment horizontal="center"/>
    </xf>
    <xf numFmtId="180" fontId="2" fillId="0" borderId="38" xfId="0" applyNumberFormat="1" applyFont="1" applyFill="1" applyBorder="1" applyAlignment="1">
      <alignment horizontal="center"/>
    </xf>
    <xf numFmtId="180" fontId="0" fillId="0" borderId="39" xfId="0" applyNumberFormat="1" applyBorder="1" applyAlignment="1">
      <alignment horizontal="left"/>
    </xf>
    <xf numFmtId="180" fontId="0" fillId="0" borderId="4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39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180" fontId="0" fillId="0" borderId="43" xfId="0" applyNumberFormat="1" applyBorder="1" applyAlignment="1">
      <alignment horizontal="left"/>
    </xf>
    <xf numFmtId="180" fontId="0" fillId="0" borderId="16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80" fontId="0" fillId="0" borderId="45" xfId="0" applyNumberFormat="1" applyBorder="1" applyAlignment="1">
      <alignment horizontal="left"/>
    </xf>
    <xf numFmtId="180" fontId="0" fillId="0" borderId="10" xfId="0" applyNumberForma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2" borderId="10" xfId="0" applyNumberFormat="1" applyFont="1" applyFill="1" applyBorder="1" applyAlignment="1">
      <alignment horizontal="center"/>
    </xf>
    <xf numFmtId="180" fontId="2" fillId="0" borderId="46" xfId="0" applyNumberFormat="1" applyFont="1" applyFill="1" applyBorder="1" applyAlignment="1">
      <alignment horizontal="center"/>
    </xf>
    <xf numFmtId="180" fontId="0" fillId="0" borderId="45" xfId="0" applyNumberForma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80" fontId="3" fillId="0" borderId="51" xfId="0" applyNumberFormat="1" applyFont="1" applyFill="1" applyBorder="1" applyAlignment="1">
      <alignment horizontal="center"/>
    </xf>
    <xf numFmtId="180" fontId="3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54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55" xfId="0" applyNumberFormat="1" applyBorder="1" applyAlignment="1">
      <alignment horizontal="center"/>
    </xf>
    <xf numFmtId="180" fontId="3" fillId="0" borderId="56" xfId="0" applyNumberFormat="1" applyFont="1" applyFill="1" applyBorder="1" applyAlignment="1">
      <alignment horizontal="center"/>
    </xf>
    <xf numFmtId="180" fontId="2" fillId="2" borderId="16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0" fontId="3" fillId="2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3" fillId="3" borderId="16" xfId="0" applyNumberFormat="1" applyFont="1" applyFill="1" applyBorder="1" applyAlignment="1">
      <alignment horizontal="center"/>
    </xf>
    <xf numFmtId="180" fontId="2" fillId="3" borderId="16" xfId="0" applyNumberFormat="1" applyFont="1" applyFill="1" applyBorder="1" applyAlignment="1">
      <alignment horizontal="center"/>
    </xf>
    <xf numFmtId="180" fontId="2" fillId="0" borderId="57" xfId="0" applyNumberFormat="1" applyFont="1" applyFill="1" applyBorder="1" applyAlignment="1">
      <alignment horizontal="center"/>
    </xf>
    <xf numFmtId="180" fontId="0" fillId="0" borderId="58" xfId="0" applyNumberFormat="1" applyBorder="1" applyAlignment="1">
      <alignment horizontal="center"/>
    </xf>
    <xf numFmtId="180" fontId="0" fillId="0" borderId="59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180" fontId="10" fillId="0" borderId="60" xfId="0" applyNumberFormat="1" applyFont="1" applyBorder="1" applyAlignment="1">
      <alignment horizontal="center"/>
    </xf>
    <xf numFmtId="180" fontId="0" fillId="0" borderId="61" xfId="0" applyNumberFormat="1" applyBorder="1" applyAlignment="1">
      <alignment horizontal="center"/>
    </xf>
    <xf numFmtId="180" fontId="11" fillId="0" borderId="62" xfId="0" applyNumberFormat="1" applyFont="1" applyBorder="1" applyAlignment="1">
      <alignment horizontal="center"/>
    </xf>
    <xf numFmtId="180" fontId="11" fillId="0" borderId="63" xfId="0" applyNumberFormat="1" applyFont="1" applyBorder="1" applyAlignment="1">
      <alignment horizontal="center"/>
    </xf>
    <xf numFmtId="2" fontId="11" fillId="0" borderId="63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2" fillId="0" borderId="55" xfId="0" applyNumberFormat="1" applyFont="1" applyFill="1" applyBorder="1" applyAlignment="1">
      <alignment horizontal="center"/>
    </xf>
    <xf numFmtId="173" fontId="2" fillId="0" borderId="54" xfId="0" applyNumberFormat="1" applyFont="1" applyFill="1" applyBorder="1" applyAlignment="1">
      <alignment horizontal="center"/>
    </xf>
    <xf numFmtId="173" fontId="2" fillId="0" borderId="6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5110354"/>
        <c:crosses val="autoZero"/>
        <c:auto val="1"/>
        <c:lblOffset val="100"/>
        <c:noMultiLvlLbl val="0"/>
      </c:catAx>
      <c:valAx>
        <c:axId val="45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6645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6</xdr:col>
      <xdr:colOff>257175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0" y="5619750"/>
        <a:ext cx="49434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7"/>
  <sheetViews>
    <sheetView workbookViewId="0" topLeftCell="A1">
      <selection activeCell="A6" sqref="A6:IV6"/>
    </sheetView>
  </sheetViews>
  <sheetFormatPr defaultColWidth="9.33203125" defaultRowHeight="12.75"/>
  <cols>
    <col min="1" max="1" width="12" style="2" customWidth="1"/>
    <col min="2" max="3" width="12" style="3" customWidth="1"/>
    <col min="4" max="5" width="12" style="4" customWidth="1"/>
    <col min="6" max="7" width="12" style="5" customWidth="1"/>
    <col min="8" max="8" width="12" style="4" customWidth="1"/>
    <col min="9" max="9" width="12" style="1" customWidth="1"/>
    <col min="10" max="10" width="12" style="6" customWidth="1"/>
    <col min="11" max="11" width="12" style="1" customWidth="1"/>
    <col min="12" max="16384" width="12" style="0" customWidth="1"/>
  </cols>
  <sheetData>
    <row r="1" spans="1:22" ht="12.75">
      <c r="A1" s="2">
        <v>0</v>
      </c>
      <c r="B1" s="3">
        <v>0</v>
      </c>
      <c r="C1" s="3">
        <v>0</v>
      </c>
      <c r="D1" s="4">
        <v>0</v>
      </c>
      <c r="E1" s="4">
        <v>0</v>
      </c>
      <c r="F1" s="5">
        <v>0</v>
      </c>
      <c r="G1" s="5">
        <v>0</v>
      </c>
      <c r="H1" s="4">
        <v>0</v>
      </c>
      <c r="I1" s="1">
        <v>0</v>
      </c>
      <c r="J1" s="6">
        <v>0</v>
      </c>
      <c r="K1" s="5">
        <v>0</v>
      </c>
      <c r="L1">
        <v>0</v>
      </c>
      <c r="M1">
        <v>0</v>
      </c>
      <c r="N1">
        <v>6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</row>
    <row r="2" spans="1:10" s="88" customFormat="1" ht="12.75">
      <c r="A2" s="84">
        <v>44078</v>
      </c>
      <c r="B2" s="85">
        <v>80</v>
      </c>
      <c r="C2" s="85" t="s">
        <v>57</v>
      </c>
      <c r="D2" s="86">
        <v>5</v>
      </c>
      <c r="E2" s="86">
        <v>1</v>
      </c>
      <c r="F2" s="87"/>
      <c r="G2" s="87" t="s">
        <v>56</v>
      </c>
      <c r="H2" s="86">
        <v>1594</v>
      </c>
      <c r="I2" s="88" t="s">
        <v>58</v>
      </c>
      <c r="J2" s="89"/>
    </row>
    <row r="3" spans="1:10" s="88" customFormat="1" ht="12.75">
      <c r="A3" s="84">
        <v>44078</v>
      </c>
      <c r="B3" s="85">
        <v>80</v>
      </c>
      <c r="C3" s="85" t="s">
        <v>57</v>
      </c>
      <c r="D3" s="86">
        <v>5</v>
      </c>
      <c r="E3" s="86">
        <v>2</v>
      </c>
      <c r="F3" s="87"/>
      <c r="G3" s="87" t="s">
        <v>60</v>
      </c>
      <c r="H3" s="86">
        <v>1594</v>
      </c>
      <c r="I3" s="88" t="s">
        <v>61</v>
      </c>
      <c r="J3" s="89"/>
    </row>
    <row r="4" spans="1:10" s="88" customFormat="1" ht="12.75">
      <c r="A4" s="84">
        <v>44078</v>
      </c>
      <c r="B4" s="85">
        <v>80</v>
      </c>
      <c r="C4" s="85" t="s">
        <v>57</v>
      </c>
      <c r="D4" s="86">
        <v>5</v>
      </c>
      <c r="E4" s="86">
        <v>3</v>
      </c>
      <c r="F4" s="87"/>
      <c r="G4" s="87" t="s">
        <v>62</v>
      </c>
      <c r="H4" s="86">
        <v>1594</v>
      </c>
      <c r="I4" s="88" t="s">
        <v>63</v>
      </c>
      <c r="J4" s="89"/>
    </row>
    <row r="5" spans="1:14" s="88" customFormat="1" ht="12.75">
      <c r="A5" s="84">
        <v>44078</v>
      </c>
      <c r="B5" s="85">
        <v>80</v>
      </c>
      <c r="C5" s="85" t="s">
        <v>57</v>
      </c>
      <c r="D5" s="86">
        <v>5</v>
      </c>
      <c r="E5" s="86">
        <v>4</v>
      </c>
      <c r="F5" s="87"/>
      <c r="G5" s="87" t="s">
        <v>65</v>
      </c>
      <c r="H5" s="86">
        <v>1594</v>
      </c>
      <c r="I5" s="88" t="s">
        <v>66</v>
      </c>
      <c r="J5" s="89"/>
      <c r="N5" s="90"/>
    </row>
    <row r="6" spans="1:10" s="88" customFormat="1" ht="12.75">
      <c r="A6" s="84">
        <v>44078</v>
      </c>
      <c r="B6" s="85">
        <v>80</v>
      </c>
      <c r="C6" s="85" t="s">
        <v>57</v>
      </c>
      <c r="D6" s="86">
        <v>5</v>
      </c>
      <c r="E6" s="86">
        <v>5</v>
      </c>
      <c r="F6" s="87"/>
      <c r="G6" s="87" t="s">
        <v>68</v>
      </c>
      <c r="H6" s="86">
        <v>1594</v>
      </c>
      <c r="I6" s="88" t="s">
        <v>69</v>
      </c>
      <c r="J6" s="89"/>
    </row>
    <row r="7" spans="1:10" s="88" customFormat="1" ht="12.75">
      <c r="A7" s="84" t="s">
        <v>70</v>
      </c>
      <c r="B7" s="85"/>
      <c r="C7" s="85"/>
      <c r="D7" s="86"/>
      <c r="E7" s="86"/>
      <c r="F7" s="87"/>
      <c r="G7" s="87"/>
      <c r="H7" s="86"/>
      <c r="J7" s="8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7.1478139999999995E-06</v>
      </c>
      <c r="L2" s="18">
        <v>1.8406580647695132E-07</v>
      </c>
      <c r="M2" s="18">
        <v>0.00013759717000000002</v>
      </c>
      <c r="N2" s="19">
        <v>1.6701122298014483E-07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-3.1916118E-05</v>
      </c>
      <c r="L3" s="18">
        <v>9.462686852137291E-08</v>
      </c>
      <c r="M3" s="18">
        <v>1.5353290000000004E-05</v>
      </c>
      <c r="N3" s="19">
        <v>7.931425722993572E-08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-0.002254397850753852</v>
      </c>
      <c r="L4" s="18">
        <v>-2.887538138788943E-06</v>
      </c>
      <c r="M4" s="18">
        <v>8.302144616944504E-08</v>
      </c>
      <c r="N4" s="19">
        <v>0.6404230200000001</v>
      </c>
    </row>
    <row r="5" spans="1:14" ht="15" customHeight="1" thickBot="1">
      <c r="A5" t="s">
        <v>6</v>
      </c>
      <c r="B5" s="22">
        <v>37720.62829861111</v>
      </c>
      <c r="D5" s="23"/>
      <c r="E5" s="24" t="s">
        <v>43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1594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4" t="s">
        <v>12</v>
      </c>
      <c r="J7" s="145"/>
      <c r="K7" s="144" t="s">
        <v>13</v>
      </c>
      <c r="L7" s="145"/>
      <c r="M7" s="144" t="s">
        <v>14</v>
      </c>
      <c r="N7" s="146"/>
    </row>
    <row r="8" spans="1:14" ht="15" customHeight="1">
      <c r="A8" s="20" t="s">
        <v>15</v>
      </c>
      <c r="B8" s="35" t="s">
        <v>16</v>
      </c>
      <c r="D8" s="40">
        <v>-0.47025156</v>
      </c>
      <c r="E8" s="41">
        <v>0.01651660240029571</v>
      </c>
      <c r="F8" s="41">
        <v>3.7229654999999995</v>
      </c>
      <c r="G8" s="41">
        <v>0.01832442609476698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-0.54247549</v>
      </c>
      <c r="E9" s="43">
        <v>0.020985793361184727</v>
      </c>
      <c r="F9" s="43">
        <v>1.7695172</v>
      </c>
      <c r="G9" s="43">
        <v>0.022116082769330577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0.09569580100000001</v>
      </c>
      <c r="E10" s="43">
        <v>0.011801981888483453</v>
      </c>
      <c r="F10" s="43">
        <v>-1.5649861999999999</v>
      </c>
      <c r="G10" s="43">
        <v>0.01287084957413499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1</v>
      </c>
      <c r="D11" s="40">
        <v>4.151158499999999</v>
      </c>
      <c r="E11" s="41">
        <v>0.006769834680547224</v>
      </c>
      <c r="F11" s="41">
        <v>0.58103328</v>
      </c>
      <c r="G11" s="41">
        <v>0.013856698580204193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7">
        <v>0.7499</v>
      </c>
      <c r="D12" s="46">
        <v>0.051474706999999995</v>
      </c>
      <c r="E12" s="43">
        <v>0.005331063873251363</v>
      </c>
      <c r="F12" s="43">
        <v>0.25790835999999995</v>
      </c>
      <c r="G12" s="43">
        <v>0.006348692812808609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21.969605</v>
      </c>
      <c r="D13" s="46">
        <v>0.2698924</v>
      </c>
      <c r="E13" s="43">
        <v>0.003615061056608584</v>
      </c>
      <c r="F13" s="43">
        <v>0.038462315000000004</v>
      </c>
      <c r="G13" s="43">
        <v>0.004137898984599534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8">
        <v>12.5</v>
      </c>
      <c r="D14" s="46">
        <v>0.067719025</v>
      </c>
      <c r="E14" s="43">
        <v>0.002910140301265567</v>
      </c>
      <c r="F14" s="49">
        <v>0.49634616</v>
      </c>
      <c r="G14" s="43">
        <v>0.002068012297695378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-0.42733735</v>
      </c>
      <c r="E15" s="41">
        <v>0.0016992374657343974</v>
      </c>
      <c r="F15" s="41">
        <v>0.068013298</v>
      </c>
      <c r="G15" s="41">
        <v>0.002417975330290934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-0.03581888600000001</v>
      </c>
      <c r="E16" s="43">
        <v>0.002267215232465551</v>
      </c>
      <c r="F16" s="43">
        <v>-0.100388684</v>
      </c>
      <c r="G16" s="43">
        <v>0.0045774802587095235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-0.32199999690055847</v>
      </c>
      <c r="D17" s="50">
        <v>0.19079548000000002</v>
      </c>
      <c r="E17" s="43">
        <v>0.0019490478030567348</v>
      </c>
      <c r="F17" s="43">
        <v>-0.0362425018</v>
      </c>
      <c r="G17" s="43">
        <v>0.0035805794389725514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41.707000732421875</v>
      </c>
      <c r="D18" s="46">
        <v>0.0238484586</v>
      </c>
      <c r="E18" s="43">
        <v>0.0007032754879717231</v>
      </c>
      <c r="F18" s="49">
        <v>0.19759382</v>
      </c>
      <c r="G18" s="43">
        <v>0.001819170114531008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-0.41200000047683716</v>
      </c>
      <c r="D19" s="50">
        <v>-0.18643132</v>
      </c>
      <c r="E19" s="43">
        <v>0.0026354977282494396</v>
      </c>
      <c r="F19" s="43">
        <v>0.00156803625</v>
      </c>
      <c r="G19" s="43">
        <v>0.0014224769875575492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0.0552627</v>
      </c>
      <c r="D20" s="52">
        <v>0.0028076363</v>
      </c>
      <c r="E20" s="53">
        <v>0.0010162963807523176</v>
      </c>
      <c r="F20" s="53">
        <v>-0.0018950631999999999</v>
      </c>
      <c r="G20" s="53">
        <v>0.0010625283063597935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1.0375077999999998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0.036693567142752556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-2.2543997</v>
      </c>
      <c r="I25" s="66" t="s">
        <v>53</v>
      </c>
      <c r="J25" s="67"/>
      <c r="K25" s="66"/>
      <c r="L25" s="69">
        <v>4.191624573430904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3.752546954252895</v>
      </c>
      <c r="I26" s="71" t="s">
        <v>55</v>
      </c>
      <c r="J26" s="72"/>
      <c r="K26" s="71"/>
      <c r="L26" s="74">
        <v>0.4327158645229677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HCMQAP033_pos1ap2res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4.3239888E-05</v>
      </c>
      <c r="L2" s="18">
        <v>1.8787476173219938E-07</v>
      </c>
      <c r="M2" s="18">
        <v>0.00016935771</v>
      </c>
      <c r="N2" s="19">
        <v>1.0016607411360234E-07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-2.9164895999999998E-05</v>
      </c>
      <c r="L3" s="18">
        <v>1.3463287623778874E-07</v>
      </c>
      <c r="M3" s="18">
        <v>1.3476929999999998E-05</v>
      </c>
      <c r="N3" s="19">
        <v>1.1644064410679951E-07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-0.003761871287525396</v>
      </c>
      <c r="L4" s="18">
        <v>2.7183359289727036E-05</v>
      </c>
      <c r="M4" s="18">
        <v>6.152316152512564E-08</v>
      </c>
      <c r="N4" s="19">
        <v>-3.6129474000000004</v>
      </c>
    </row>
    <row r="5" spans="1:14" ht="15" customHeight="1" thickBot="1">
      <c r="A5" t="s">
        <v>6</v>
      </c>
      <c r="B5" s="22">
        <v>37720.63311342592</v>
      </c>
      <c r="D5" s="23"/>
      <c r="E5" s="24" t="s">
        <v>59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1594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4" t="s">
        <v>12</v>
      </c>
      <c r="J7" s="145"/>
      <c r="K7" s="144" t="s">
        <v>13</v>
      </c>
      <c r="L7" s="145"/>
      <c r="M7" s="144" t="s">
        <v>14</v>
      </c>
      <c r="N7" s="146"/>
    </row>
    <row r="8" spans="1:14" ht="15" customHeight="1">
      <c r="A8" s="20" t="s">
        <v>15</v>
      </c>
      <c r="B8" s="35" t="s">
        <v>16</v>
      </c>
      <c r="D8" s="40">
        <v>-0.61880784</v>
      </c>
      <c r="E8" s="41">
        <v>0.01130864411144976</v>
      </c>
      <c r="F8" s="41">
        <v>2.6207997</v>
      </c>
      <c r="G8" s="41">
        <v>0.00890935791509668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-0.04805471</v>
      </c>
      <c r="E9" s="43">
        <v>0.019633672013212405</v>
      </c>
      <c r="F9" s="43">
        <v>1.2597078</v>
      </c>
      <c r="G9" s="43">
        <v>0.010744687341192794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-0.03732035400000001</v>
      </c>
      <c r="E10" s="43">
        <v>0.005836509097794175</v>
      </c>
      <c r="F10" s="43">
        <v>-0.65450004</v>
      </c>
      <c r="G10" s="43">
        <v>0.009220345932629553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2</v>
      </c>
      <c r="D11" s="40">
        <v>4.287045</v>
      </c>
      <c r="E11" s="41">
        <v>0.0035165500560822333</v>
      </c>
      <c r="F11" s="41">
        <v>0.07669186400000001</v>
      </c>
      <c r="G11" s="41">
        <v>0.006546938558027192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7">
        <v>0.7499</v>
      </c>
      <c r="D12" s="46">
        <v>0.24679362999999999</v>
      </c>
      <c r="E12" s="43">
        <v>0.005468443469088136</v>
      </c>
      <c r="F12" s="43">
        <v>0.20714374000000002</v>
      </c>
      <c r="G12" s="43">
        <v>0.0020915331791269546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21.957398</v>
      </c>
      <c r="D13" s="46">
        <v>-0.15042561999999998</v>
      </c>
      <c r="E13" s="43">
        <v>0.003417578012657873</v>
      </c>
      <c r="F13" s="49">
        <v>0.47171548999999996</v>
      </c>
      <c r="G13" s="43">
        <v>0.0032658338101335714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8">
        <v>12.5</v>
      </c>
      <c r="D14" s="46">
        <v>-0.0241291829</v>
      </c>
      <c r="E14" s="43">
        <v>0.0016126343155786478</v>
      </c>
      <c r="F14" s="43">
        <v>0.039214559</v>
      </c>
      <c r="G14" s="43">
        <v>0.0019497618675658045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-0.15243077</v>
      </c>
      <c r="E15" s="41">
        <v>0.0026492671091457778</v>
      </c>
      <c r="F15" s="41">
        <v>-0.0139995855</v>
      </c>
      <c r="G15" s="41">
        <v>0.002422113722879094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0.05140670799999999</v>
      </c>
      <c r="E16" s="43">
        <v>0.0012450275222329256</v>
      </c>
      <c r="F16" s="43">
        <v>-0.058247065</v>
      </c>
      <c r="G16" s="43">
        <v>0.0006040227168991103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0.3720000088214874</v>
      </c>
      <c r="D17" s="46">
        <v>0.068864943</v>
      </c>
      <c r="E17" s="43">
        <v>0.0009811428719892763</v>
      </c>
      <c r="F17" s="43">
        <v>0.00578125</v>
      </c>
      <c r="G17" s="43">
        <v>0.0008523651525490737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9.154999732971191</v>
      </c>
      <c r="D18" s="46">
        <v>0.037841392</v>
      </c>
      <c r="E18" s="43">
        <v>0.0012447509198493698</v>
      </c>
      <c r="F18" s="43">
        <v>0.11616173999999999</v>
      </c>
      <c r="G18" s="43">
        <v>0.0017844572125441172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0.2029999941587448</v>
      </c>
      <c r="D19" s="50">
        <v>-0.16743214999999997</v>
      </c>
      <c r="E19" s="43">
        <v>0.0019022178855239496</v>
      </c>
      <c r="F19" s="43">
        <v>0.00254811903</v>
      </c>
      <c r="G19" s="43">
        <v>0.0018026512660024073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0.1898717</v>
      </c>
      <c r="D20" s="52">
        <v>-0.0013251032000000003</v>
      </c>
      <c r="E20" s="53">
        <v>0.0009704475499360901</v>
      </c>
      <c r="F20" s="53">
        <v>-0.000351946312</v>
      </c>
      <c r="G20" s="53">
        <v>0.0010074357386064294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0.7666988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-0.20700681247393837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-3.7619695</v>
      </c>
      <c r="I25" s="66" t="s">
        <v>53</v>
      </c>
      <c r="J25" s="67"/>
      <c r="K25" s="66"/>
      <c r="L25" s="69">
        <v>4.287730923697147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2.692863570693019</v>
      </c>
      <c r="I26" s="71" t="s">
        <v>55</v>
      </c>
      <c r="J26" s="72"/>
      <c r="K26" s="71"/>
      <c r="L26" s="74">
        <v>0.15307229676517142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HCMQAP033_pos2ap2res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8.7309E-06</v>
      </c>
      <c r="L2" s="18">
        <v>1.7324684730175884E-07</v>
      </c>
      <c r="M2" s="18">
        <v>0.00014471891</v>
      </c>
      <c r="N2" s="19">
        <v>2.1438157196972734E-07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-2.781568E-05</v>
      </c>
      <c r="L3" s="18">
        <v>1.0892042893835319E-07</v>
      </c>
      <c r="M3" s="18">
        <v>1.1194930000000002E-05</v>
      </c>
      <c r="N3" s="19">
        <v>1.2556068492963003E-07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-0.0037619122312149227</v>
      </c>
      <c r="L4" s="18">
        <v>4.553468023828365E-05</v>
      </c>
      <c r="M4" s="18">
        <v>1.200056479592554E-07</v>
      </c>
      <c r="N4" s="19">
        <v>-6.0517702</v>
      </c>
    </row>
    <row r="5" spans="1:14" ht="15" customHeight="1" thickBot="1">
      <c r="A5" t="s">
        <v>6</v>
      </c>
      <c r="B5" s="22">
        <v>37720.637650462966</v>
      </c>
      <c r="D5" s="23"/>
      <c r="E5" s="24" t="s">
        <v>59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1594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4" t="s">
        <v>12</v>
      </c>
      <c r="J7" s="145"/>
      <c r="K7" s="144" t="s">
        <v>13</v>
      </c>
      <c r="L7" s="145"/>
      <c r="M7" s="144" t="s">
        <v>14</v>
      </c>
      <c r="N7" s="146"/>
    </row>
    <row r="8" spans="1:14" ht="15" customHeight="1">
      <c r="A8" s="20" t="s">
        <v>15</v>
      </c>
      <c r="B8" s="35" t="s">
        <v>16</v>
      </c>
      <c r="D8" s="40">
        <v>-1.6057161</v>
      </c>
      <c r="E8" s="41">
        <v>0.012650405204556913</v>
      </c>
      <c r="F8" s="41">
        <v>2.1366190000000005</v>
      </c>
      <c r="G8" s="41">
        <v>0.010972411425840864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0.0950175065</v>
      </c>
      <c r="E9" s="43">
        <v>0.015991698531307857</v>
      </c>
      <c r="F9" s="43">
        <v>1.1096145</v>
      </c>
      <c r="G9" s="43">
        <v>0.028204883118001473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0.9734387700000001</v>
      </c>
      <c r="E10" s="43">
        <v>0.00465622753958361</v>
      </c>
      <c r="F10" s="43">
        <v>-0.7924457200000001</v>
      </c>
      <c r="G10" s="43">
        <v>0.0073231735659777825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3</v>
      </c>
      <c r="D11" s="40">
        <v>4.1189874</v>
      </c>
      <c r="E11" s="41">
        <v>0.004236798913688042</v>
      </c>
      <c r="F11" s="41">
        <v>0.26935456</v>
      </c>
      <c r="G11" s="41">
        <v>0.006375771448097889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7">
        <v>0.7499</v>
      </c>
      <c r="D12" s="46">
        <v>0.17300805000000002</v>
      </c>
      <c r="E12" s="43">
        <v>0.000851670285379649</v>
      </c>
      <c r="F12" s="43">
        <v>0.045192146</v>
      </c>
      <c r="G12" s="43">
        <v>0.004811206160773436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22.009278</v>
      </c>
      <c r="D13" s="46">
        <v>-0.024884642999999998</v>
      </c>
      <c r="E13" s="43">
        <v>0.00273422951172101</v>
      </c>
      <c r="F13" s="43">
        <v>0.23601988000000002</v>
      </c>
      <c r="G13" s="43">
        <v>0.0016623305939560454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8">
        <v>12.5</v>
      </c>
      <c r="D14" s="46">
        <v>0.04253491399999999</v>
      </c>
      <c r="E14" s="43">
        <v>0.001076642789932745</v>
      </c>
      <c r="F14" s="43">
        <v>-0.0298153215</v>
      </c>
      <c r="G14" s="43">
        <v>0.0019158739203178536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-0.086813632</v>
      </c>
      <c r="E15" s="41">
        <v>0.001969071059255173</v>
      </c>
      <c r="F15" s="41">
        <v>-0.02154373519</v>
      </c>
      <c r="G15" s="41">
        <v>0.002302025794680962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0.0192304783</v>
      </c>
      <c r="E16" s="43">
        <v>0.0025010793117857936</v>
      </c>
      <c r="F16" s="43">
        <v>-0.038666605</v>
      </c>
      <c r="G16" s="43">
        <v>0.001531904760509041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-0.38199999928474426</v>
      </c>
      <c r="D17" s="46">
        <v>0.060275901</v>
      </c>
      <c r="E17" s="43">
        <v>0.0006252885900562283</v>
      </c>
      <c r="F17" s="43">
        <v>0.015581758670000001</v>
      </c>
      <c r="G17" s="43">
        <v>0.0018183313674268939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22.88800048828125</v>
      </c>
      <c r="D18" s="46">
        <v>0.0037325347999999994</v>
      </c>
      <c r="E18" s="43">
        <v>0.0007220639915298811</v>
      </c>
      <c r="F18" s="43">
        <v>0.101573761</v>
      </c>
      <c r="G18" s="43">
        <v>0.0011715872101109687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-0.45399999618530273</v>
      </c>
      <c r="D19" s="50">
        <v>-0.16843875</v>
      </c>
      <c r="E19" s="43">
        <v>0.0013570659873407102</v>
      </c>
      <c r="F19" s="43">
        <v>0.005206103200000001</v>
      </c>
      <c r="G19" s="43">
        <v>0.0007826004646800649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0.0315349</v>
      </c>
      <c r="D20" s="52">
        <v>-0.0030391576999999996</v>
      </c>
      <c r="E20" s="53">
        <v>0.0004978374954906081</v>
      </c>
      <c r="F20" s="53">
        <v>0.00257230683</v>
      </c>
      <c r="G20" s="53">
        <v>0.0006483882494869915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0.6543604000000001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-0.3467411839227907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-3.7621878000000004</v>
      </c>
      <c r="I25" s="66" t="s">
        <v>53</v>
      </c>
      <c r="J25" s="67"/>
      <c r="K25" s="66"/>
      <c r="L25" s="69">
        <v>4.127785008978974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2.6727261260668316</v>
      </c>
      <c r="I26" s="71" t="s">
        <v>55</v>
      </c>
      <c r="J26" s="72"/>
      <c r="K26" s="71"/>
      <c r="L26" s="74">
        <v>0.0894468514089136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7.705818600000001E-05</v>
      </c>
      <c r="L2" s="18">
        <v>1.4252056066295038E-07</v>
      </c>
      <c r="M2" s="18">
        <v>0.00014757405999999998</v>
      </c>
      <c r="N2" s="19">
        <v>1.8442100043894037E-07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-2.8196874000000003E-05</v>
      </c>
      <c r="L3" s="18">
        <v>1.437772900490583E-07</v>
      </c>
      <c r="M3" s="18">
        <v>1.0339980000000001E-05</v>
      </c>
      <c r="N3" s="19">
        <v>9.903865205050988E-08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-0.0037635191710996053</v>
      </c>
      <c r="L4" s="18">
        <v>6.201039965795755E-05</v>
      </c>
      <c r="M4" s="18">
        <v>7.042087430063719E-08</v>
      </c>
      <c r="N4" s="19">
        <v>-8.2376077</v>
      </c>
    </row>
    <row r="5" spans="1:14" ht="15" customHeight="1" thickBot="1">
      <c r="A5" t="s">
        <v>6</v>
      </c>
      <c r="B5" s="22">
        <v>37720.64221064815</v>
      </c>
      <c r="D5" s="23"/>
      <c r="E5" s="24" t="s">
        <v>64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1594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4" t="s">
        <v>12</v>
      </c>
      <c r="J7" s="145"/>
      <c r="K7" s="144" t="s">
        <v>13</v>
      </c>
      <c r="L7" s="145"/>
      <c r="M7" s="144" t="s">
        <v>14</v>
      </c>
      <c r="N7" s="146"/>
    </row>
    <row r="8" spans="1:14" ht="15" customHeight="1">
      <c r="A8" s="20" t="s">
        <v>15</v>
      </c>
      <c r="B8" s="35" t="s">
        <v>16</v>
      </c>
      <c r="D8" s="40">
        <v>-3.7472296</v>
      </c>
      <c r="E8" s="41">
        <v>0.005573758259631899</v>
      </c>
      <c r="F8" s="41">
        <v>2.2673704999999997</v>
      </c>
      <c r="G8" s="41">
        <v>0.015523000853608786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-0.143168935</v>
      </c>
      <c r="E9" s="43">
        <v>0.020212986831366447</v>
      </c>
      <c r="F9" s="43">
        <v>-0.22657548</v>
      </c>
      <c r="G9" s="43">
        <v>0.019902453069222573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0.60283999</v>
      </c>
      <c r="E10" s="43">
        <v>0.007746064921454631</v>
      </c>
      <c r="F10" s="43">
        <v>-0.7622810999999998</v>
      </c>
      <c r="G10" s="43">
        <v>0.003776828988999647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4</v>
      </c>
      <c r="D11" s="40">
        <v>4.177606600000001</v>
      </c>
      <c r="E11" s="41">
        <v>0.007198431178797027</v>
      </c>
      <c r="F11" s="41">
        <v>-0.15367466999999999</v>
      </c>
      <c r="G11" s="41">
        <v>0.005935885432738517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7">
        <v>0.7499</v>
      </c>
      <c r="D12" s="46">
        <v>0.00559021</v>
      </c>
      <c r="E12" s="43">
        <v>0.004935087908046827</v>
      </c>
      <c r="F12" s="43">
        <v>0.0052286319999999996</v>
      </c>
      <c r="G12" s="43">
        <v>0.0025077410948612703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22.100831</v>
      </c>
      <c r="D13" s="46">
        <v>0.065503287</v>
      </c>
      <c r="E13" s="43">
        <v>0.0026159291509267</v>
      </c>
      <c r="F13" s="43">
        <v>0.27562702</v>
      </c>
      <c r="G13" s="43">
        <v>0.0017563211333967228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8">
        <v>12.5</v>
      </c>
      <c r="D14" s="46">
        <v>0.064914175</v>
      </c>
      <c r="E14" s="43">
        <v>0.0021066238970065226</v>
      </c>
      <c r="F14" s="43">
        <v>0.057475839999999986</v>
      </c>
      <c r="G14" s="43">
        <v>0.004314775396450081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-0.05780079899999999</v>
      </c>
      <c r="E15" s="41">
        <v>0.0016900692235364255</v>
      </c>
      <c r="F15" s="41">
        <v>-0.0039654497</v>
      </c>
      <c r="G15" s="41">
        <v>0.0019350641333799167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0.007501782</v>
      </c>
      <c r="E16" s="43">
        <v>0.002128756682189393</v>
      </c>
      <c r="F16" s="43">
        <v>-0.0168459381</v>
      </c>
      <c r="G16" s="43">
        <v>0.0015422994514808026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0.40400001406669617</v>
      </c>
      <c r="D17" s="46">
        <v>0.04823487</v>
      </c>
      <c r="E17" s="43">
        <v>0.001285756673640017</v>
      </c>
      <c r="F17" s="43">
        <v>-0.035132848</v>
      </c>
      <c r="G17" s="43">
        <v>0.0010187950664220877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7.629000186920166</v>
      </c>
      <c r="D18" s="46">
        <v>0.06047874200000001</v>
      </c>
      <c r="E18" s="43">
        <v>0.0009776704351747642</v>
      </c>
      <c r="F18" s="43">
        <v>0.11597309</v>
      </c>
      <c r="G18" s="43">
        <v>0.001594231620688104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0.26499998569488525</v>
      </c>
      <c r="D19" s="50">
        <v>-0.17791283</v>
      </c>
      <c r="E19" s="43">
        <v>0.000870064403711364</v>
      </c>
      <c r="F19" s="43">
        <v>0.0018183655700000003</v>
      </c>
      <c r="G19" s="43">
        <v>0.0007961760835204225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0.33698690000000003</v>
      </c>
      <c r="D20" s="52">
        <v>-0.0032169039100000004</v>
      </c>
      <c r="E20" s="53">
        <v>0.0010042852410268512</v>
      </c>
      <c r="F20" s="53">
        <v>0.0032953232800000004</v>
      </c>
      <c r="G20" s="53">
        <v>0.0010121901563232337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0.6721532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-0.4719805531593874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-3.7640300000000004</v>
      </c>
      <c r="I25" s="66" t="s">
        <v>53</v>
      </c>
      <c r="J25" s="67"/>
      <c r="K25" s="66"/>
      <c r="L25" s="69">
        <v>4.180432131797283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4.379805778728825</v>
      </c>
      <c r="I26" s="71" t="s">
        <v>55</v>
      </c>
      <c r="J26" s="72"/>
      <c r="K26" s="71"/>
      <c r="L26" s="74">
        <v>0.05793666504349064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HCMQAP033_pos4ap2res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4.4452359999999995E-06</v>
      </c>
      <c r="L2" s="18">
        <v>5.916151417974337E-07</v>
      </c>
      <c r="M2" s="18">
        <v>0.00012816593</v>
      </c>
      <c r="N2" s="19">
        <v>4.4339992850726836E-07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-3.0161192000000003E-05</v>
      </c>
      <c r="L3" s="18">
        <v>2.1722988637817962E-07</v>
      </c>
      <c r="M3" s="18">
        <v>1.0272489999999998E-05</v>
      </c>
      <c r="N3" s="19">
        <v>1.623060424013864E-07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-0.0020941774391492717</v>
      </c>
      <c r="L4" s="18">
        <v>3.3301388845492635E-05</v>
      </c>
      <c r="M4" s="18">
        <v>3.814393453874746E-08</v>
      </c>
      <c r="N4" s="19">
        <v>-7.9502771999999995</v>
      </c>
    </row>
    <row r="5" spans="1:14" ht="15" customHeight="1" thickBot="1">
      <c r="A5" t="s">
        <v>6</v>
      </c>
      <c r="B5" s="22">
        <v>37720.64675925926</v>
      </c>
      <c r="D5" s="23"/>
      <c r="E5" s="24" t="s">
        <v>67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1594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4" t="s">
        <v>12</v>
      </c>
      <c r="J7" s="145"/>
      <c r="K7" s="144" t="s">
        <v>13</v>
      </c>
      <c r="L7" s="145"/>
      <c r="M7" s="144" t="s">
        <v>14</v>
      </c>
      <c r="N7" s="146"/>
    </row>
    <row r="8" spans="1:14" ht="15" customHeight="1">
      <c r="A8" s="20" t="s">
        <v>15</v>
      </c>
      <c r="B8" s="35" t="s">
        <v>16</v>
      </c>
      <c r="D8" s="40">
        <v>-4.537222900000001</v>
      </c>
      <c r="E8" s="41">
        <v>0.021353342638464272</v>
      </c>
      <c r="F8" s="80">
        <v>10.0099344</v>
      </c>
      <c r="G8" s="41">
        <v>0.017749184641403626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50">
        <v>-3.5916737999999997</v>
      </c>
      <c r="E9" s="43">
        <v>0.03600990589911435</v>
      </c>
      <c r="F9" s="43">
        <v>1.11793713</v>
      </c>
      <c r="G9" s="43">
        <v>0.019068782084385335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1.1665791634</v>
      </c>
      <c r="E10" s="43">
        <v>0.042124429728521255</v>
      </c>
      <c r="F10" s="49">
        <v>-9.382681700000001</v>
      </c>
      <c r="G10" s="43">
        <v>0.031657304684384505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5</v>
      </c>
      <c r="D11" s="81">
        <v>14.671873999999999</v>
      </c>
      <c r="E11" s="41">
        <v>0.006158956409429332</v>
      </c>
      <c r="F11" s="82">
        <v>1.8080224</v>
      </c>
      <c r="G11" s="41">
        <v>0.011406679768396124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7">
        <v>0.7499</v>
      </c>
      <c r="D12" s="46">
        <v>-0.30078733</v>
      </c>
      <c r="E12" s="43">
        <v>0.006418188278213912</v>
      </c>
      <c r="F12" s="43">
        <v>0.29982728999999997</v>
      </c>
      <c r="G12" s="43">
        <v>0.007146222797143037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22.20459</v>
      </c>
      <c r="D13" s="46">
        <v>0.125723127</v>
      </c>
      <c r="E13" s="43">
        <v>0.009336743861899411</v>
      </c>
      <c r="F13" s="43">
        <v>0.19734186999999997</v>
      </c>
      <c r="G13" s="43">
        <v>0.007437414441767124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8">
        <v>12.5</v>
      </c>
      <c r="D14" s="46">
        <v>0.120289599</v>
      </c>
      <c r="E14" s="43">
        <v>0.0015659707546439208</v>
      </c>
      <c r="F14" s="83">
        <v>0.39644769</v>
      </c>
      <c r="G14" s="43">
        <v>0.003973260226615026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-0.35462212000000004</v>
      </c>
      <c r="E15" s="41">
        <v>0.004323078167647515</v>
      </c>
      <c r="F15" s="41">
        <v>0.06576065</v>
      </c>
      <c r="G15" s="41">
        <v>0.003595021945118081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0.030915012</v>
      </c>
      <c r="E16" s="43">
        <v>0.003371982348347254</v>
      </c>
      <c r="F16" s="43">
        <v>-0.029793119999999996</v>
      </c>
      <c r="G16" s="43">
        <v>0.004693588443226592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-0.12700000405311584</v>
      </c>
      <c r="D17" s="46">
        <v>0.09722019500000001</v>
      </c>
      <c r="E17" s="43">
        <v>0.004287308402532981</v>
      </c>
      <c r="F17" s="43">
        <v>0.050680216</v>
      </c>
      <c r="G17" s="43">
        <v>0.0012837972600199658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146.9929962158203</v>
      </c>
      <c r="D18" s="46">
        <v>-0.037554147999999996</v>
      </c>
      <c r="E18" s="43">
        <v>0.0022023483841723227</v>
      </c>
      <c r="F18" s="43">
        <v>0.11465467</v>
      </c>
      <c r="G18" s="43">
        <v>0.0009930515840561778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-0.3840000033378601</v>
      </c>
      <c r="D19" s="46">
        <v>-0.12862629</v>
      </c>
      <c r="E19" s="43">
        <v>0.0026820132515329963</v>
      </c>
      <c r="F19" s="43">
        <v>-0.032536696</v>
      </c>
      <c r="G19" s="43">
        <v>0.001454847126674849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0.019482</v>
      </c>
      <c r="D20" s="52">
        <v>-0.00199847879</v>
      </c>
      <c r="E20" s="53">
        <v>0.000277609276814351</v>
      </c>
      <c r="F20" s="53">
        <v>0.005744073000000001</v>
      </c>
      <c r="G20" s="53">
        <v>0.0005669741323502272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1.0407363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-0.4555177142784386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-2.0944422</v>
      </c>
      <c r="I25" s="66" t="s">
        <v>53</v>
      </c>
      <c r="J25" s="67"/>
      <c r="K25" s="66"/>
      <c r="L25" s="69">
        <v>14.782856005210148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10.990231041092256</v>
      </c>
      <c r="I26" s="71" t="s">
        <v>55</v>
      </c>
      <c r="J26" s="72"/>
      <c r="K26" s="71"/>
      <c r="L26" s="74">
        <v>0.36066786810265883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HCMQAP033_pos5ap2res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13" t="s">
        <v>107</v>
      </c>
      <c r="B1" s="105" t="s">
        <v>56</v>
      </c>
      <c r="C1" s="95" t="s">
        <v>60</v>
      </c>
      <c r="D1" s="95" t="s">
        <v>62</v>
      </c>
      <c r="E1" s="95" t="s">
        <v>65</v>
      </c>
      <c r="F1" s="102" t="s">
        <v>68</v>
      </c>
      <c r="G1" s="139" t="s">
        <v>108</v>
      </c>
    </row>
    <row r="2" spans="1:7" ht="13.5" thickBot="1">
      <c r="A2" s="114" t="s">
        <v>77</v>
      </c>
      <c r="B2" s="106">
        <v>-2.2543997</v>
      </c>
      <c r="C2" s="97">
        <v>-3.7619695</v>
      </c>
      <c r="D2" s="97">
        <v>-3.7621878000000004</v>
      </c>
      <c r="E2" s="97">
        <v>-3.7640300000000004</v>
      </c>
      <c r="F2" s="103">
        <v>-2.0944422</v>
      </c>
      <c r="G2" s="140">
        <v>3.1164104259007113</v>
      </c>
    </row>
    <row r="3" spans="1:7" ht="14.25" thickBot="1" thickTop="1">
      <c r="A3" s="122" t="s">
        <v>76</v>
      </c>
      <c r="B3" s="123" t="s">
        <v>71</v>
      </c>
      <c r="C3" s="124" t="s">
        <v>72</v>
      </c>
      <c r="D3" s="124" t="s">
        <v>73</v>
      </c>
      <c r="E3" s="124" t="s">
        <v>74</v>
      </c>
      <c r="F3" s="125" t="s">
        <v>75</v>
      </c>
      <c r="G3" s="134" t="s">
        <v>109</v>
      </c>
    </row>
    <row r="4" spans="1:7" ht="12.75">
      <c r="A4" s="119" t="s">
        <v>78</v>
      </c>
      <c r="B4" s="120">
        <v>-0.47025156</v>
      </c>
      <c r="C4" s="121">
        <v>-0.61880784</v>
      </c>
      <c r="D4" s="121">
        <v>-1.6057161</v>
      </c>
      <c r="E4" s="121">
        <v>-3.7472296</v>
      </c>
      <c r="F4" s="126">
        <v>-4.537222900000001</v>
      </c>
      <c r="G4" s="135">
        <v>-2.112723077972341</v>
      </c>
    </row>
    <row r="5" spans="1:7" ht="12.75">
      <c r="A5" s="114" t="s">
        <v>80</v>
      </c>
      <c r="B5" s="108">
        <v>-0.54247549</v>
      </c>
      <c r="C5" s="92">
        <v>-0.04805471</v>
      </c>
      <c r="D5" s="92">
        <v>0.0950175065</v>
      </c>
      <c r="E5" s="92">
        <v>-0.143168935</v>
      </c>
      <c r="F5" s="127">
        <v>-3.5916737999999997</v>
      </c>
      <c r="G5" s="136">
        <v>-0.5824449425013792</v>
      </c>
    </row>
    <row r="6" spans="1:7" ht="12.75">
      <c r="A6" s="114" t="s">
        <v>82</v>
      </c>
      <c r="B6" s="108">
        <v>0.09569580100000001</v>
      </c>
      <c r="C6" s="92">
        <v>-0.03732035400000001</v>
      </c>
      <c r="D6" s="92">
        <v>0.9734387700000001</v>
      </c>
      <c r="E6" s="92">
        <v>0.60283999</v>
      </c>
      <c r="F6" s="128">
        <v>1.1665791634</v>
      </c>
      <c r="G6" s="136">
        <v>0.540386434346162</v>
      </c>
    </row>
    <row r="7" spans="1:7" ht="12.75">
      <c r="A7" s="114" t="s">
        <v>84</v>
      </c>
      <c r="B7" s="107">
        <v>4.151158499999999</v>
      </c>
      <c r="C7" s="91">
        <v>4.287045</v>
      </c>
      <c r="D7" s="91">
        <v>4.1189874</v>
      </c>
      <c r="E7" s="91">
        <v>4.177606600000001</v>
      </c>
      <c r="F7" s="129">
        <v>14.671873999999999</v>
      </c>
      <c r="G7" s="136">
        <v>5.591633466163412</v>
      </c>
    </row>
    <row r="8" spans="1:7" ht="12.75">
      <c r="A8" s="114" t="s">
        <v>86</v>
      </c>
      <c r="B8" s="108">
        <v>0.051474706999999995</v>
      </c>
      <c r="C8" s="92">
        <v>0.24679362999999999</v>
      </c>
      <c r="D8" s="92">
        <v>0.17300805000000002</v>
      </c>
      <c r="E8" s="92">
        <v>0.00559021</v>
      </c>
      <c r="F8" s="128">
        <v>-0.30078733</v>
      </c>
      <c r="G8" s="136">
        <v>0.06947761463881114</v>
      </c>
    </row>
    <row r="9" spans="1:7" ht="12.75">
      <c r="A9" s="114" t="s">
        <v>88</v>
      </c>
      <c r="B9" s="108">
        <v>0.2698924</v>
      </c>
      <c r="C9" s="92">
        <v>-0.15042561999999998</v>
      </c>
      <c r="D9" s="92">
        <v>-0.024884642999999998</v>
      </c>
      <c r="E9" s="92">
        <v>0.065503287</v>
      </c>
      <c r="F9" s="128">
        <v>0.125723127</v>
      </c>
      <c r="G9" s="136">
        <v>0.02934088086905305</v>
      </c>
    </row>
    <row r="10" spans="1:7" ht="12.75">
      <c r="A10" s="114" t="s">
        <v>90</v>
      </c>
      <c r="B10" s="108">
        <v>0.067719025</v>
      </c>
      <c r="C10" s="92">
        <v>-0.0241291829</v>
      </c>
      <c r="D10" s="92">
        <v>0.04253491399999999</v>
      </c>
      <c r="E10" s="92">
        <v>0.064914175</v>
      </c>
      <c r="F10" s="128">
        <v>0.120289599</v>
      </c>
      <c r="G10" s="136">
        <v>0.04592914289188306</v>
      </c>
    </row>
    <row r="11" spans="1:7" ht="12.75">
      <c r="A11" s="114" t="s">
        <v>92</v>
      </c>
      <c r="B11" s="107">
        <v>-0.42733735</v>
      </c>
      <c r="C11" s="91">
        <v>-0.15243077</v>
      </c>
      <c r="D11" s="91">
        <v>-0.086813632</v>
      </c>
      <c r="E11" s="91">
        <v>-0.05780079899999999</v>
      </c>
      <c r="F11" s="130">
        <v>-0.35462212000000004</v>
      </c>
      <c r="G11" s="136">
        <v>-0.18058019377912485</v>
      </c>
    </row>
    <row r="12" spans="1:7" ht="12.75">
      <c r="A12" s="114" t="s">
        <v>94</v>
      </c>
      <c r="B12" s="108">
        <v>-0.03581888600000001</v>
      </c>
      <c r="C12" s="92">
        <v>0.05140670799999999</v>
      </c>
      <c r="D12" s="92">
        <v>0.0192304783</v>
      </c>
      <c r="E12" s="92">
        <v>0.007501782</v>
      </c>
      <c r="F12" s="128">
        <v>0.030915012</v>
      </c>
      <c r="G12" s="136">
        <v>0.017776758441741793</v>
      </c>
    </row>
    <row r="13" spans="1:7" ht="12.75">
      <c r="A13" s="114" t="s">
        <v>96</v>
      </c>
      <c r="B13" s="109">
        <v>0.19079548000000002</v>
      </c>
      <c r="C13" s="92">
        <v>0.068864943</v>
      </c>
      <c r="D13" s="92">
        <v>0.060275901</v>
      </c>
      <c r="E13" s="92">
        <v>0.04823487</v>
      </c>
      <c r="F13" s="128">
        <v>0.09722019500000001</v>
      </c>
      <c r="G13" s="136">
        <v>0.08320927892499755</v>
      </c>
    </row>
    <row r="14" spans="1:7" ht="12.75">
      <c r="A14" s="114" t="s">
        <v>98</v>
      </c>
      <c r="B14" s="108">
        <v>0.0238484586</v>
      </c>
      <c r="C14" s="92">
        <v>0.037841392</v>
      </c>
      <c r="D14" s="92">
        <v>0.0037325347999999994</v>
      </c>
      <c r="E14" s="92">
        <v>0.06047874200000001</v>
      </c>
      <c r="F14" s="128">
        <v>-0.037554147999999996</v>
      </c>
      <c r="G14" s="136">
        <v>0.02296813669929684</v>
      </c>
    </row>
    <row r="15" spans="1:7" ht="12.75">
      <c r="A15" s="114" t="s">
        <v>100</v>
      </c>
      <c r="B15" s="109">
        <v>-0.18643132</v>
      </c>
      <c r="C15" s="93">
        <v>-0.16743214999999997</v>
      </c>
      <c r="D15" s="93">
        <v>-0.16843875</v>
      </c>
      <c r="E15" s="93">
        <v>-0.17791283</v>
      </c>
      <c r="F15" s="128">
        <v>-0.12862629</v>
      </c>
      <c r="G15" s="136">
        <v>-0.1677385831770153</v>
      </c>
    </row>
    <row r="16" spans="1:7" ht="12.75">
      <c r="A16" s="114" t="s">
        <v>102</v>
      </c>
      <c r="B16" s="108">
        <v>0.0028076363</v>
      </c>
      <c r="C16" s="92">
        <v>-0.0013251032000000003</v>
      </c>
      <c r="D16" s="92">
        <v>-0.0030391576999999996</v>
      </c>
      <c r="E16" s="92">
        <v>-0.0032169039100000004</v>
      </c>
      <c r="F16" s="128">
        <v>-0.00199847879</v>
      </c>
      <c r="G16" s="136">
        <v>-0.0016872492985737719</v>
      </c>
    </row>
    <row r="17" spans="1:7" ht="12.75">
      <c r="A17" s="114" t="s">
        <v>79</v>
      </c>
      <c r="B17" s="107">
        <v>3.7229654999999995</v>
      </c>
      <c r="C17" s="91">
        <v>2.6207997</v>
      </c>
      <c r="D17" s="91">
        <v>2.1366190000000005</v>
      </c>
      <c r="E17" s="91">
        <v>2.2673704999999997</v>
      </c>
      <c r="F17" s="129">
        <v>10.0099344</v>
      </c>
      <c r="G17" s="136">
        <v>3.567842821964826</v>
      </c>
    </row>
    <row r="18" spans="1:7" ht="12.75">
      <c r="A18" s="114" t="s">
        <v>81</v>
      </c>
      <c r="B18" s="108">
        <v>1.7695172</v>
      </c>
      <c r="C18" s="92">
        <v>1.2597078</v>
      </c>
      <c r="D18" s="92">
        <v>1.1096145</v>
      </c>
      <c r="E18" s="92">
        <v>-0.22657548</v>
      </c>
      <c r="F18" s="128">
        <v>1.11793713</v>
      </c>
      <c r="G18" s="136">
        <v>0.9203396064499596</v>
      </c>
    </row>
    <row r="19" spans="1:7" ht="12.75">
      <c r="A19" s="114" t="s">
        <v>83</v>
      </c>
      <c r="B19" s="108">
        <v>-1.5649861999999999</v>
      </c>
      <c r="C19" s="92">
        <v>-0.65450004</v>
      </c>
      <c r="D19" s="92">
        <v>-0.7924457200000001</v>
      </c>
      <c r="E19" s="92">
        <v>-0.7622810999999998</v>
      </c>
      <c r="F19" s="127">
        <v>-9.382681700000001</v>
      </c>
      <c r="G19" s="137">
        <v>-2.013961619924575</v>
      </c>
    </row>
    <row r="20" spans="1:7" ht="12.75">
      <c r="A20" s="114" t="s">
        <v>85</v>
      </c>
      <c r="B20" s="107">
        <v>0.58103328</v>
      </c>
      <c r="C20" s="91">
        <v>0.07669186400000001</v>
      </c>
      <c r="D20" s="91">
        <v>0.26935456</v>
      </c>
      <c r="E20" s="91">
        <v>-0.15367466999999999</v>
      </c>
      <c r="F20" s="131">
        <v>1.8080224</v>
      </c>
      <c r="G20" s="136">
        <v>0.37220103738629023</v>
      </c>
    </row>
    <row r="21" spans="1:7" ht="12.75">
      <c r="A21" s="114" t="s">
        <v>87</v>
      </c>
      <c r="B21" s="108">
        <v>0.25790835999999995</v>
      </c>
      <c r="C21" s="92">
        <v>0.20714374000000002</v>
      </c>
      <c r="D21" s="92">
        <v>0.045192146</v>
      </c>
      <c r="E21" s="92">
        <v>0.0052286319999999996</v>
      </c>
      <c r="F21" s="128">
        <v>0.29982728999999997</v>
      </c>
      <c r="G21" s="136">
        <v>0.13930842812131083</v>
      </c>
    </row>
    <row r="22" spans="1:7" ht="12.75">
      <c r="A22" s="114" t="s">
        <v>89</v>
      </c>
      <c r="B22" s="108">
        <v>0.038462315000000004</v>
      </c>
      <c r="C22" s="93">
        <v>0.47171548999999996</v>
      </c>
      <c r="D22" s="92">
        <v>0.23601988000000002</v>
      </c>
      <c r="E22" s="92">
        <v>0.27562702</v>
      </c>
      <c r="F22" s="128">
        <v>0.19734186999999997</v>
      </c>
      <c r="G22" s="136">
        <v>0.26859509496815664</v>
      </c>
    </row>
    <row r="23" spans="1:7" ht="12.75">
      <c r="A23" s="114" t="s">
        <v>91</v>
      </c>
      <c r="B23" s="109">
        <v>0.49634616</v>
      </c>
      <c r="C23" s="92">
        <v>0.039214559</v>
      </c>
      <c r="D23" s="92">
        <v>-0.0298153215</v>
      </c>
      <c r="E23" s="92">
        <v>0.057475839999999986</v>
      </c>
      <c r="F23" s="132">
        <v>0.39644769</v>
      </c>
      <c r="G23" s="136">
        <v>0.1407552099715618</v>
      </c>
    </row>
    <row r="24" spans="1:7" ht="12.75">
      <c r="A24" s="114" t="s">
        <v>93</v>
      </c>
      <c r="B24" s="107">
        <v>0.068013298</v>
      </c>
      <c r="C24" s="91">
        <v>-0.0139995855</v>
      </c>
      <c r="D24" s="91">
        <v>-0.02154373519</v>
      </c>
      <c r="E24" s="91">
        <v>-0.0039654497</v>
      </c>
      <c r="F24" s="130">
        <v>0.06576065</v>
      </c>
      <c r="G24" s="136">
        <v>0.009107700334182319</v>
      </c>
    </row>
    <row r="25" spans="1:7" ht="12.75">
      <c r="A25" s="114" t="s">
        <v>95</v>
      </c>
      <c r="B25" s="108">
        <v>-0.100388684</v>
      </c>
      <c r="C25" s="92">
        <v>-0.058247065</v>
      </c>
      <c r="D25" s="92">
        <v>-0.038666605</v>
      </c>
      <c r="E25" s="92">
        <v>-0.0168459381</v>
      </c>
      <c r="F25" s="128">
        <v>-0.029793119999999996</v>
      </c>
      <c r="G25" s="136">
        <v>-0.04583476219831695</v>
      </c>
    </row>
    <row r="26" spans="1:7" ht="12.75">
      <c r="A26" s="114" t="s">
        <v>97</v>
      </c>
      <c r="B26" s="108">
        <v>-0.0362425018</v>
      </c>
      <c r="C26" s="92">
        <v>0.00578125</v>
      </c>
      <c r="D26" s="92">
        <v>0.015581758670000001</v>
      </c>
      <c r="E26" s="92">
        <v>-0.035132848</v>
      </c>
      <c r="F26" s="128">
        <v>0.050680216</v>
      </c>
      <c r="G26" s="136">
        <v>-0.0017541060423677565</v>
      </c>
    </row>
    <row r="27" spans="1:7" ht="12.75">
      <c r="A27" s="114" t="s">
        <v>99</v>
      </c>
      <c r="B27" s="109">
        <v>0.19759382</v>
      </c>
      <c r="C27" s="92">
        <v>0.11616173999999999</v>
      </c>
      <c r="D27" s="92">
        <v>0.101573761</v>
      </c>
      <c r="E27" s="92">
        <v>0.11597309</v>
      </c>
      <c r="F27" s="128">
        <v>0.11465467</v>
      </c>
      <c r="G27" s="137">
        <v>0.12414478992843947</v>
      </c>
    </row>
    <row r="28" spans="1:7" ht="12.75">
      <c r="A28" s="114" t="s">
        <v>101</v>
      </c>
      <c r="B28" s="108">
        <v>0.00156803625</v>
      </c>
      <c r="C28" s="92">
        <v>0.00254811903</v>
      </c>
      <c r="D28" s="92">
        <v>0.005206103200000001</v>
      </c>
      <c r="E28" s="92">
        <v>0.0018183655700000003</v>
      </c>
      <c r="F28" s="128">
        <v>-0.032536696</v>
      </c>
      <c r="G28" s="136">
        <v>-0.0018286454389382619</v>
      </c>
    </row>
    <row r="29" spans="1:7" ht="13.5" thickBot="1">
      <c r="A29" s="115" t="s">
        <v>103</v>
      </c>
      <c r="B29" s="110">
        <v>-0.0018950631999999999</v>
      </c>
      <c r="C29" s="94">
        <v>-0.000351946312</v>
      </c>
      <c r="D29" s="94">
        <v>0.00257230683</v>
      </c>
      <c r="E29" s="94">
        <v>0.0032953232800000004</v>
      </c>
      <c r="F29" s="133">
        <v>0.005744073000000001</v>
      </c>
      <c r="G29" s="138">
        <v>0.0018235934962274774</v>
      </c>
    </row>
    <row r="30" spans="1:7" ht="13.5" thickTop="1">
      <c r="A30" s="116" t="s">
        <v>104</v>
      </c>
      <c r="B30" s="111">
        <v>0.036693567142752556</v>
      </c>
      <c r="C30" s="100">
        <v>-0.20700681247393837</v>
      </c>
      <c r="D30" s="100">
        <v>-0.3467411839227907</v>
      </c>
      <c r="E30" s="100">
        <v>-0.4719805531593874</v>
      </c>
      <c r="F30" s="96">
        <v>-0.4555177142784386</v>
      </c>
      <c r="G30" s="139" t="s">
        <v>115</v>
      </c>
    </row>
    <row r="31" spans="1:7" ht="13.5" thickBot="1">
      <c r="A31" s="117" t="s">
        <v>105</v>
      </c>
      <c r="B31" s="106">
        <v>21.969605</v>
      </c>
      <c r="C31" s="97">
        <v>21.957398</v>
      </c>
      <c r="D31" s="97">
        <v>22.009278</v>
      </c>
      <c r="E31" s="97">
        <v>22.100831</v>
      </c>
      <c r="F31" s="98">
        <v>22.20459</v>
      </c>
      <c r="G31" s="141">
        <v>-210.18</v>
      </c>
    </row>
    <row r="32" spans="1:7" ht="15.75" thickBot="1" thickTop="1">
      <c r="A32" s="118" t="s">
        <v>106</v>
      </c>
      <c r="B32" s="112">
        <v>-0.3669999986886978</v>
      </c>
      <c r="C32" s="101">
        <v>0.2875000014901161</v>
      </c>
      <c r="D32" s="101">
        <v>-0.4179999977350235</v>
      </c>
      <c r="E32" s="101">
        <v>0.3344999998807907</v>
      </c>
      <c r="F32" s="99">
        <v>-0.255500003695488</v>
      </c>
      <c r="G32" s="104" t="s">
        <v>114</v>
      </c>
    </row>
    <row r="33" spans="1:7" ht="15" thickTop="1">
      <c r="A33" t="s">
        <v>110</v>
      </c>
      <c r="G33" s="6" t="s">
        <v>111</v>
      </c>
    </row>
    <row r="34" ht="14.25">
      <c r="A34" t="s">
        <v>112</v>
      </c>
    </row>
    <row r="35" spans="1:2" ht="12.75">
      <c r="A35" t="s">
        <v>113</v>
      </c>
      <c r="B35" t="s">
        <v>16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42" bestFit="1" customWidth="1"/>
    <col min="2" max="2" width="15.66015625" style="142" bestFit="1" customWidth="1"/>
    <col min="3" max="3" width="14.83203125" style="142" bestFit="1" customWidth="1"/>
    <col min="4" max="4" width="16" style="142" bestFit="1" customWidth="1"/>
    <col min="5" max="5" width="21.33203125" style="142" bestFit="1" customWidth="1"/>
    <col min="6" max="7" width="14.83203125" style="142" bestFit="1" customWidth="1"/>
    <col min="8" max="8" width="14.16015625" style="142" bestFit="1" customWidth="1"/>
    <col min="9" max="9" width="14.83203125" style="142" bestFit="1" customWidth="1"/>
    <col min="10" max="10" width="6.33203125" style="142" bestFit="1" customWidth="1"/>
    <col min="11" max="11" width="15" style="142" bestFit="1" customWidth="1"/>
    <col min="12" max="16384" width="10.66015625" style="142" customWidth="1"/>
  </cols>
  <sheetData>
    <row r="1" spans="1:5" ht="12.75">
      <c r="A1" s="142" t="s">
        <v>116</v>
      </c>
      <c r="B1" s="142" t="s">
        <v>117</v>
      </c>
      <c r="C1" s="142" t="s">
        <v>118</v>
      </c>
      <c r="D1" s="142" t="s">
        <v>119</v>
      </c>
      <c r="E1" s="142" t="s">
        <v>120</v>
      </c>
    </row>
    <row r="3" spans="1:7" ht="12.75">
      <c r="A3" s="142" t="s">
        <v>121</v>
      </c>
      <c r="B3" s="142" t="s">
        <v>71</v>
      </c>
      <c r="C3" s="142" t="s">
        <v>72</v>
      </c>
      <c r="D3" s="142" t="s">
        <v>73</v>
      </c>
      <c r="E3" s="142" t="s">
        <v>74</v>
      </c>
      <c r="F3" s="142" t="s">
        <v>75</v>
      </c>
      <c r="G3" s="142" t="s">
        <v>122</v>
      </c>
    </row>
    <row r="4" spans="1:7" ht="12.75">
      <c r="A4" s="142" t="s">
        <v>123</v>
      </c>
      <c r="B4" s="142">
        <v>0.002254</v>
      </c>
      <c r="C4" s="142">
        <v>0.00376</v>
      </c>
      <c r="D4" s="142">
        <v>0.003761</v>
      </c>
      <c r="E4" s="142">
        <v>0.003763</v>
      </c>
      <c r="F4" s="142">
        <v>0.002094</v>
      </c>
      <c r="G4" s="142">
        <v>0.011721</v>
      </c>
    </row>
    <row r="5" spans="1:7" ht="12.75">
      <c r="A5" s="142" t="s">
        <v>124</v>
      </c>
      <c r="B5" s="142">
        <v>5.986117</v>
      </c>
      <c r="C5" s="142">
        <v>1.89515</v>
      </c>
      <c r="D5" s="142">
        <v>-1.096416</v>
      </c>
      <c r="E5" s="142">
        <v>-2.667645</v>
      </c>
      <c r="F5" s="142">
        <v>-3.077229</v>
      </c>
      <c r="G5" s="142">
        <v>-5.176608</v>
      </c>
    </row>
    <row r="6" spans="1:7" ht="12.75">
      <c r="A6" s="142" t="s">
        <v>125</v>
      </c>
      <c r="B6" s="143">
        <v>-110.3671</v>
      </c>
      <c r="C6" s="143">
        <v>-198.1847</v>
      </c>
      <c r="D6" s="143">
        <v>-109.8146</v>
      </c>
      <c r="E6" s="143">
        <v>-292.5213</v>
      </c>
      <c r="F6" s="143">
        <v>-108.6026</v>
      </c>
      <c r="G6" s="143">
        <v>931.3558</v>
      </c>
    </row>
    <row r="7" spans="1:7" ht="12.75">
      <c r="A7" s="142" t="s">
        <v>126</v>
      </c>
      <c r="B7" s="143">
        <v>10000</v>
      </c>
      <c r="C7" s="143">
        <v>10000</v>
      </c>
      <c r="D7" s="143">
        <v>10000</v>
      </c>
      <c r="E7" s="143">
        <v>10000</v>
      </c>
      <c r="F7" s="143">
        <v>10000</v>
      </c>
      <c r="G7" s="143">
        <v>10000</v>
      </c>
    </row>
    <row r="8" spans="1:7" ht="12.75">
      <c r="A8" s="142" t="s">
        <v>78</v>
      </c>
      <c r="B8" s="143">
        <v>-0.5947012</v>
      </c>
      <c r="C8" s="143">
        <v>-0.6241371</v>
      </c>
      <c r="D8" s="143">
        <v>-1.571412</v>
      </c>
      <c r="E8" s="143">
        <v>-3.734186</v>
      </c>
      <c r="F8" s="143">
        <v>-4.417797</v>
      </c>
      <c r="G8" s="143">
        <v>3.543835</v>
      </c>
    </row>
    <row r="9" spans="1:7" ht="12.75">
      <c r="A9" s="142" t="s">
        <v>80</v>
      </c>
      <c r="B9" s="143">
        <v>-0.5054401</v>
      </c>
      <c r="C9" s="143">
        <v>-0.06089414</v>
      </c>
      <c r="D9" s="143">
        <v>0.04642157</v>
      </c>
      <c r="E9" s="143">
        <v>-0.1379295</v>
      </c>
      <c r="F9" s="143">
        <v>-3.109916</v>
      </c>
      <c r="G9" s="143">
        <v>0.5261165</v>
      </c>
    </row>
    <row r="10" spans="1:7" ht="12.75">
      <c r="A10" s="142" t="s">
        <v>127</v>
      </c>
      <c r="B10" s="143">
        <v>-0.00671754</v>
      </c>
      <c r="C10" s="143">
        <v>0.03024726</v>
      </c>
      <c r="D10" s="143">
        <v>0.8416588</v>
      </c>
      <c r="E10" s="143">
        <v>0.8229063</v>
      </c>
      <c r="F10" s="143">
        <v>0.3729249</v>
      </c>
      <c r="G10" s="143">
        <v>1.930236</v>
      </c>
    </row>
    <row r="11" spans="1:7" ht="12.75">
      <c r="A11" s="142" t="s">
        <v>84</v>
      </c>
      <c r="B11" s="143">
        <v>4.107904</v>
      </c>
      <c r="C11" s="143">
        <v>4.29458</v>
      </c>
      <c r="D11" s="143">
        <v>4.116942</v>
      </c>
      <c r="E11" s="143">
        <v>4.179083</v>
      </c>
      <c r="F11" s="143">
        <v>14.68954</v>
      </c>
      <c r="G11" s="143">
        <v>5.589528</v>
      </c>
    </row>
    <row r="12" spans="1:7" ht="12.75">
      <c r="A12" s="142" t="s">
        <v>86</v>
      </c>
      <c r="B12" s="143">
        <v>0.02725422</v>
      </c>
      <c r="C12" s="143">
        <v>0.2468488</v>
      </c>
      <c r="D12" s="143">
        <v>0.1885094</v>
      </c>
      <c r="E12" s="143">
        <v>0.02469836</v>
      </c>
      <c r="F12" s="143">
        <v>-0.3202915</v>
      </c>
      <c r="G12" s="143">
        <v>0.1501328</v>
      </c>
    </row>
    <row r="13" spans="1:7" ht="12.75">
      <c r="A13" s="142" t="s">
        <v>88</v>
      </c>
      <c r="B13" s="143">
        <v>0.211919</v>
      </c>
      <c r="C13" s="143">
        <v>-0.1582339</v>
      </c>
      <c r="D13" s="143">
        <v>-0.0272585</v>
      </c>
      <c r="E13" s="143">
        <v>0.07976011</v>
      </c>
      <c r="F13" s="143">
        <v>0.08206484</v>
      </c>
      <c r="G13" s="143">
        <v>-0.01611819</v>
      </c>
    </row>
    <row r="14" spans="1:7" ht="12.75">
      <c r="A14" s="142" t="s">
        <v>90</v>
      </c>
      <c r="B14" s="143">
        <v>0.05152705</v>
      </c>
      <c r="C14" s="143">
        <v>-0.02930905</v>
      </c>
      <c r="D14" s="143">
        <v>0.04648099</v>
      </c>
      <c r="E14" s="143">
        <v>0.06055296</v>
      </c>
      <c r="F14" s="143">
        <v>0.1460267</v>
      </c>
      <c r="G14" s="143">
        <v>-0.129787</v>
      </c>
    </row>
    <row r="15" spans="1:7" ht="12.75">
      <c r="A15" s="142" t="s">
        <v>92</v>
      </c>
      <c r="B15" s="143">
        <v>-0.4228782</v>
      </c>
      <c r="C15" s="143">
        <v>-0.1539747</v>
      </c>
      <c r="D15" s="143">
        <v>-0.09351881</v>
      </c>
      <c r="E15" s="143">
        <v>-0.0603579</v>
      </c>
      <c r="F15" s="143">
        <v>-0.3522086</v>
      </c>
      <c r="G15" s="143">
        <v>-0.182214</v>
      </c>
    </row>
    <row r="16" spans="1:7" ht="12.75">
      <c r="A16" s="142" t="s">
        <v>94</v>
      </c>
      <c r="B16" s="143">
        <v>-0.0392433</v>
      </c>
      <c r="C16" s="143">
        <v>0.05355173</v>
      </c>
      <c r="D16" s="143">
        <v>0.01383949</v>
      </c>
      <c r="E16" s="143">
        <v>0.01102067</v>
      </c>
      <c r="F16" s="143">
        <v>0.01612186</v>
      </c>
      <c r="G16" s="143">
        <v>-0.04544729</v>
      </c>
    </row>
    <row r="17" spans="1:7" ht="12.75">
      <c r="A17" s="142" t="s">
        <v>96</v>
      </c>
      <c r="B17" s="143">
        <v>0.1596318</v>
      </c>
      <c r="C17" s="143">
        <v>0.07212563</v>
      </c>
      <c r="D17" s="143">
        <v>0.07045159</v>
      </c>
      <c r="E17" s="143">
        <v>0.06561766</v>
      </c>
      <c r="F17" s="143">
        <v>0.08238889</v>
      </c>
      <c r="G17" s="143">
        <v>-0.08414623</v>
      </c>
    </row>
    <row r="18" spans="1:7" ht="12.75">
      <c r="A18" s="142" t="s">
        <v>128</v>
      </c>
      <c r="B18" s="143">
        <v>0.01356238</v>
      </c>
      <c r="C18" s="143">
        <v>0.03323353</v>
      </c>
      <c r="D18" s="143">
        <v>0.009997402</v>
      </c>
      <c r="E18" s="143">
        <v>0.05652006</v>
      </c>
      <c r="F18" s="143">
        <v>-0.0278275</v>
      </c>
      <c r="G18" s="143">
        <v>-0.1243978</v>
      </c>
    </row>
    <row r="19" spans="1:7" ht="12.75">
      <c r="A19" s="142" t="s">
        <v>100</v>
      </c>
      <c r="B19" s="143">
        <v>-0.1858251</v>
      </c>
      <c r="C19" s="143">
        <v>-0.1674309</v>
      </c>
      <c r="D19" s="143">
        <v>-0.1683024</v>
      </c>
      <c r="E19" s="143">
        <v>-0.1776989</v>
      </c>
      <c r="F19" s="143">
        <v>-0.1299967</v>
      </c>
      <c r="G19" s="143">
        <v>-0.1677497</v>
      </c>
    </row>
    <row r="20" spans="1:7" ht="12.75">
      <c r="A20" s="142" t="s">
        <v>102</v>
      </c>
      <c r="B20" s="143">
        <v>0.002972143</v>
      </c>
      <c r="C20" s="143">
        <v>-0.001308721</v>
      </c>
      <c r="D20" s="143">
        <v>-0.002972663</v>
      </c>
      <c r="E20" s="143">
        <v>-0.003066318</v>
      </c>
      <c r="F20" s="143">
        <v>-0.001721803</v>
      </c>
      <c r="G20" s="143">
        <v>0.001907771</v>
      </c>
    </row>
    <row r="21" spans="1:7" ht="12.75">
      <c r="A21" s="142" t="s">
        <v>129</v>
      </c>
      <c r="B21" s="143">
        <v>-1077.273</v>
      </c>
      <c r="C21" s="143">
        <v>-916.8268</v>
      </c>
      <c r="D21" s="143">
        <v>-850.2711</v>
      </c>
      <c r="E21" s="143">
        <v>-858.4163</v>
      </c>
      <c r="F21" s="143">
        <v>-1077.124</v>
      </c>
      <c r="G21" s="143">
        <v>-174.9726</v>
      </c>
    </row>
    <row r="22" spans="1:7" ht="12.75">
      <c r="A22" s="142" t="s">
        <v>130</v>
      </c>
      <c r="B22" s="143">
        <v>119.7281</v>
      </c>
      <c r="C22" s="143">
        <v>37.90317</v>
      </c>
      <c r="D22" s="143">
        <v>-21.92835</v>
      </c>
      <c r="E22" s="143">
        <v>-53.35341</v>
      </c>
      <c r="F22" s="143">
        <v>-61.54536</v>
      </c>
      <c r="G22" s="143">
        <v>0</v>
      </c>
    </row>
    <row r="23" spans="1:7" ht="12.75">
      <c r="A23" s="142" t="s">
        <v>79</v>
      </c>
      <c r="B23" s="143">
        <v>3.659056</v>
      </c>
      <c r="C23" s="143">
        <v>2.623918</v>
      </c>
      <c r="D23" s="143">
        <v>2.116272</v>
      </c>
      <c r="E23" s="143">
        <v>2.289301</v>
      </c>
      <c r="F23" s="143">
        <v>9.890585</v>
      </c>
      <c r="G23" s="143">
        <v>2.104578</v>
      </c>
    </row>
    <row r="24" spans="1:7" ht="12.75">
      <c r="A24" s="142" t="s">
        <v>81</v>
      </c>
      <c r="B24" s="143">
        <v>1.790981</v>
      </c>
      <c r="C24" s="143">
        <v>1.252841</v>
      </c>
      <c r="D24" s="143">
        <v>1.104281</v>
      </c>
      <c r="E24" s="143">
        <v>-0.2817694</v>
      </c>
      <c r="F24" s="143">
        <v>1.482252</v>
      </c>
      <c r="G24" s="143">
        <v>-0.9560101</v>
      </c>
    </row>
    <row r="25" spans="1:7" ht="12.75">
      <c r="A25" s="142" t="s">
        <v>83</v>
      </c>
      <c r="B25" s="143">
        <v>-1.280075</v>
      </c>
      <c r="C25" s="143">
        <v>-0.6851625</v>
      </c>
      <c r="D25" s="143">
        <v>-0.9716546</v>
      </c>
      <c r="E25" s="143">
        <v>-0.9315008</v>
      </c>
      <c r="F25" s="143">
        <v>-8.382719</v>
      </c>
      <c r="G25" s="143">
        <v>0.456835</v>
      </c>
    </row>
    <row r="26" spans="1:7" ht="12.75">
      <c r="A26" s="142" t="s">
        <v>85</v>
      </c>
      <c r="B26" s="143">
        <v>0.7299002</v>
      </c>
      <c r="C26" s="143">
        <v>0.1275378</v>
      </c>
      <c r="D26" s="143">
        <v>0.2316911</v>
      </c>
      <c r="E26" s="143">
        <v>-0.2189179</v>
      </c>
      <c r="F26" s="143">
        <v>1.495256</v>
      </c>
      <c r="G26" s="143">
        <v>0.339216</v>
      </c>
    </row>
    <row r="27" spans="1:7" ht="12.75">
      <c r="A27" s="142" t="s">
        <v>87</v>
      </c>
      <c r="B27" s="143">
        <v>0.2837445</v>
      </c>
      <c r="C27" s="143">
        <v>0.2237324</v>
      </c>
      <c r="D27" s="143">
        <v>0.03557301</v>
      </c>
      <c r="E27" s="143">
        <v>0.02525825</v>
      </c>
      <c r="F27" s="143">
        <v>0.3043179</v>
      </c>
      <c r="G27" s="143">
        <v>-0.07171366</v>
      </c>
    </row>
    <row r="28" spans="1:7" ht="12.75">
      <c r="A28" s="142" t="s">
        <v>89</v>
      </c>
      <c r="B28" s="143">
        <v>0.04160079</v>
      </c>
      <c r="C28" s="143">
        <v>0.4726625</v>
      </c>
      <c r="D28" s="143">
        <v>0.2361186</v>
      </c>
      <c r="E28" s="143">
        <v>0.2762315</v>
      </c>
      <c r="F28" s="143">
        <v>0.1867371</v>
      </c>
      <c r="G28" s="143">
        <v>-0.2680252</v>
      </c>
    </row>
    <row r="29" spans="1:7" ht="12.75">
      <c r="A29" s="142" t="s">
        <v>91</v>
      </c>
      <c r="B29" s="143">
        <v>0.4459748</v>
      </c>
      <c r="C29" s="143">
        <v>0.04227233</v>
      </c>
      <c r="D29" s="143">
        <v>-0.02117723</v>
      </c>
      <c r="E29" s="143">
        <v>0.06045606</v>
      </c>
      <c r="F29" s="143">
        <v>0.3424185</v>
      </c>
      <c r="G29" s="143">
        <v>0.04569713</v>
      </c>
    </row>
    <row r="30" spans="1:7" ht="12.75">
      <c r="A30" s="142" t="s">
        <v>93</v>
      </c>
      <c r="B30" s="143">
        <v>0.04522047</v>
      </c>
      <c r="C30" s="143">
        <v>-0.01812729</v>
      </c>
      <c r="D30" s="143">
        <v>-0.01796381</v>
      </c>
      <c r="E30" s="143">
        <v>-0.004382236</v>
      </c>
      <c r="F30" s="143">
        <v>0.08358442</v>
      </c>
      <c r="G30" s="143">
        <v>0.007978803</v>
      </c>
    </row>
    <row r="31" spans="1:7" ht="12.75">
      <c r="A31" s="142" t="s">
        <v>95</v>
      </c>
      <c r="B31" s="143">
        <v>-0.07590404</v>
      </c>
      <c r="C31" s="143">
        <v>-0.05899844</v>
      </c>
      <c r="D31" s="143">
        <v>-0.04640801</v>
      </c>
      <c r="E31" s="143">
        <v>-0.02637699</v>
      </c>
      <c r="F31" s="143">
        <v>-0.02087284</v>
      </c>
      <c r="G31" s="143">
        <v>-0.01536769</v>
      </c>
    </row>
    <row r="32" spans="1:7" ht="12.75">
      <c r="A32" s="142" t="s">
        <v>97</v>
      </c>
      <c r="B32" s="143">
        <v>-0.03491023</v>
      </c>
      <c r="C32" s="143">
        <v>0.00987094</v>
      </c>
      <c r="D32" s="143">
        <v>0.005202352</v>
      </c>
      <c r="E32" s="143">
        <v>-0.02589292</v>
      </c>
      <c r="F32" s="143">
        <v>0.03260691</v>
      </c>
      <c r="G32" s="143">
        <v>0.00327227</v>
      </c>
    </row>
    <row r="33" spans="1:7" ht="12.75">
      <c r="A33" s="142" t="s">
        <v>99</v>
      </c>
      <c r="B33" s="143">
        <v>0.1877993</v>
      </c>
      <c r="C33" s="143">
        <v>0.1179051</v>
      </c>
      <c r="D33" s="143">
        <v>0.1066973</v>
      </c>
      <c r="E33" s="143">
        <v>0.1191608</v>
      </c>
      <c r="F33" s="143">
        <v>0.1090287</v>
      </c>
      <c r="G33" s="143">
        <v>0.02223481</v>
      </c>
    </row>
    <row r="34" spans="1:7" ht="12.75">
      <c r="A34" s="142" t="s">
        <v>101</v>
      </c>
      <c r="B34" s="143">
        <v>-0.01398607</v>
      </c>
      <c r="C34" s="143">
        <v>-0.001901725</v>
      </c>
      <c r="D34" s="143">
        <v>0.00779001</v>
      </c>
      <c r="E34" s="143">
        <v>0.00848824</v>
      </c>
      <c r="F34" s="143">
        <v>-0.02704476</v>
      </c>
      <c r="G34" s="143">
        <v>-0.002177026</v>
      </c>
    </row>
    <row r="35" spans="1:7" ht="12.75">
      <c r="A35" s="142" t="s">
        <v>103</v>
      </c>
      <c r="B35" s="143">
        <v>-0.001634228</v>
      </c>
      <c r="C35" s="143">
        <v>-0.0003885372</v>
      </c>
      <c r="D35" s="143">
        <v>0.002625138</v>
      </c>
      <c r="E35" s="143">
        <v>0.003424144</v>
      </c>
      <c r="F35" s="143">
        <v>0.005830538</v>
      </c>
      <c r="G35" s="143">
        <v>0.001570294</v>
      </c>
    </row>
    <row r="36" spans="1:6" ht="12.75">
      <c r="A36" s="142" t="s">
        <v>131</v>
      </c>
      <c r="B36" s="143">
        <v>22.20459</v>
      </c>
      <c r="C36" s="143">
        <v>22.19238</v>
      </c>
      <c r="D36" s="143">
        <v>22.19849</v>
      </c>
      <c r="E36" s="143">
        <v>22.18933</v>
      </c>
      <c r="F36" s="143">
        <v>22.18628</v>
      </c>
    </row>
    <row r="37" spans="1:6" ht="12.75">
      <c r="A37" s="142" t="s">
        <v>132</v>
      </c>
      <c r="B37" s="143">
        <v>-0.2360026</v>
      </c>
      <c r="C37" s="143">
        <v>-0.2029419</v>
      </c>
      <c r="D37" s="143">
        <v>-0.1841227</v>
      </c>
      <c r="E37" s="143">
        <v>-0.1729329</v>
      </c>
      <c r="F37" s="143">
        <v>-0.1647949</v>
      </c>
    </row>
    <row r="38" spans="1:7" ht="12.75">
      <c r="A38" s="142" t="s">
        <v>133</v>
      </c>
      <c r="B38" s="143">
        <v>0.0002095207</v>
      </c>
      <c r="C38" s="143">
        <v>0.0003428166</v>
      </c>
      <c r="D38" s="143">
        <v>0.0001835142</v>
      </c>
      <c r="E38" s="143">
        <v>0.0004894864</v>
      </c>
      <c r="F38" s="143">
        <v>0.0001733482</v>
      </c>
      <c r="G38" s="143">
        <v>0.0001446265</v>
      </c>
    </row>
    <row r="39" spans="1:7" ht="12.75">
      <c r="A39" s="142" t="s">
        <v>134</v>
      </c>
      <c r="B39" s="143">
        <v>0.001828856</v>
      </c>
      <c r="C39" s="143">
        <v>0.001557306</v>
      </c>
      <c r="D39" s="143">
        <v>0.001445863</v>
      </c>
      <c r="E39" s="143">
        <v>0.001461919</v>
      </c>
      <c r="F39" s="143">
        <v>0.001832177</v>
      </c>
      <c r="G39" s="143">
        <v>0.0007924124</v>
      </c>
    </row>
    <row r="40" spans="2:5" ht="12.75">
      <c r="B40" s="142" t="s">
        <v>135</v>
      </c>
      <c r="C40" s="142">
        <v>0.003761</v>
      </c>
      <c r="D40" s="142" t="s">
        <v>136</v>
      </c>
      <c r="E40" s="142">
        <v>3.116413</v>
      </c>
    </row>
    <row r="42" ht="12.75">
      <c r="A42" s="142" t="s">
        <v>137</v>
      </c>
    </row>
    <row r="50" spans="1:7" ht="12.75">
      <c r="A50" s="142" t="s">
        <v>138</v>
      </c>
      <c r="B50" s="142">
        <f>-0.017/(B7*B7+B22*B22)*(B21*B22+B6*B7)</f>
        <v>0.00020952061001215075</v>
      </c>
      <c r="C50" s="142">
        <f>-0.017/(C7*C7+C22*C22)*(C21*C22+C6*C7)</f>
        <v>0.0003428166740735996</v>
      </c>
      <c r="D50" s="142">
        <f>-0.017/(D7*D7+D22*D22)*(D21*D22+D6*D7)</f>
        <v>0.00018351428038006662</v>
      </c>
      <c r="E50" s="142">
        <f>-0.017/(E7*E7+E22*E22)*(E21*E22+E6*E7)</f>
        <v>0.0004894863720909257</v>
      </c>
      <c r="F50" s="142">
        <f>-0.017/(F7*F7+F22*F22)*(F21*F22+F6*F7)</f>
        <v>0.0001733482165233427</v>
      </c>
      <c r="G50" s="142">
        <f>(B50*B$4+C50*C$4+D50*D$4+E50*E$4+F50*F$4)/SUM(B$4:F$4)</f>
        <v>0.0002978745996399428</v>
      </c>
    </row>
    <row r="51" spans="1:7" ht="12.75">
      <c r="A51" s="142" t="s">
        <v>139</v>
      </c>
      <c r="B51" s="142">
        <f>-0.017/(B7*B7+B22*B22)*(B21*B7-B6*B22)</f>
        <v>0.0018288555495452406</v>
      </c>
      <c r="C51" s="142">
        <f>-0.017/(C7*C7+C22*C22)*(C21*C7-C6*C22)</f>
        <v>0.0015573061761323754</v>
      </c>
      <c r="D51" s="142">
        <f>-0.017/(D7*D7+D22*D22)*(D21*D7-D6*D22)</f>
        <v>0.0014458632865370171</v>
      </c>
      <c r="E51" s="142">
        <f>-0.017/(E7*E7+E22*E22)*(E21*E7-E6*E22)</f>
        <v>0.0014619192867099582</v>
      </c>
      <c r="F51" s="142">
        <f>-0.017/(F7*F7+F22*F22)*(F21*F7-F6*F22)</f>
        <v>0.001832177677839129</v>
      </c>
      <c r="G51" s="142">
        <f>(B51*B$4+C51*C$4+D51*D$4+E51*E$4+F51*F$4)/SUM(B$4:F$4)</f>
        <v>0.0015835072789715415</v>
      </c>
    </row>
    <row r="58" ht="12.75">
      <c r="A58" s="142" t="s">
        <v>141</v>
      </c>
    </row>
    <row r="60" spans="2:6" ht="12.75">
      <c r="B60" s="142" t="s">
        <v>71</v>
      </c>
      <c r="C60" s="142" t="s">
        <v>72</v>
      </c>
      <c r="D60" s="142" t="s">
        <v>73</v>
      </c>
      <c r="E60" s="142" t="s">
        <v>74</v>
      </c>
      <c r="F60" s="142" t="s">
        <v>75</v>
      </c>
    </row>
    <row r="61" spans="1:6" ht="12.75">
      <c r="A61" s="142" t="s">
        <v>143</v>
      </c>
      <c r="B61" s="142">
        <f>B6+(1/0.017)*(B7*B50-B22*B51)</f>
        <v>0</v>
      </c>
      <c r="C61" s="142">
        <f>C6+(1/0.017)*(C7*C50-C22*C51)</f>
        <v>0</v>
      </c>
      <c r="D61" s="142">
        <f>D6+(1/0.017)*(D7*D50-D22*D51)</f>
        <v>0</v>
      </c>
      <c r="E61" s="142">
        <f>E6+(1/0.017)*(E7*E50-E22*E51)</f>
        <v>0</v>
      </c>
      <c r="F61" s="142">
        <f>F6+(1/0.017)*(F7*F50-F22*F51)</f>
        <v>0</v>
      </c>
    </row>
    <row r="62" spans="1:6" ht="12.75">
      <c r="A62" s="142" t="s">
        <v>146</v>
      </c>
      <c r="B62" s="142">
        <f>B7+(2/0.017)*(B8*B50-B23*B51)</f>
        <v>9999.198060349425</v>
      </c>
      <c r="C62" s="142">
        <f>C7+(2/0.017)*(C8*C50-C23*C51)</f>
        <v>9999.494093139781</v>
      </c>
      <c r="D62" s="142">
        <f>D7+(2/0.017)*(D8*D50-D23*D51)</f>
        <v>9999.606092172766</v>
      </c>
      <c r="E62" s="142">
        <f>E7+(2/0.017)*(E8*E50-E23*E51)</f>
        <v>9999.391222771432</v>
      </c>
      <c r="F62" s="142">
        <f>F7+(2/0.017)*(F8*F50-F23*F51)</f>
        <v>9997.777985142508</v>
      </c>
    </row>
    <row r="63" spans="1:6" ht="12.75">
      <c r="A63" s="142" t="s">
        <v>147</v>
      </c>
      <c r="B63" s="142">
        <f>B8+(3/0.017)*(B9*B50-B24*B51)</f>
        <v>-1.191409257480592</v>
      </c>
      <c r="C63" s="142">
        <f>C8+(3/0.017)*(C9*C50-C24*C51)</f>
        <v>-0.9721251976865706</v>
      </c>
      <c r="D63" s="142">
        <f>D8+(3/0.017)*(D9*D50-D24*D51)</f>
        <v>-1.8516685296895978</v>
      </c>
      <c r="E63" s="142">
        <f>E8+(3/0.017)*(E9*E50-E24*E51)</f>
        <v>-3.6734078512284625</v>
      </c>
      <c r="F63" s="142">
        <f>F8+(3/0.017)*(F9*F50-F24*F51)</f>
        <v>-4.992181838729967</v>
      </c>
    </row>
    <row r="64" spans="1:6" ht="12.75">
      <c r="A64" s="142" t="s">
        <v>148</v>
      </c>
      <c r="B64" s="142">
        <f>B9+(4/0.017)*(B10*B50-B25*B51)</f>
        <v>0.045069265766010225</v>
      </c>
      <c r="C64" s="142">
        <f>C9+(4/0.017)*(C10*C50-C25*C51)</f>
        <v>0.19260634422996187</v>
      </c>
      <c r="D64" s="142">
        <f>D9+(4/0.017)*(D10*D50-D25*D51)</f>
        <v>0.41332418702173207</v>
      </c>
      <c r="E64" s="142">
        <f>E9+(4/0.017)*(E10*E50-E25*E51)</f>
        <v>0.27726588928553464</v>
      </c>
      <c r="F64" s="142">
        <f>F9+(4/0.017)*(F10*F50-F25*F51)</f>
        <v>0.519090234755315</v>
      </c>
    </row>
    <row r="65" spans="1:6" ht="12.75">
      <c r="A65" s="142" t="s">
        <v>149</v>
      </c>
      <c r="B65" s="142">
        <f>B10+(5/0.017)*(B11*B50-B26*B51)</f>
        <v>-0.14618562218612552</v>
      </c>
      <c r="C65" s="142">
        <f>C10+(5/0.017)*(C11*C50-C26*C51)</f>
        <v>0.40484673897431284</v>
      </c>
      <c r="D65" s="142">
        <f>D10+(5/0.017)*(D11*D50-D26*D51)</f>
        <v>0.9653423274085575</v>
      </c>
      <c r="E65" s="142">
        <f>E10+(5/0.017)*(E11*E50-E26*E51)</f>
        <v>1.5186840872214424</v>
      </c>
      <c r="F65" s="142">
        <f>F10+(5/0.017)*(F11*F50-F26*F51)</f>
        <v>0.31611045726272907</v>
      </c>
    </row>
    <row r="66" spans="1:6" ht="12.75">
      <c r="A66" s="142" t="s">
        <v>150</v>
      </c>
      <c r="B66" s="142">
        <f>B11+(6/0.017)*(B12*B50-B27*B51)</f>
        <v>3.9267684531724236</v>
      </c>
      <c r="C66" s="142">
        <f>C11+(6/0.017)*(C12*C50-C27*C51)</f>
        <v>4.201475542221461</v>
      </c>
      <c r="D66" s="142">
        <f>D11+(6/0.017)*(D12*D50-D27*D51)</f>
        <v>4.1109986321418575</v>
      </c>
      <c r="E66" s="142">
        <f>E11+(6/0.017)*(E12*E50-E27*E51)</f>
        <v>4.170317348638631</v>
      </c>
      <c r="F66" s="142">
        <f>F11+(6/0.017)*(F12*F50-F27*F51)</f>
        <v>14.47315655636254</v>
      </c>
    </row>
    <row r="67" spans="1:6" ht="12.75">
      <c r="A67" s="142" t="s">
        <v>151</v>
      </c>
      <c r="B67" s="142">
        <f>B12+(7/0.017)*(B13*B50-B28*B51)</f>
        <v>0.014209333969023049</v>
      </c>
      <c r="C67" s="142">
        <f>C12+(7/0.017)*(C13*C50-C28*C51)</f>
        <v>-0.07857932638817908</v>
      </c>
      <c r="D67" s="142">
        <f>D12+(7/0.017)*(D13*D50-D28*D51)</f>
        <v>0.045875119226952005</v>
      </c>
      <c r="E67" s="142">
        <f>E12+(7/0.017)*(E13*E50-E28*E51)</f>
        <v>-0.1255079161151436</v>
      </c>
      <c r="F67" s="142">
        <f>F12+(7/0.017)*(F13*F50-F28*F51)</f>
        <v>-0.4553131628316458</v>
      </c>
    </row>
    <row r="68" spans="1:6" ht="12.75">
      <c r="A68" s="142" t="s">
        <v>152</v>
      </c>
      <c r="B68" s="142">
        <f>B13+(8/0.017)*(B14*B50-B29*B51)</f>
        <v>-0.1668233571713892</v>
      </c>
      <c r="C68" s="142">
        <f>C13+(8/0.017)*(C14*C50-C29*C51)</f>
        <v>-0.19394147253165306</v>
      </c>
      <c r="D68" s="142">
        <f>D13+(8/0.017)*(D14*D50-D29*D51)</f>
        <v>-0.008835297741763112</v>
      </c>
      <c r="E68" s="142">
        <f>E13+(8/0.017)*(E14*E50-E29*E51)</f>
        <v>0.05211680110459882</v>
      </c>
      <c r="F68" s="142">
        <f>F13+(8/0.017)*(F14*F50-F29*F51)</f>
        <v>-0.20125660196205578</v>
      </c>
    </row>
    <row r="69" spans="1:6" ht="12.75">
      <c r="A69" s="142" t="s">
        <v>153</v>
      </c>
      <c r="B69" s="142">
        <f>B14+(9/0.017)*(B15*B50-B30*B51)</f>
        <v>-0.03916298843743877</v>
      </c>
      <c r="C69" s="142">
        <f>C14+(9/0.017)*(C15*C50-C30*C51)</f>
        <v>-0.042308943226319916</v>
      </c>
      <c r="D69" s="142">
        <f>D14+(9/0.017)*(D15*D50-D30*D51)</f>
        <v>0.051145730365622775</v>
      </c>
      <c r="E69" s="142">
        <f>E14+(9/0.017)*(E15*E50-E30*E51)</f>
        <v>0.04830348661550532</v>
      </c>
      <c r="F69" s="142">
        <f>F14+(9/0.017)*(F15*F50-F30*F51)</f>
        <v>0.032628689956480925</v>
      </c>
    </row>
    <row r="70" spans="1:6" ht="12.75">
      <c r="A70" s="142" t="s">
        <v>154</v>
      </c>
      <c r="B70" s="142">
        <f>B15+(10/0.017)*(B16*B50-B31*B51)</f>
        <v>-0.3460574678635211</v>
      </c>
      <c r="C70" s="142">
        <f>C15+(10/0.017)*(C16*C50-C31*C51)</f>
        <v>-0.08912937002137482</v>
      </c>
      <c r="D70" s="142">
        <f>D15+(10/0.017)*(D16*D50-D31*D51)</f>
        <v>-0.052554467700929475</v>
      </c>
      <c r="E70" s="142">
        <f>E15+(10/0.017)*(E16*E50-E31*E51)</f>
        <v>-0.03450172459843118</v>
      </c>
      <c r="F70" s="142">
        <f>F15+(10/0.017)*(F16*F50-F31*F51)</f>
        <v>-0.3280689251769725</v>
      </c>
    </row>
    <row r="71" spans="1:6" ht="12.75">
      <c r="A71" s="142" t="s">
        <v>155</v>
      </c>
      <c r="B71" s="142">
        <f>B16+(11/0.017)*(B17*B50-B32*B51)</f>
        <v>0.02371029528424249</v>
      </c>
      <c r="C71" s="142">
        <f>C16+(11/0.017)*(C17*C50-C32*C51)</f>
        <v>0.05960418414259648</v>
      </c>
      <c r="D71" s="142">
        <f>D16+(11/0.017)*(D17*D50-D32*D51)</f>
        <v>0.017338126110613517</v>
      </c>
      <c r="E71" s="142">
        <f>E16+(11/0.017)*(E17*E50-E32*E51)</f>
        <v>0.05629687024900426</v>
      </c>
      <c r="F71" s="142">
        <f>F16+(11/0.017)*(F17*F50-F32*F51)</f>
        <v>-0.013293230619246338</v>
      </c>
    </row>
    <row r="72" spans="1:6" ht="12.75">
      <c r="A72" s="142" t="s">
        <v>156</v>
      </c>
      <c r="B72" s="142">
        <f>B17+(12/0.017)*(B18*B50-B33*B51)</f>
        <v>-0.0808031603822788</v>
      </c>
      <c r="C72" s="142">
        <f>C17+(12/0.017)*(C18*C50-C33*C51)</f>
        <v>-0.049442369203656564</v>
      </c>
      <c r="D72" s="142">
        <f>D17+(12/0.017)*(D18*D50-D33*D51)</f>
        <v>-0.03714961668865353</v>
      </c>
      <c r="E72" s="142">
        <f>E17+(12/0.017)*(E18*E50-E33*E51)</f>
        <v>-0.037820697143548146</v>
      </c>
      <c r="F72" s="142">
        <f>F17+(12/0.017)*(F18*F50-F33*F51)</f>
        <v>-0.06202320262055695</v>
      </c>
    </row>
    <row r="73" spans="1:6" ht="12.75">
      <c r="A73" s="142" t="s">
        <v>157</v>
      </c>
      <c r="B73" s="142">
        <f>B18+(13/0.017)*(B19*B50-B34*B51)</f>
        <v>0.0033492079157276967</v>
      </c>
      <c r="C73" s="142">
        <f>C18+(13/0.017)*(C19*C50-C34*C51)</f>
        <v>-0.008394409437380783</v>
      </c>
      <c r="D73" s="142">
        <f>D18+(13/0.017)*(D19*D50-D34*D51)</f>
        <v>-0.022234326392878027</v>
      </c>
      <c r="E73" s="142">
        <f>E18+(13/0.017)*(E19*E50-E34*E51)</f>
        <v>-0.019484295969001447</v>
      </c>
      <c r="F73" s="142">
        <f>F18+(13/0.017)*(F19*F50-F34*F51)</f>
        <v>-0.007168122165720298</v>
      </c>
    </row>
    <row r="74" spans="1:6" ht="12.75">
      <c r="A74" s="142" t="s">
        <v>158</v>
      </c>
      <c r="B74" s="142">
        <f>B19+(14/0.017)*(B20*B50-B35*B51)</f>
        <v>-0.18285092998470837</v>
      </c>
      <c r="C74" s="142">
        <f>C19+(14/0.017)*(C20*C50-C35*C51)</f>
        <v>-0.1673020835288296</v>
      </c>
      <c r="D74" s="142">
        <f>D19+(14/0.017)*(D20*D50-D35*D51)</f>
        <v>-0.17187743733798289</v>
      </c>
      <c r="E74" s="142">
        <f>E19+(14/0.017)*(E20*E50-E35*E51)</f>
        <v>-0.18305739425799822</v>
      </c>
      <c r="F74" s="142">
        <f>F19+(14/0.017)*(F20*F50-F35*F51)</f>
        <v>-0.1390399201610037</v>
      </c>
    </row>
    <row r="75" spans="1:6" ht="12.75">
      <c r="A75" s="142" t="s">
        <v>159</v>
      </c>
      <c r="B75" s="143">
        <f>B20</f>
        <v>0.002972143</v>
      </c>
      <c r="C75" s="143">
        <f>C20</f>
        <v>-0.001308721</v>
      </c>
      <c r="D75" s="143">
        <f>D20</f>
        <v>-0.002972663</v>
      </c>
      <c r="E75" s="143">
        <f>E20</f>
        <v>-0.003066318</v>
      </c>
      <c r="F75" s="143">
        <f>F20</f>
        <v>-0.001721803</v>
      </c>
    </row>
    <row r="78" ht="12.75">
      <c r="A78" s="142" t="s">
        <v>141</v>
      </c>
    </row>
    <row r="80" spans="2:6" ht="12.75">
      <c r="B80" s="142" t="s">
        <v>71</v>
      </c>
      <c r="C80" s="142" t="s">
        <v>72</v>
      </c>
      <c r="D80" s="142" t="s">
        <v>73</v>
      </c>
      <c r="E80" s="142" t="s">
        <v>74</v>
      </c>
      <c r="F80" s="142" t="s">
        <v>75</v>
      </c>
    </row>
    <row r="81" spans="1:6" ht="12.75">
      <c r="A81" s="142" t="s">
        <v>160</v>
      </c>
      <c r="B81" s="142">
        <f>B21+(1/0.017)*(B7*B51+B22*B50)</f>
        <v>0</v>
      </c>
      <c r="C81" s="142">
        <f>C21+(1/0.017)*(C7*C51+C22*C50)</f>
        <v>0</v>
      </c>
      <c r="D81" s="142">
        <f>D21+(1/0.017)*(D7*D51+D22*D50)</f>
        <v>0</v>
      </c>
      <c r="E81" s="142">
        <f>E21+(1/0.017)*(E7*E51+E22*E50)</f>
        <v>0</v>
      </c>
      <c r="F81" s="142">
        <f>F21+(1/0.017)*(F7*F51+F22*F50)</f>
        <v>0</v>
      </c>
    </row>
    <row r="82" spans="1:6" ht="12.75">
      <c r="A82" s="142" t="s">
        <v>161</v>
      </c>
      <c r="B82" s="142">
        <f>B22+(2/0.017)*(B8*B51+B23*B50)</f>
        <v>119.69033824179381</v>
      </c>
      <c r="C82" s="142">
        <f>C22+(2/0.017)*(C8*C51+C23*C50)</f>
        <v>37.89464650367277</v>
      </c>
      <c r="D82" s="142">
        <f>D22+(2/0.017)*(D8*D51+D23*D50)</f>
        <v>-22.14995950419473</v>
      </c>
      <c r="E82" s="142">
        <f>E22+(2/0.017)*(E8*E51+E23*E50)</f>
        <v>-53.86382139911155</v>
      </c>
      <c r="F82" s="142">
        <f>F22+(2/0.017)*(F8*F51+F23*F50)</f>
        <v>-62.29590985629437</v>
      </c>
    </row>
    <row r="83" spans="1:6" ht="12.75">
      <c r="A83" s="142" t="s">
        <v>162</v>
      </c>
      <c r="B83" s="142">
        <f>B23+(3/0.017)*(B9*B51+B24*B50)</f>
        <v>3.5621507940810244</v>
      </c>
      <c r="C83" s="142">
        <f>C23+(3/0.017)*(C9*C51+C24*C50)</f>
        <v>2.682976346667784</v>
      </c>
      <c r="D83" s="142">
        <f>D23+(3/0.017)*(D9*D51+D24*D50)</f>
        <v>2.163878572379786</v>
      </c>
      <c r="E83" s="142">
        <f>E23+(3/0.017)*(E9*E51+E24*E50)</f>
        <v>2.2293779274773238</v>
      </c>
      <c r="F83" s="142">
        <f>F23+(3/0.017)*(F9*F51+F24*F50)</f>
        <v>8.930413305673541</v>
      </c>
    </row>
    <row r="84" spans="1:6" ht="12.75">
      <c r="A84" s="142" t="s">
        <v>163</v>
      </c>
      <c r="B84" s="142">
        <f>B24+(4/0.017)*(B10*B51+B25*B50)</f>
        <v>1.724983939960095</v>
      </c>
      <c r="C84" s="142">
        <f>C24+(4/0.017)*(C10*C51+C25*C50)</f>
        <v>1.2086572624374423</v>
      </c>
      <c r="D84" s="142">
        <f>D24+(4/0.017)*(D10*D51+D25*D50)</f>
        <v>1.348660073885605</v>
      </c>
      <c r="E84" s="142">
        <f>E24+(4/0.017)*(E10*E51+E25*E50)</f>
        <v>-0.10598924848627395</v>
      </c>
      <c r="F84" s="142">
        <f>F24+(4/0.017)*(F10*F51+F25*F50)</f>
        <v>1.301107362123306</v>
      </c>
    </row>
    <row r="85" spans="1:6" ht="12.75">
      <c r="A85" s="142" t="s">
        <v>164</v>
      </c>
      <c r="B85" s="142">
        <f>B25+(5/0.017)*(B11*B51+B26*B50)</f>
        <v>0.9745403419267893</v>
      </c>
      <c r="C85" s="142">
        <f>C25+(5/0.017)*(C11*C51+C26*C50)</f>
        <v>1.2947486889144826</v>
      </c>
      <c r="D85" s="142">
        <f>D25+(5/0.017)*(D11*D51+D26*D50)</f>
        <v>0.7915965517909548</v>
      </c>
      <c r="E85" s="142">
        <f>E25+(5/0.017)*(E11*E51+E26*E50)</f>
        <v>0.8338888205308672</v>
      </c>
      <c r="F85" s="142">
        <f>F25+(5/0.017)*(F11*F51+F26*F50)</f>
        <v>-0.390646280420345</v>
      </c>
    </row>
    <row r="86" spans="1:6" ht="12.75">
      <c r="A86" s="142" t="s">
        <v>165</v>
      </c>
      <c r="B86" s="142">
        <f>B26+(6/0.017)*(B12*B51+B27*B50)</f>
        <v>0.7684746772552187</v>
      </c>
      <c r="C86" s="142">
        <f>C26+(6/0.017)*(C12*C51+C27*C50)</f>
        <v>0.2902854557863658</v>
      </c>
      <c r="D86" s="142">
        <f>D26+(6/0.017)*(D12*D51+D27*D50)</f>
        <v>0.3301923856323144</v>
      </c>
      <c r="E86" s="142">
        <f>E26+(6/0.017)*(E12*E51+E27*E50)</f>
        <v>-0.20181063717930423</v>
      </c>
      <c r="F86" s="142">
        <f>F26+(6/0.017)*(F12*F51+F27*F50)</f>
        <v>1.3067578924186531</v>
      </c>
    </row>
    <row r="87" spans="1:6" ht="12.75">
      <c r="A87" s="142" t="s">
        <v>166</v>
      </c>
      <c r="B87" s="142">
        <f>B27+(7/0.017)*(B13*B51+B28*B50)</f>
        <v>0.44692086674782683</v>
      </c>
      <c r="C87" s="142">
        <f>C27+(7/0.017)*(C13*C51+C28*C50)</f>
        <v>0.18898685266238827</v>
      </c>
      <c r="D87" s="142">
        <f>D27+(7/0.017)*(D13*D51+D28*D50)</f>
        <v>0.03718674493946804</v>
      </c>
      <c r="E87" s="142">
        <f>E27+(7/0.017)*(E13*E51+E28*E50)</f>
        <v>0.12894653149290566</v>
      </c>
      <c r="F87" s="142">
        <f>F27+(7/0.017)*(F13*F51+F28*F50)</f>
        <v>0.37955880462295677</v>
      </c>
    </row>
    <row r="88" spans="1:6" ht="12.75">
      <c r="A88" s="142" t="s">
        <v>167</v>
      </c>
      <c r="B88" s="142">
        <f>B28+(8/0.017)*(B14*B51+B29*B50)</f>
        <v>0.12991911634834918</v>
      </c>
      <c r="C88" s="142">
        <f>C28+(8/0.017)*(C14*C51+C29*C50)</f>
        <v>0.45800296823264425</v>
      </c>
      <c r="D88" s="142">
        <f>D28+(8/0.017)*(D14*D51+D29*D50)</f>
        <v>0.26591569780658875</v>
      </c>
      <c r="E88" s="142">
        <f>E28+(8/0.017)*(E14*E51+E29*E50)</f>
        <v>0.3318154800337355</v>
      </c>
      <c r="F88" s="142">
        <f>F28+(8/0.017)*(F14*F51+F29*F50)</f>
        <v>0.3405745100649926</v>
      </c>
    </row>
    <row r="89" spans="1:6" ht="12.75">
      <c r="A89" s="142" t="s">
        <v>168</v>
      </c>
      <c r="B89" s="142">
        <f>B29+(9/0.017)*(B15*B51+B30*B50)</f>
        <v>0.04155264108644746</v>
      </c>
      <c r="C89" s="142">
        <f>C29+(9/0.017)*(C15*C51+C30*C50)</f>
        <v>-0.08796301099488679</v>
      </c>
      <c r="D89" s="142">
        <f>D29+(9/0.017)*(D15*D51+D30*D50)</f>
        <v>-0.09450712804717562</v>
      </c>
      <c r="E89" s="142">
        <f>E29+(9/0.017)*(E15*E51+E30*E50)</f>
        <v>0.012606012573566173</v>
      </c>
      <c r="F89" s="142">
        <f>F29+(9/0.017)*(F15*F51+F30*F50)</f>
        <v>0.008455222203441581</v>
      </c>
    </row>
    <row r="90" spans="1:6" ht="12.75">
      <c r="A90" s="142" t="s">
        <v>169</v>
      </c>
      <c r="B90" s="142">
        <f>B30+(10/0.017)*(B16*B51+B31*B50)</f>
        <v>-0.006352346323914966</v>
      </c>
      <c r="C90" s="142">
        <f>C30+(10/0.017)*(C16*C51+C31*C50)</f>
        <v>0.019031998761907403</v>
      </c>
      <c r="D90" s="142">
        <f>D30+(10/0.017)*(D16*D51+D31*D50)</f>
        <v>-0.01120294062566162</v>
      </c>
      <c r="E90" s="142">
        <f>E30+(10/0.017)*(E16*E51+E31*E50)</f>
        <v>-0.0024997931272428193</v>
      </c>
      <c r="F90" s="142">
        <f>F30+(10/0.017)*(F16*F51+F31*F50)</f>
        <v>0.09883138613498263</v>
      </c>
    </row>
    <row r="91" spans="1:6" ht="12.75">
      <c r="A91" s="142" t="s">
        <v>170</v>
      </c>
      <c r="B91" s="142">
        <f>B31+(11/0.017)*(B17*B51+B32*B50)</f>
        <v>0.10826772452440853</v>
      </c>
      <c r="C91" s="142">
        <f>C31+(11/0.017)*(C17*C51+C32*C50)</f>
        <v>0.015869897097023786</v>
      </c>
      <c r="D91" s="142">
        <f>D31+(11/0.017)*(D17*D51+D32*D50)</f>
        <v>0.020121331574702625</v>
      </c>
      <c r="E91" s="142">
        <f>E31+(11/0.017)*(E17*E51+E32*E50)</f>
        <v>0.027492916089440923</v>
      </c>
      <c r="F91" s="142">
        <f>F31+(11/0.017)*(F17*F51+F32*F50)</f>
        <v>0.08045879431779919</v>
      </c>
    </row>
    <row r="92" spans="1:6" ht="12.75">
      <c r="A92" s="142" t="s">
        <v>171</v>
      </c>
      <c r="B92" s="142">
        <f>B32+(12/0.017)*(B18*B51+B33*B50)</f>
        <v>0.010373151993338554</v>
      </c>
      <c r="C92" s="142">
        <f>C32+(12/0.017)*(C18*C51+C33*C50)</f>
        <v>0.0749353746555264</v>
      </c>
      <c r="D92" s="142">
        <f>D32+(12/0.017)*(D18*D51+D33*D50)</f>
        <v>0.02922730828744553</v>
      </c>
      <c r="E92" s="142">
        <f>E32+(12/0.017)*(E18*E51+E33*E50)</f>
        <v>0.07360497657938099</v>
      </c>
      <c r="F92" s="142">
        <f>F32+(12/0.017)*(F18*F51+F33*F50)</f>
        <v>0.00995867919867545</v>
      </c>
    </row>
    <row r="93" spans="1:6" ht="12.75">
      <c r="A93" s="142" t="s">
        <v>172</v>
      </c>
      <c r="B93" s="142">
        <f>B33+(13/0.017)*(B19*B51+B34*B50)</f>
        <v>-0.07432477405131382</v>
      </c>
      <c r="C93" s="142">
        <f>C33+(13/0.017)*(C19*C51+C34*C50)</f>
        <v>-0.08198375470022125</v>
      </c>
      <c r="D93" s="142">
        <f>D33+(13/0.017)*(D19*D51+D34*D50)</f>
        <v>-0.07829475179517256</v>
      </c>
      <c r="E93" s="142">
        <f>E33+(13/0.017)*(E19*E51+E34*E50)</f>
        <v>-0.07631834278490542</v>
      </c>
      <c r="F93" s="142">
        <f>F33+(13/0.017)*(F19*F51+F34*F50)</f>
        <v>-0.07669175688151011</v>
      </c>
    </row>
    <row r="94" spans="1:6" ht="12.75">
      <c r="A94" s="142" t="s">
        <v>173</v>
      </c>
      <c r="B94" s="142">
        <f>B34+(14/0.017)*(B20*B51+B35*B50)</f>
        <v>-0.009791657011184503</v>
      </c>
      <c r="C94" s="142">
        <f>C34+(14/0.017)*(C20*C51+C35*C50)</f>
        <v>-0.0036898349161816535</v>
      </c>
      <c r="D94" s="142">
        <f>D34+(14/0.017)*(D20*D51+D35*D50)</f>
        <v>0.004647163189664665</v>
      </c>
      <c r="E94" s="142">
        <f>E34+(14/0.017)*(E20*E51+E35*E50)</f>
        <v>0.006176891388804356</v>
      </c>
      <c r="F94" s="142">
        <f>F34+(14/0.017)*(F20*F51+F35*F50)</f>
        <v>-0.028810354071759303</v>
      </c>
    </row>
    <row r="95" spans="1:6" ht="12.75">
      <c r="A95" s="142" t="s">
        <v>174</v>
      </c>
      <c r="B95" s="143">
        <f>B35</f>
        <v>-0.001634228</v>
      </c>
      <c r="C95" s="143">
        <f>C35</f>
        <v>-0.0003885372</v>
      </c>
      <c r="D95" s="143">
        <f>D35</f>
        <v>0.002625138</v>
      </c>
      <c r="E95" s="143">
        <f>E35</f>
        <v>0.003424144</v>
      </c>
      <c r="F95" s="143">
        <f>F35</f>
        <v>0.005830538</v>
      </c>
    </row>
    <row r="98" ht="12.75">
      <c r="A98" s="142" t="s">
        <v>142</v>
      </c>
    </row>
    <row r="100" spans="2:11" ht="12.75">
      <c r="B100" s="142" t="s">
        <v>71</v>
      </c>
      <c r="C100" s="142" t="s">
        <v>72</v>
      </c>
      <c r="D100" s="142" t="s">
        <v>73</v>
      </c>
      <c r="E100" s="142" t="s">
        <v>74</v>
      </c>
      <c r="F100" s="142" t="s">
        <v>75</v>
      </c>
      <c r="G100" s="142" t="s">
        <v>144</v>
      </c>
      <c r="H100" s="142" t="s">
        <v>145</v>
      </c>
      <c r="I100" s="142" t="s">
        <v>140</v>
      </c>
      <c r="K100" s="142" t="s">
        <v>175</v>
      </c>
    </row>
    <row r="101" spans="1:9" ht="12.75">
      <c r="A101" s="142" t="s">
        <v>143</v>
      </c>
      <c r="B101" s="142">
        <f>B61*10000/B62</f>
        <v>0</v>
      </c>
      <c r="C101" s="142">
        <f>C61*10000/C62</f>
        <v>0</v>
      </c>
      <c r="D101" s="142">
        <f>D61*10000/D62</f>
        <v>0</v>
      </c>
      <c r="E101" s="142">
        <f>E61*10000/E62</f>
        <v>0</v>
      </c>
      <c r="F101" s="142">
        <f>F61*10000/F62</f>
        <v>0</v>
      </c>
      <c r="G101" s="142">
        <f>AVERAGE(C101:E101)</f>
        <v>0</v>
      </c>
      <c r="H101" s="142">
        <f>STDEV(C101:E101)</f>
        <v>0</v>
      </c>
      <c r="I101" s="142">
        <f>(B101*B4+C101*C4+D101*D4+E101*E4+F101*F4)/SUM(B4:F4)</f>
        <v>0</v>
      </c>
    </row>
    <row r="102" spans="1:9" ht="12.75">
      <c r="A102" s="142" t="s">
        <v>146</v>
      </c>
      <c r="B102" s="142">
        <f>B62*10000/B62</f>
        <v>10000</v>
      </c>
      <c r="C102" s="142">
        <f>C62*10000/C62</f>
        <v>10000</v>
      </c>
      <c r="D102" s="142">
        <f>D62*10000/D62</f>
        <v>10000</v>
      </c>
      <c r="E102" s="142">
        <f>E62*10000/E62</f>
        <v>10000</v>
      </c>
      <c r="F102" s="142">
        <f>F62*10000/F62</f>
        <v>10000</v>
      </c>
      <c r="G102" s="142">
        <f>AVERAGE(C102:E102)</f>
        <v>10000</v>
      </c>
      <c r="H102" s="142">
        <f>STDEV(C102:E102)</f>
        <v>0</v>
      </c>
      <c r="I102" s="142">
        <f>(B102*B4+C102*C4+D102*D4+E102*E4+F102*F4)/SUM(B4:F4)</f>
        <v>10000</v>
      </c>
    </row>
    <row r="103" spans="1:11" ht="12.75">
      <c r="A103" s="142" t="s">
        <v>147</v>
      </c>
      <c r="B103" s="142">
        <f>B63*10000/B62</f>
        <v>-1.1915048089756088</v>
      </c>
      <c r="C103" s="142">
        <f>C63*10000/C62</f>
        <v>-0.9721743806554208</v>
      </c>
      <c r="D103" s="142">
        <f>D63*10000/D62</f>
        <v>-1.8517414712355513</v>
      </c>
      <c r="E103" s="142">
        <f>E63*10000/E62</f>
        <v>-3.673631493548405</v>
      </c>
      <c r="F103" s="142">
        <f>F63*10000/F62</f>
        <v>-4.993291355487935</v>
      </c>
      <c r="G103" s="142">
        <f>AVERAGE(C103:E103)</f>
        <v>-2.165849115146459</v>
      </c>
      <c r="H103" s="142">
        <f>STDEV(C103:E103)</f>
        <v>1.377848083851217</v>
      </c>
      <c r="I103" s="142">
        <f>(B103*B4+C103*C4+D103*D4+E103*E4+F103*F4)/SUM(B4:F4)</f>
        <v>-2.404379132076938</v>
      </c>
      <c r="K103" s="142">
        <f>(LN(H103)+LN(H123))/2-LN(K114*K115^3)</f>
        <v>-4.3499488333783285</v>
      </c>
    </row>
    <row r="104" spans="1:11" ht="12.75">
      <c r="A104" s="142" t="s">
        <v>148</v>
      </c>
      <c r="B104" s="142">
        <f>B64*10000/B62</f>
        <v>0.04507288033900118</v>
      </c>
      <c r="C104" s="142">
        <f>C64*10000/C62</f>
        <v>0.19261608881003361</v>
      </c>
      <c r="D104" s="142">
        <f>D64*10000/D62</f>
        <v>0.4133404688263304</v>
      </c>
      <c r="E104" s="142">
        <f>E64*10000/E62</f>
        <v>0.2772827696291371</v>
      </c>
      <c r="F104" s="142">
        <f>F64*10000/F62</f>
        <v>0.5192056030117136</v>
      </c>
      <c r="G104" s="142">
        <f>AVERAGE(C104:E104)</f>
        <v>0.2944131090885004</v>
      </c>
      <c r="H104" s="142">
        <f>STDEV(C104:E104)</f>
        <v>0.1113548354625403</v>
      </c>
      <c r="I104" s="142">
        <f>(B104*B4+C104*C4+D104*D4+E104*E4+F104*F4)/SUM(B4:F4)</f>
        <v>0.2885770128126046</v>
      </c>
      <c r="K104" s="142">
        <f>(LN(H104)+LN(H124))/2-LN(K114*K115^4)</f>
        <v>-4.494752392971474</v>
      </c>
    </row>
    <row r="105" spans="1:11" ht="12.75">
      <c r="A105" s="142" t="s">
        <v>149</v>
      </c>
      <c r="B105" s="142">
        <f>B65*10000/B62</f>
        <v>-0.14619734633100867</v>
      </c>
      <c r="C105" s="142">
        <f>C65*10000/C62</f>
        <v>0.40486722148479554</v>
      </c>
      <c r="D105" s="142">
        <f>D65*10000/D62</f>
        <v>0.965380354496347</v>
      </c>
      <c r="E105" s="142">
        <f>E65*10000/E62</f>
        <v>1.5187765468791448</v>
      </c>
      <c r="F105" s="142">
        <f>F65*10000/F62</f>
        <v>0.31618071308694223</v>
      </c>
      <c r="G105" s="142">
        <f>AVERAGE(C105:E105)</f>
        <v>0.9630080409534291</v>
      </c>
      <c r="H105" s="142">
        <f>STDEV(C105:E105)</f>
        <v>0.5569584519547061</v>
      </c>
      <c r="I105" s="142">
        <f>(B105*B4+C105*C4+D105*D4+E105*E4+F105*F4)/SUM(B4:F4)</f>
        <v>0.716530578718256</v>
      </c>
      <c r="K105" s="142">
        <f>(LN(H105)+LN(H125))/2-LN(K114*K115^5)</f>
        <v>-3.626643569643874</v>
      </c>
    </row>
    <row r="106" spans="1:11" ht="12.75">
      <c r="A106" s="142" t="s">
        <v>150</v>
      </c>
      <c r="B106" s="142">
        <f>B66*10000/B62</f>
        <v>3.927083381559902</v>
      </c>
      <c r="C106" s="142">
        <f>C66*10000/C62</f>
        <v>4.20168810850532</v>
      </c>
      <c r="D106" s="142">
        <f>D66*10000/D62</f>
        <v>4.111160573974768</v>
      </c>
      <c r="E106" s="142">
        <f>E66*10000/E62</f>
        <v>4.170571243518949</v>
      </c>
      <c r="F106" s="142">
        <f>F66*10000/F62</f>
        <v>14.476373228002062</v>
      </c>
      <c r="G106" s="142">
        <f>AVERAGE(C106:E106)</f>
        <v>4.161139975333012</v>
      </c>
      <c r="H106" s="142">
        <f>STDEV(C106:E106)</f>
        <v>0.04599478494073716</v>
      </c>
      <c r="I106" s="142">
        <f>(B106*B4+C106*C4+D106*D4+E106*E4+F106*F4)/SUM(B4:F4)</f>
        <v>5.509176898511593</v>
      </c>
      <c r="K106" s="142">
        <f>(LN(H106)+LN(H126))/2-LN(K114*K115^6)</f>
        <v>-4.252383977460248</v>
      </c>
    </row>
    <row r="107" spans="1:11" ht="12.75">
      <c r="A107" s="142" t="s">
        <v>151</v>
      </c>
      <c r="B107" s="142">
        <f>B67*10000/B62</f>
        <v>0.01421047356324343</v>
      </c>
      <c r="C107" s="142">
        <f>C67*10000/C62</f>
        <v>-0.07858330197133566</v>
      </c>
      <c r="D107" s="142">
        <f>D67*10000/D62</f>
        <v>0.04587692635499007</v>
      </c>
      <c r="E107" s="142">
        <f>E67*10000/E62</f>
        <v>-0.12551555721645002</v>
      </c>
      <c r="F107" s="142">
        <f>F67*10000/F62</f>
        <v>-0.45541435657830903</v>
      </c>
      <c r="G107" s="142">
        <f>AVERAGE(C107:E107)</f>
        <v>-0.05274064427759854</v>
      </c>
      <c r="H107" s="142">
        <f>STDEV(C107:E107)</f>
        <v>0.0885704695352991</v>
      </c>
      <c r="I107" s="142">
        <f>(B107*B4+C107*C4+D107*D4+E107*E4+F107*F4)/SUM(B4:F4)</f>
        <v>-0.09703508140097454</v>
      </c>
      <c r="K107" s="142">
        <f>(LN(H107)+LN(H127))/2-LN(K114*K115^7)</f>
        <v>-4.010806737346766</v>
      </c>
    </row>
    <row r="108" spans="1:9" ht="12.75">
      <c r="A108" s="142" t="s">
        <v>152</v>
      </c>
      <c r="B108" s="142">
        <f>B68*10000/B62</f>
        <v>-0.16683673647080408</v>
      </c>
      <c r="C108" s="142">
        <f>C68*10000/C62</f>
        <v>-0.19395128466019884</v>
      </c>
      <c r="D108" s="142">
        <f>D68*10000/D62</f>
        <v>-0.008835645784766439</v>
      </c>
      <c r="E108" s="142">
        <f>E68*10000/E62</f>
        <v>0.05211997404993434</v>
      </c>
      <c r="F108" s="142">
        <f>F68*10000/F62</f>
        <v>-0.20130133141697992</v>
      </c>
      <c r="G108" s="142">
        <f>AVERAGE(C108:E108)</f>
        <v>-0.05022231879834365</v>
      </c>
      <c r="H108" s="142">
        <f>STDEV(C108:E108)</f>
        <v>0.12814994583747155</v>
      </c>
      <c r="I108" s="142">
        <f>(B108*B4+C108*C4+D108*D4+E108*E4+F108*F4)/SUM(B4:F4)</f>
        <v>-0.08725276508196647</v>
      </c>
    </row>
    <row r="109" spans="1:9" ht="12.75">
      <c r="A109" s="142" t="s">
        <v>153</v>
      </c>
      <c r="B109" s="142">
        <f>B69*10000/B62</f>
        <v>-0.03916612932464527</v>
      </c>
      <c r="C109" s="142">
        <f>C69*10000/C62</f>
        <v>-0.042311083773074326</v>
      </c>
      <c r="D109" s="142">
        <f>D69*10000/D62</f>
        <v>0.05114774511533741</v>
      </c>
      <c r="E109" s="142">
        <f>E69*10000/E62</f>
        <v>0.048306427400804826</v>
      </c>
      <c r="F109" s="142">
        <f>F69*10000/F62</f>
        <v>0.03263594171121798</v>
      </c>
      <c r="G109" s="142">
        <f>AVERAGE(C109:E109)</f>
        <v>0.019047696247689302</v>
      </c>
      <c r="H109" s="142">
        <f>STDEV(C109:E109)</f>
        <v>0.05315724960733085</v>
      </c>
      <c r="I109" s="142">
        <f>(B109*B4+C109*C4+D109*D4+E109*E4+F109*F4)/SUM(B4:F4)</f>
        <v>0.01248165859434449</v>
      </c>
    </row>
    <row r="110" spans="1:11" ht="12.75">
      <c r="A110" s="142" t="s">
        <v>154</v>
      </c>
      <c r="B110" s="142">
        <f>B70*10000/B62</f>
        <v>-0.34608522180970586</v>
      </c>
      <c r="C110" s="142">
        <f>C70*10000/C62</f>
        <v>-0.0891338793654797</v>
      </c>
      <c r="D110" s="142">
        <f>D70*10000/D62</f>
        <v>-0.05255653794409633</v>
      </c>
      <c r="E110" s="142">
        <f>E70*10000/E62</f>
        <v>-0.034503825112733894</v>
      </c>
      <c r="F110" s="142">
        <f>F70*10000/F62</f>
        <v>-0.32814183878108616</v>
      </c>
      <c r="G110" s="142">
        <f>AVERAGE(C110:E110)</f>
        <v>-0.05873141414076998</v>
      </c>
      <c r="H110" s="142">
        <f>STDEV(C110:E110)</f>
        <v>0.027833568383297036</v>
      </c>
      <c r="I110" s="142">
        <f>(B110*B4+C110*C4+D110*D4+E110*E4+F110*F4)/SUM(B4:F4)</f>
        <v>-0.13624945751585457</v>
      </c>
      <c r="K110" s="142">
        <f>EXP(AVERAGE(K103:K107))</f>
        <v>0.015813249693681964</v>
      </c>
    </row>
    <row r="111" spans="1:9" ht="12.75">
      <c r="A111" s="142" t="s">
        <v>155</v>
      </c>
      <c r="B111" s="142">
        <f>B71*10000/B62</f>
        <v>0.023712196859328866</v>
      </c>
      <c r="C111" s="142">
        <f>C71*10000/C62</f>
        <v>0.05960719971172174</v>
      </c>
      <c r="D111" s="142">
        <f>D71*10000/D62</f>
        <v>0.017338809099875455</v>
      </c>
      <c r="E111" s="142">
        <f>E71*10000/E62</f>
        <v>0.056300297682923356</v>
      </c>
      <c r="F111" s="142">
        <f>F71*10000/F62</f>
        <v>-0.01329618505131954</v>
      </c>
      <c r="G111" s="142">
        <f>AVERAGE(C111:E111)</f>
        <v>0.04441543549817351</v>
      </c>
      <c r="H111" s="142">
        <f>STDEV(C111:E111)</f>
        <v>0.02350726851617977</v>
      </c>
      <c r="I111" s="142">
        <f>(B111*B4+C111*C4+D111*D4+E111*E4+F111*F4)/SUM(B4:F4)</f>
        <v>0.03369993809781282</v>
      </c>
    </row>
    <row r="112" spans="1:9" ht="12.75">
      <c r="A112" s="142" t="s">
        <v>156</v>
      </c>
      <c r="B112" s="142">
        <f>B72*10000/B62</f>
        <v>-0.08080964082779166</v>
      </c>
      <c r="C112" s="142">
        <f>C72*10000/C62</f>
        <v>-0.04944487065358319</v>
      </c>
      <c r="D112" s="142">
        <f>D72*10000/D62</f>
        <v>-0.03715108009877764</v>
      </c>
      <c r="E112" s="142">
        <f>E72*10000/E62</f>
        <v>-0.03782299972164282</v>
      </c>
      <c r="F112" s="142">
        <f>F72*10000/F62</f>
        <v>-0.06203698733131338</v>
      </c>
      <c r="G112" s="142">
        <f>AVERAGE(C112:E112)</f>
        <v>-0.04147298349133455</v>
      </c>
      <c r="H112" s="142">
        <f>STDEV(C112:E112)</f>
        <v>0.006912026308588289</v>
      </c>
      <c r="I112" s="142">
        <f>(B112*B4+C112*C4+D112*D4+E112*E4+F112*F4)/SUM(B4:F4)</f>
        <v>-0.04989868575736503</v>
      </c>
    </row>
    <row r="113" spans="1:9" ht="12.75">
      <c r="A113" s="142" t="s">
        <v>157</v>
      </c>
      <c r="B113" s="142">
        <f>B73*10000/B62</f>
        <v>0.003349476523530986</v>
      </c>
      <c r="C113" s="142">
        <f>C73*10000/C62</f>
        <v>-0.008394834137798854</v>
      </c>
      <c r="D113" s="142">
        <f>D73*10000/D62</f>
        <v>-0.02223520225489886</v>
      </c>
      <c r="E113" s="142">
        <f>E73*10000/E62</f>
        <v>-0.019485482200786598</v>
      </c>
      <c r="F113" s="142">
        <f>F73*10000/F62</f>
        <v>-0.007169715287109493</v>
      </c>
      <c r="G113" s="142">
        <f>AVERAGE(C113:E113)</f>
        <v>-0.01670517286449477</v>
      </c>
      <c r="H113" s="142">
        <f>STDEV(C113:E113)</f>
        <v>0.007327109758172943</v>
      </c>
      <c r="I113" s="142">
        <f>(B113*B4+C113*C4+D113*D4+E113*E4+F113*F4)/SUM(B4:F4)</f>
        <v>-0.012537020553193879</v>
      </c>
    </row>
    <row r="114" spans="1:11" ht="12.75">
      <c r="A114" s="142" t="s">
        <v>158</v>
      </c>
      <c r="B114" s="142">
        <f>B74*10000/B62</f>
        <v>-0.1828655947018201</v>
      </c>
      <c r="C114" s="142">
        <f>C74*10000/C62</f>
        <v>-0.16731054788422575</v>
      </c>
      <c r="D114" s="142">
        <f>D74*10000/D62</f>
        <v>-0.17188420799147347</v>
      </c>
      <c r="E114" s="142">
        <f>E74*10000/E62</f>
        <v>-0.18306853905378254</v>
      </c>
      <c r="F114" s="142">
        <f>F74*10000/F62</f>
        <v>-0.13907082190425518</v>
      </c>
      <c r="G114" s="142">
        <f>AVERAGE(C114:E114)</f>
        <v>-0.17408776497649392</v>
      </c>
      <c r="H114" s="142">
        <f>STDEV(C114:E114)</f>
        <v>0.008106806952470916</v>
      </c>
      <c r="I114" s="142">
        <f>(B114*B4+C114*C4+D114*D4+E114*E4+F114*F4)/SUM(B4:F4)</f>
        <v>-0.17066430592921042</v>
      </c>
      <c r="J114" s="142" t="s">
        <v>176</v>
      </c>
      <c r="K114" s="142">
        <v>285</v>
      </c>
    </row>
    <row r="115" spans="1:11" ht="12.75">
      <c r="A115" s="142" t="s">
        <v>159</v>
      </c>
      <c r="B115" s="142">
        <f>B75*10000/B62</f>
        <v>0.0029723813670474867</v>
      </c>
      <c r="C115" s="142">
        <f>C75*10000/C62</f>
        <v>-0.0013087872124429342</v>
      </c>
      <c r="D115" s="142">
        <f>D75*10000/D62</f>
        <v>-0.0029727801001350087</v>
      </c>
      <c r="E115" s="142">
        <f>E75*10000/E62</f>
        <v>-0.0030665046818221593</v>
      </c>
      <c r="F115" s="142">
        <f>F75*10000/F62</f>
        <v>-0.0017221856722151022</v>
      </c>
      <c r="G115" s="142">
        <f>AVERAGE(C115:E115)</f>
        <v>-0.0024493573314667005</v>
      </c>
      <c r="H115" s="142">
        <f>STDEV(C115:E115)</f>
        <v>0.000988873713681644</v>
      </c>
      <c r="I115" s="142">
        <f>(B115*B4+C115*C4+D115*D4+E115*E4+F115*F4)/SUM(B4:F4)</f>
        <v>-0.001570332151316746</v>
      </c>
      <c r="J115" s="142" t="s">
        <v>177</v>
      </c>
      <c r="K115" s="142">
        <v>0.5536</v>
      </c>
    </row>
    <row r="118" ht="12.75">
      <c r="A118" s="142" t="s">
        <v>142</v>
      </c>
    </row>
    <row r="120" spans="2:9" ht="12.75">
      <c r="B120" s="142" t="s">
        <v>71</v>
      </c>
      <c r="C120" s="142" t="s">
        <v>72</v>
      </c>
      <c r="D120" s="142" t="s">
        <v>73</v>
      </c>
      <c r="E120" s="142" t="s">
        <v>74</v>
      </c>
      <c r="F120" s="142" t="s">
        <v>75</v>
      </c>
      <c r="G120" s="142" t="s">
        <v>144</v>
      </c>
      <c r="H120" s="142" t="s">
        <v>145</v>
      </c>
      <c r="I120" s="142" t="s">
        <v>140</v>
      </c>
    </row>
    <row r="121" spans="1:9" ht="12.75">
      <c r="A121" s="142" t="s">
        <v>160</v>
      </c>
      <c r="B121" s="142">
        <f>B81*10000/B62</f>
        <v>0</v>
      </c>
      <c r="C121" s="142">
        <f>C81*10000/C62</f>
        <v>0</v>
      </c>
      <c r="D121" s="142">
        <f>D81*10000/D62</f>
        <v>0</v>
      </c>
      <c r="E121" s="142">
        <f>E81*10000/E62</f>
        <v>0</v>
      </c>
      <c r="F121" s="142">
        <f>F81*10000/F62</f>
        <v>0</v>
      </c>
      <c r="G121" s="142">
        <f>AVERAGE(C121:E121)</f>
        <v>0</v>
      </c>
      <c r="H121" s="142">
        <f>STDEV(C121:E121)</f>
        <v>0</v>
      </c>
      <c r="I121" s="142">
        <f>(B121*B4+C121*C4+D121*D4+E121*E4+F121*F4)/SUM(B4:F4)</f>
        <v>0</v>
      </c>
    </row>
    <row r="122" spans="1:9" ht="12.75">
      <c r="A122" s="142" t="s">
        <v>161</v>
      </c>
      <c r="B122" s="142">
        <f>B82*10000/B62</f>
        <v>119.69993745439542</v>
      </c>
      <c r="C122" s="142">
        <f>C82*10000/C62</f>
        <v>37.89656371682907</v>
      </c>
      <c r="D122" s="142">
        <f>D82*10000/D62</f>
        <v>-22.150832042806872</v>
      </c>
      <c r="E122" s="142">
        <f>E82*10000/E62</f>
        <v>-53.8671007055394</v>
      </c>
      <c r="F122" s="142">
        <f>F82*10000/F62</f>
        <v>-62.309755176471256</v>
      </c>
      <c r="G122" s="142">
        <f>AVERAGE(C122:E122)</f>
        <v>-12.707123010505734</v>
      </c>
      <c r="H122" s="142">
        <f>STDEV(C122:E122)</f>
        <v>46.60504540573196</v>
      </c>
      <c r="I122" s="142">
        <f>(B122*B4+C122*C4+D122*D4+E122*E4+F122*F4)/SUM(B4:F4)</f>
        <v>-0.2682361828293017</v>
      </c>
    </row>
    <row r="123" spans="1:9" ht="12.75">
      <c r="A123" s="142" t="s">
        <v>162</v>
      </c>
      <c r="B123" s="142">
        <f>B83*10000/B62</f>
        <v>3.5624364799876203</v>
      </c>
      <c r="C123" s="142">
        <f>C83*10000/C62</f>
        <v>2.6831120871489462</v>
      </c>
      <c r="D123" s="142">
        <f>D83*10000/D62</f>
        <v>2.16396381260815</v>
      </c>
      <c r="E123" s="142">
        <f>E83*10000/E62</f>
        <v>2.22951365519173</v>
      </c>
      <c r="F123" s="142">
        <f>F83*10000/F62</f>
        <v>8.932398097802176</v>
      </c>
      <c r="G123" s="142">
        <f>AVERAGE(C123:E123)</f>
        <v>2.358863184982942</v>
      </c>
      <c r="H123" s="142">
        <f>STDEV(C123:E123)</f>
        <v>0.28271400457455265</v>
      </c>
      <c r="I123" s="142">
        <f>(B123*B4+C123*C4+D123*D4+E123*E4+F123*F4)/SUM(B4:F4)</f>
        <v>3.4129351761819104</v>
      </c>
    </row>
    <row r="124" spans="1:9" ht="12.75">
      <c r="A124" s="142" t="s">
        <v>163</v>
      </c>
      <c r="B124" s="142">
        <f>B84*10000/B62</f>
        <v>1.7251222843562868</v>
      </c>
      <c r="C124" s="142">
        <f>C84*10000/C62</f>
        <v>1.2087184123311294</v>
      </c>
      <c r="D124" s="142">
        <f>D84*10000/D62</f>
        <v>1.3487132007542522</v>
      </c>
      <c r="E124" s="142">
        <f>E84*10000/E62</f>
        <v>-0.10599570126319945</v>
      </c>
      <c r="F124" s="142">
        <f>F84*10000/F62</f>
        <v>1.3013965343667913</v>
      </c>
      <c r="G124" s="142">
        <f>AVERAGE(C124:E124)</f>
        <v>0.8171453039407274</v>
      </c>
      <c r="H124" s="142">
        <f>STDEV(C124:E124)</f>
        <v>0.8025220382102264</v>
      </c>
      <c r="I124" s="142">
        <f>(B124*B4+C124*C4+D124*D4+E124*E4+F124*F4)/SUM(B4:F4)</f>
        <v>1.0127929712417796</v>
      </c>
    </row>
    <row r="125" spans="1:9" ht="12.75">
      <c r="A125" s="142" t="s">
        <v>164</v>
      </c>
      <c r="B125" s="142">
        <f>B85*10000/B62</f>
        <v>0.9746185004487588</v>
      </c>
      <c r="C125" s="142">
        <f>C85*10000/C62</f>
        <v>1.2948141944528508</v>
      </c>
      <c r="D125" s="142">
        <f>D85*10000/D62</f>
        <v>0.7916277346270473</v>
      </c>
      <c r="E125" s="142">
        <f>E85*10000/E62</f>
        <v>0.8339395888740381</v>
      </c>
      <c r="F125" s="142">
        <f>F85*10000/F62</f>
        <v>-0.39073310189611776</v>
      </c>
      <c r="G125" s="142">
        <f>AVERAGE(C125:E125)</f>
        <v>0.9734605059846454</v>
      </c>
      <c r="H125" s="142">
        <f>STDEV(C125:E125)</f>
        <v>0.27910341823694157</v>
      </c>
      <c r="I125" s="142">
        <f>(B125*B4+C125*C4+D125*D4+E125*E4+F125*F4)/SUM(B4:F4)</f>
        <v>0.7908471685420343</v>
      </c>
    </row>
    <row r="126" spans="1:9" ht="12.75">
      <c r="A126" s="142" t="s">
        <v>165</v>
      </c>
      <c r="B126" s="142">
        <f>B86*10000/B62</f>
        <v>0.7685363092291464</v>
      </c>
      <c r="C126" s="142">
        <f>C86*10000/C62</f>
        <v>0.29030014226971546</v>
      </c>
      <c r="D126" s="142">
        <f>D86*10000/D62</f>
        <v>0.3302053926811916</v>
      </c>
      <c r="E126" s="142">
        <f>E86*10000/E62</f>
        <v>-0.20182292369931934</v>
      </c>
      <c r="F126" s="142">
        <f>F86*10000/F62</f>
        <v>1.3070483204974137</v>
      </c>
      <c r="G126" s="142">
        <f>AVERAGE(C126:E126)</f>
        <v>0.1395608704171959</v>
      </c>
      <c r="H126" s="142">
        <f>STDEV(C126:E126)</f>
        <v>0.29631955456338194</v>
      </c>
      <c r="I126" s="142">
        <f>(B126*B4+C126*C4+D126*D4+E126*E4+F126*F4)/SUM(B4:F4)</f>
        <v>0.38659233489327227</v>
      </c>
    </row>
    <row r="127" spans="1:9" ht="12.75">
      <c r="A127" s="142" t="s">
        <v>166</v>
      </c>
      <c r="B127" s="142">
        <f>B87*10000/B62</f>
        <v>0.4469567099786091</v>
      </c>
      <c r="C127" s="142">
        <f>C87*10000/C62</f>
        <v>0.1889964141206343</v>
      </c>
      <c r="D127" s="142">
        <f>D87*10000/D62</f>
        <v>0.03718820981216062</v>
      </c>
      <c r="E127" s="142">
        <f>E87*10000/E62</f>
        <v>0.1289543819420307</v>
      </c>
      <c r="F127" s="142">
        <f>F87*10000/F62</f>
        <v>0.37964316189758496</v>
      </c>
      <c r="G127" s="142">
        <f>AVERAGE(C127:E127)</f>
        <v>0.11837966862494187</v>
      </c>
      <c r="H127" s="142">
        <f>STDEV(C127:E127)</f>
        <v>0.07645456915806136</v>
      </c>
      <c r="I127" s="142">
        <f>(B127*B4+C127*C4+D127*D4+E127*E4+F127*F4)/SUM(B4:F4)</f>
        <v>0.20075229777061862</v>
      </c>
    </row>
    <row r="128" spans="1:9" ht="12.75">
      <c r="A128" s="142" t="s">
        <v>167</v>
      </c>
      <c r="B128" s="142">
        <f>B88*10000/B62</f>
        <v>0.12992953591301212</v>
      </c>
      <c r="C128" s="142">
        <f>C88*10000/C62</f>
        <v>0.4580261400892873</v>
      </c>
      <c r="D128" s="142">
        <f>D88*10000/D62</f>
        <v>0.2659261728466838</v>
      </c>
      <c r="E128" s="142">
        <f>E88*10000/E62</f>
        <v>0.33183568143438386</v>
      </c>
      <c r="F128" s="142">
        <f>F88*10000/F62</f>
        <v>0.3406502030462303</v>
      </c>
      <c r="G128" s="142">
        <f>AVERAGE(C128:E128)</f>
        <v>0.351929331456785</v>
      </c>
      <c r="H128" s="142">
        <f>STDEV(C128:E128)</f>
        <v>0.09761360269997908</v>
      </c>
      <c r="I128" s="142">
        <f>(B128*B4+C128*C4+D128*D4+E128*E4+F128*F4)/SUM(B4:F4)</f>
        <v>0.31839860486031346</v>
      </c>
    </row>
    <row r="129" spans="1:9" ht="12.75">
      <c r="A129" s="142" t="s">
        <v>168</v>
      </c>
      <c r="B129" s="142">
        <f>B89*10000/B62</f>
        <v>0.04155597362474425</v>
      </c>
      <c r="C129" s="142">
        <f>C89*10000/C62</f>
        <v>-0.08796746132910303</v>
      </c>
      <c r="D129" s="142">
        <f>D89*10000/D62</f>
        <v>-0.09451085090356856</v>
      </c>
      <c r="E129" s="142">
        <f>E89*10000/E62</f>
        <v>0.012606780045627907</v>
      </c>
      <c r="F129" s="142">
        <f>F89*10000/F62</f>
        <v>0.008457101383934225</v>
      </c>
      <c r="G129" s="142">
        <f>AVERAGE(C129:E129)</f>
        <v>-0.05662384406234789</v>
      </c>
      <c r="H129" s="142">
        <f>STDEV(C129:E129)</f>
        <v>0.060044678969627986</v>
      </c>
      <c r="I129" s="142">
        <f>(B129*B4+C129*C4+D129*D4+E129*E4+F129*F4)/SUM(B4:F4)</f>
        <v>-0.03373831350344929</v>
      </c>
    </row>
    <row r="130" spans="1:9" ht="12.75">
      <c r="A130" s="142" t="s">
        <v>169</v>
      </c>
      <c r="B130" s="142">
        <f>B90*10000/B62</f>
        <v>-0.006352855784609773</v>
      </c>
      <c r="C130" s="142">
        <f>C90*10000/C62</f>
        <v>0.01903296165249443</v>
      </c>
      <c r="D130" s="142">
        <f>D90*10000/D62</f>
        <v>-0.011203381935645214</v>
      </c>
      <c r="E130" s="142">
        <f>E90*10000/E62</f>
        <v>-0.0024999453182210593</v>
      </c>
      <c r="F130" s="142">
        <f>F90*10000/F62</f>
        <v>0.09885335149655645</v>
      </c>
      <c r="G130" s="142">
        <f>AVERAGE(C130:E130)</f>
        <v>0.0017765447995427193</v>
      </c>
      <c r="H130" s="142">
        <f>STDEV(C130:E130)</f>
        <v>0.015565198173826981</v>
      </c>
      <c r="I130" s="142">
        <f>(B130*B4+C130*C4+D130*D4+E130*E4+F130*F4)/SUM(B4:F4)</f>
        <v>0.013606723593668778</v>
      </c>
    </row>
    <row r="131" spans="1:9" ht="12.75">
      <c r="A131" s="142" t="s">
        <v>170</v>
      </c>
      <c r="B131" s="142">
        <f>B91*10000/B62</f>
        <v>0.10827640763885928</v>
      </c>
      <c r="C131" s="142">
        <f>C91*10000/C62</f>
        <v>0.015870700006624768</v>
      </c>
      <c r="D131" s="142">
        <f>D91*10000/D62</f>
        <v>0.02012212420092496</v>
      </c>
      <c r="E131" s="142">
        <f>E91*10000/E62</f>
        <v>0.027494589897464762</v>
      </c>
      <c r="F131" s="142">
        <f>F91*10000/F62</f>
        <v>0.0804766763548534</v>
      </c>
      <c r="G131" s="142">
        <f>AVERAGE(C131:E131)</f>
        <v>0.021162471368338164</v>
      </c>
      <c r="H131" s="142">
        <f>STDEV(C131:E131)</f>
        <v>0.005881364273716735</v>
      </c>
      <c r="I131" s="142">
        <f>(B131*B4+C131*C4+D131*D4+E131*E4+F131*F4)/SUM(B4:F4)</f>
        <v>0.04167019357943958</v>
      </c>
    </row>
    <row r="132" spans="1:9" ht="12.75">
      <c r="A132" s="142" t="s">
        <v>171</v>
      </c>
      <c r="B132" s="142">
        <f>B92*10000/B62</f>
        <v>0.010373983924242882</v>
      </c>
      <c r="C132" s="142">
        <f>C92*10000/C62</f>
        <v>0.07493916587933813</v>
      </c>
      <c r="D132" s="142">
        <f>D92*10000/D62</f>
        <v>0.029228459619347735</v>
      </c>
      <c r="E132" s="142">
        <f>E92*10000/E62</f>
        <v>0.07360945775554988</v>
      </c>
      <c r="F132" s="142">
        <f>F92*10000/F62</f>
        <v>0.009960892523793625</v>
      </c>
      <c r="G132" s="142">
        <f>AVERAGE(C132:E132)</f>
        <v>0.05925902775141192</v>
      </c>
      <c r="H132" s="142">
        <f>STDEV(C132:E132)</f>
        <v>0.02601573173436656</v>
      </c>
      <c r="I132" s="142">
        <f>(B132*B4+C132*C4+D132*D4+E132*E4+F132*F4)/SUM(B4:F4)</f>
        <v>0.045607277288822905</v>
      </c>
    </row>
    <row r="133" spans="1:9" ht="12.75">
      <c r="A133" s="142" t="s">
        <v>172</v>
      </c>
      <c r="B133" s="142">
        <f>B93*10000/B62</f>
        <v>-0.07433073492767332</v>
      </c>
      <c r="C133" s="142">
        <f>C93*10000/C62</f>
        <v>-0.08198790252445545</v>
      </c>
      <c r="D133" s="142">
        <f>D93*10000/D62</f>
        <v>-0.07829783600821848</v>
      </c>
      <c r="E133" s="142">
        <f>E93*10000/E62</f>
        <v>-0.07632298915468679</v>
      </c>
      <c r="F133" s="142">
        <f>F93*10000/F62</f>
        <v>-0.07670880169121595</v>
      </c>
      <c r="G133" s="142">
        <f>AVERAGE(C133:E133)</f>
        <v>-0.0788695758957869</v>
      </c>
      <c r="H133" s="142">
        <f>STDEV(C133:E133)</f>
        <v>0.0028754087963325636</v>
      </c>
      <c r="I133" s="142">
        <f>(B133*B4+C133*C4+D133*D4+E133*E4+F133*F4)/SUM(B4:F4)</f>
        <v>-0.07792514010851653</v>
      </c>
    </row>
    <row r="134" spans="1:9" ht="12.75">
      <c r="A134" s="142" t="s">
        <v>173</v>
      </c>
      <c r="B134" s="142">
        <f>B94*10000/B62</f>
        <v>-0.009792442305960615</v>
      </c>
      <c r="C134" s="142">
        <f>C94*10000/C62</f>
        <v>-0.0036900215969056763</v>
      </c>
      <c r="D134" s="142">
        <f>D94*10000/D62</f>
        <v>0.004647346252271129</v>
      </c>
      <c r="E134" s="142">
        <f>E94*10000/E62</f>
        <v>0.006177267446779994</v>
      </c>
      <c r="F134" s="142">
        <f>F94*10000/F62</f>
        <v>-0.02881675719802318</v>
      </c>
      <c r="G134" s="142">
        <f>AVERAGE(C134:E134)</f>
        <v>0.002378197367381816</v>
      </c>
      <c r="H134" s="142">
        <f>STDEV(C134:E134)</f>
        <v>0.00531061444319352</v>
      </c>
      <c r="I134" s="142">
        <f>(B134*B4+C134*C4+D134*D4+E134*E4+F134*F4)/SUM(B4:F4)</f>
        <v>-0.003554580928712658</v>
      </c>
    </row>
    <row r="135" spans="1:9" ht="12.75">
      <c r="A135" s="142" t="s">
        <v>174</v>
      </c>
      <c r="B135" s="142">
        <f>B95*10000/B62</f>
        <v>-0.0016343590657338087</v>
      </c>
      <c r="C135" s="142">
        <f>C95*10000/C62</f>
        <v>-0.00038855685735797224</v>
      </c>
      <c r="D135" s="142">
        <f>D95*10000/D62</f>
        <v>0.00262524141031399</v>
      </c>
      <c r="E135" s="142">
        <f>E95*10000/E62</f>
        <v>0.0034243524667804367</v>
      </c>
      <c r="F135" s="142">
        <f>F95*10000/F62</f>
        <v>0.005831833842144367</v>
      </c>
      <c r="G135" s="142">
        <f>AVERAGE(C135:E135)</f>
        <v>0.0018870123399121516</v>
      </c>
      <c r="H135" s="142">
        <f>STDEV(C135:E135)</f>
        <v>0.0020107973539904953</v>
      </c>
      <c r="I135" s="142">
        <f>(B135*B4+C135*C4+D135*D4+E135*E4+F135*F4)/SUM(B4:F4)</f>
        <v>0.0019080355824146636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touet</dc:creator>
  <cp:keywords/>
  <dc:description/>
  <cp:lastModifiedBy>hagen</cp:lastModifiedBy>
  <cp:lastPrinted>2003-04-10T11:04:01Z</cp:lastPrinted>
  <dcterms:created xsi:type="dcterms:W3CDTF">2002-03-14T07:46:46Z</dcterms:created>
  <dcterms:modified xsi:type="dcterms:W3CDTF">2003-09-26T12:39:52Z</dcterms:modified>
  <cp:category/>
  <cp:version/>
  <cp:contentType/>
  <cp:contentStatus/>
</cp:coreProperties>
</file>