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7125" windowHeight="3780" tabRatio="1000" firstSheet="2" activeTab="7"/>
  </bookViews>
  <sheets>
    <sheet name="Sommaire" sheetId="1" r:id="rId1"/>
    <sheet name="HCMQAP035_A_pos5ap2" sheetId="2" r:id="rId2"/>
    <sheet name="HCMQAP035_A_pos2ap2" sheetId="3" r:id="rId3"/>
    <sheet name="HCMQAP035_A_pos3ap2" sheetId="4" r:id="rId4"/>
    <sheet name="HCMQAP035_A_pos4ap2" sheetId="5" r:id="rId5"/>
    <sheet name="HCMQAP035_A_pos1ap2" sheetId="6" r:id="rId6"/>
    <sheet name="Lmag_hcmqap" sheetId="7" r:id="rId7"/>
    <sheet name="Result_HCMQAP" sheetId="8" r:id="rId8"/>
  </sheets>
  <definedNames>
    <definedName name="_xlnm.Print_Area" localSheetId="5">'HCMQAP035_A_pos1ap2'!$A$1:$N$28</definedName>
    <definedName name="_xlnm.Print_Area" localSheetId="2">'HCMQAP035_A_pos2ap2'!$A$1:$N$28</definedName>
    <definedName name="_xlnm.Print_Area" localSheetId="3">'HCMQAP035_A_pos3ap2'!$A$1:$N$28</definedName>
    <definedName name="_xlnm.Print_Area" localSheetId="4">'HCMQAP035_A_pos4ap2'!$A$1:$N$28</definedName>
    <definedName name="_xlnm.Print_Area" localSheetId="1">'HCMQAP035_A_pos5ap2'!$A$1:$N$28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<sst xmlns="http://schemas.openxmlformats.org/spreadsheetml/2006/main" count="520" uniqueCount="196">
  <si>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</si>
  <si>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</si>
  <si>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</si>
  <si>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</si>
  <si>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</si>
  <si>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</si>
  <si>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</si>
  <si>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</si>
  <si>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</si>
  <si>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</si>
  <si>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</si>
  <si>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</si>
  <si>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</si>
  <si>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</si>
  <si>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</si>
  <si>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hcmqap035_a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</si>
  <si>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</si>
  <si>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</si>
  <si>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</si>
  <si>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</si>
  <si>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</si>
  <si>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</si>
  <si>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</si>
  <si>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</si>
  <si>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</si>
  <si>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</si>
  <si>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</si>
  <si>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</si>
  <si>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</si>
  <si>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</si>
  <si>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</si>
  <si>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</si>
  <si>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</si>
  <si>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</si>
  <si>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</si>
  <si>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</si>
  <si>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</si>
  <si>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</si>
  <si>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</si>
  <si>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</si>
  <si>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</si>
  <si>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</si>
  <si>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</si>
  <si>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</si>
  <si>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</si>
  <si>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</si>
  <si>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</si>
  <si>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</si>
  <si>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t>Sens du courant</t>
  </si>
  <si>
    <t>+I / -I</t>
  </si>
  <si>
    <t>Vitesse (%)</t>
  </si>
  <si>
    <t>Commentaire</t>
  </si>
  <si>
    <t>support taupe realigne par ACCEL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</si>
  <si>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</si>
  <si>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</si>
  <si>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</si>
  <si>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-2.089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</si>
  <si>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</si>
  <si>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</si>
  <si>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</si>
  <si>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</si>
  <si>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</si>
  <si>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</si>
  <si>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</si>
  <si>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</si>
  <si>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</si>
  <si>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</si>
  <si>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</si>
  <si>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</si>
  <si>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HCMQAP035_A_pos5ap2</t>
  </si>
  <si>
    <t>17/04/2003</t>
  </si>
  <si>
    <t>±12.5</t>
  </si>
  <si>
    <t>THCMQAP035_A_pos5ap2.xls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</si>
  <si>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-3.758 mT)</t>
    </r>
  </si>
  <si>
    <t>HCMQAP035_A_pos2ap2</t>
  </si>
  <si>
    <t>THCMQAP035_A_pos2ap2.xls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</si>
  <si>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-3.757 mT)</t>
    </r>
  </si>
  <si>
    <t>HCMQAP035_A_pos3ap2</t>
  </si>
  <si>
    <t>THCMQAP035_A_pos3ap2.xls</t>
  </si>
  <si>
    <t>HCMQAP035_A_pos4ap2</t>
  </si>
  <si>
    <t>THCMQAP035_A_pos4ap2.xls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</si>
  <si>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-2.254 mT)</t>
    </r>
  </si>
  <si>
    <t>HCMQAP035_A_pos1ap2</t>
  </si>
  <si>
    <t>THCMQAP035_A_pos1ap2.xls</t>
  </si>
  <si>
    <t>Sommaire : Valeurs intégrales calculées avec les fichiers: HCMQAP035_A_pos5ap2+HCMQAP035_A_pos2ap2+HCMQAP035_A_pos3ap2+HCMQAP035_A_pos4ap2+HCMQAP035_A_pos1ap2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</si>
  <si>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</si>
  <si>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</si>
  <si>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</si>
  <si>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</si>
  <si>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</si>
  <si>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</si>
  <si>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</si>
  <si>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</si>
  <si>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</si>
  <si>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</si>
  <si>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</si>
  <si>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</si>
  <si>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</si>
  <si>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</si>
  <si>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</si>
  <si>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</si>
  <si>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</si>
  <si>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</si>
  <si>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</si>
  <si>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</si>
  <si>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</si>
  <si>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</si>
  <si>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</si>
  <si>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</si>
  <si>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</si>
  <si>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</si>
  <si>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</si>
  <si>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</si>
  <si>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</si>
  <si>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</si>
  <si>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</si>
  <si>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</si>
  <si>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</si>
  <si>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</si>
  <si>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</si>
  <si>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</si>
  <si>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</si>
  <si>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</si>
  <si>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</si>
  <si>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</si>
  <si>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</si>
  <si>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</si>
  <si>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</si>
  <si>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=-3.757</t>
    </r>
  </si>
  <si>
    <t>Gradient (T/m)</t>
  </si>
  <si>
    <t xml:space="preserve"> Thu 17/04/2003       12:42:44</t>
  </si>
  <si>
    <t>LISSNER</t>
  </si>
  <si>
    <t>HCMQAP035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</si>
  <si>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</si>
  <si>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</si>
  <si>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</si>
  <si>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</si>
  <si>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</si>
  <si>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</si>
  <si>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</si>
  <si>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</si>
  <si>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</si>
  <si>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b12*</t>
  </si>
  <si>
    <t>b13*</t>
  </si>
  <si>
    <t>a1</t>
  </si>
  <si>
    <t>a2</t>
  </si>
  <si>
    <t>a3*</t>
  </si>
  <si>
    <t>a4*</t>
  </si>
  <si>
    <t>a8*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</si>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</sst>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dd/mm/yy\ h:mm:ss"/>
    <numFmt numFmtId="181" formatCode="0.0##"/>
    <numFmt numFmtId="182" formatCode="0.00E+0"/>
    <numFmt numFmtId="183" formatCode="0.0###"/>
    <numFmt numFmtId="184" formatCode="dd/mm/yy\ h:mm"/>
    <numFmt numFmtId="185" formatCode="0.0#"/>
    <numFmt numFmtId="186" formatCode="0.#"/>
    <numFmt numFmtId="187" formatCode="0.000"/>
    <numFmt numFmtId="188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81" fontId="3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8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81" fontId="3" fillId="0" borderId="2" xfId="0" applyNumberFormat="1" applyFont="1" applyFill="1" applyBorder="1" applyAlignment="1">
      <alignment horizontal="left" vertical="top" wrapText="1"/>
    </xf>
    <xf numFmtId="181" fontId="3" fillId="0" borderId="3" xfId="0" applyNumberFormat="1" applyFont="1" applyFill="1" applyBorder="1" applyAlignment="1">
      <alignment horizontal="left"/>
    </xf>
    <xf numFmtId="181" fontId="3" fillId="0" borderId="3" xfId="0" applyNumberFormat="1" applyFont="1" applyFill="1" applyBorder="1" applyAlignment="1">
      <alignment horizontal="center"/>
    </xf>
    <xf numFmtId="181" fontId="3" fillId="0" borderId="3" xfId="0" applyNumberFormat="1" applyFont="1" applyFill="1" applyBorder="1" applyAlignment="1">
      <alignment horizontal="right"/>
    </xf>
    <xf numFmtId="181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right" vertical="top" wrapText="1"/>
    </xf>
    <xf numFmtId="181" fontId="2" fillId="0" borderId="3" xfId="0" applyNumberFormat="1" applyFont="1" applyFill="1" applyBorder="1" applyAlignment="1">
      <alignment horizontal="right" vertical="center"/>
    </xf>
    <xf numFmtId="186" fontId="3" fillId="0" borderId="2" xfId="0" applyNumberFormat="1" applyFont="1" applyFill="1" applyBorder="1" applyAlignment="1">
      <alignment horizontal="center" vertical="top" wrapText="1"/>
    </xf>
    <xf numFmtId="186" fontId="3" fillId="0" borderId="3" xfId="0" applyNumberFormat="1" applyFont="1" applyFill="1" applyBorder="1" applyAlignment="1">
      <alignment horizontal="center"/>
    </xf>
    <xf numFmtId="186" fontId="2" fillId="0" borderId="3" xfId="0" applyNumberFormat="1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center" vertical="top" wrapText="1"/>
    </xf>
    <xf numFmtId="181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86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81" fontId="3" fillId="2" borderId="3" xfId="0" applyNumberFormat="1" applyFont="1" applyFill="1" applyBorder="1" applyAlignment="1">
      <alignment horizontal="center"/>
    </xf>
    <xf numFmtId="181" fontId="3" fillId="2" borderId="3" xfId="0" applyNumberFormat="1" applyFont="1" applyFill="1" applyBorder="1" applyAlignment="1">
      <alignment horizontal="left"/>
    </xf>
    <xf numFmtId="181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81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81" fontId="2" fillId="2" borderId="3" xfId="0" applyNumberFormat="1" applyFont="1" applyFill="1" applyBorder="1" applyAlignment="1">
      <alignment horizontal="center"/>
    </xf>
    <xf numFmtId="181" fontId="2" fillId="2" borderId="3" xfId="0" applyNumberFormat="1" applyFont="1" applyFill="1" applyBorder="1" applyAlignment="1">
      <alignment horizontal="left"/>
    </xf>
    <xf numFmtId="181" fontId="2" fillId="2" borderId="3" xfId="0" applyNumberFormat="1" applyFont="1" applyFill="1" applyBorder="1" applyAlignment="1">
      <alignment horizontal="right"/>
    </xf>
    <xf numFmtId="181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8" fontId="3" fillId="0" borderId="2" xfId="0" applyNumberFormat="1" applyFont="1" applyFill="1" applyBorder="1" applyAlignment="1">
      <alignment horizontal="left" vertical="top"/>
    </xf>
    <xf numFmtId="188" fontId="3" fillId="2" borderId="3" xfId="0" applyNumberFormat="1" applyFont="1" applyFill="1" applyBorder="1" applyAlignment="1">
      <alignment horizontal="left"/>
    </xf>
    <xf numFmtId="188" fontId="4" fillId="2" borderId="3" xfId="0" applyNumberFormat="1" applyFont="1" applyFill="1" applyBorder="1" applyAlignment="1">
      <alignment horizontal="left"/>
    </xf>
    <xf numFmtId="188" fontId="2" fillId="0" borderId="3" xfId="0" applyNumberFormat="1" applyFont="1" applyFill="1" applyBorder="1" applyAlignment="1">
      <alignment horizontal="left" vertical="center"/>
    </xf>
    <xf numFmtId="188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81" fontId="3" fillId="0" borderId="7" xfId="0" applyNumberFormat="1" applyFont="1" applyFill="1" applyBorder="1" applyAlignment="1">
      <alignment horizontal="left"/>
    </xf>
    <xf numFmtId="181" fontId="3" fillId="0" borderId="8" xfId="0" applyNumberFormat="1" applyFont="1" applyFill="1" applyBorder="1" applyAlignment="1">
      <alignment horizontal="center"/>
    </xf>
    <xf numFmtId="181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81" fontId="3" fillId="0" borderId="12" xfId="0" applyNumberFormat="1" applyFont="1" applyFill="1" applyBorder="1" applyAlignment="1">
      <alignment horizontal="left"/>
    </xf>
    <xf numFmtId="181" fontId="3" fillId="0" borderId="13" xfId="0" applyNumberFormat="1" applyFont="1" applyFill="1" applyBorder="1" applyAlignment="1">
      <alignment horizontal="center"/>
    </xf>
    <xf numFmtId="181" fontId="3" fillId="0" borderId="14" xfId="0" applyNumberFormat="1" applyFont="1" applyFill="1" applyBorder="1" applyAlignment="1">
      <alignment horizontal="center"/>
    </xf>
    <xf numFmtId="182" fontId="3" fillId="0" borderId="15" xfId="0" applyNumberFormat="1" applyFont="1" applyFill="1" applyBorder="1" applyAlignment="1">
      <alignment horizontal="center"/>
    </xf>
    <xf numFmtId="182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84" fontId="3" fillId="0" borderId="11" xfId="0" applyNumberFormat="1" applyFont="1" applyFill="1" applyBorder="1" applyAlignment="1">
      <alignment horizontal="left"/>
    </xf>
    <xf numFmtId="181" fontId="3" fillId="0" borderId="16" xfId="0" applyNumberFormat="1" applyFont="1" applyFill="1" applyBorder="1" applyAlignment="1">
      <alignment horizontal="left"/>
    </xf>
    <xf numFmtId="181" fontId="3" fillId="0" borderId="17" xfId="0" applyNumberFormat="1" applyFont="1" applyFill="1" applyBorder="1" applyAlignment="1">
      <alignment horizontal="left"/>
    </xf>
    <xf numFmtId="181" fontId="3" fillId="0" borderId="17" xfId="0" applyNumberFormat="1" applyFont="1" applyFill="1" applyBorder="1" applyAlignment="1">
      <alignment horizontal="center"/>
    </xf>
    <xf numFmtId="181" fontId="3" fillId="0" borderId="18" xfId="0" applyNumberFormat="1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/>
    </xf>
    <xf numFmtId="181" fontId="5" fillId="0" borderId="13" xfId="0" applyNumberFormat="1" applyFont="1" applyFill="1" applyBorder="1" applyAlignment="1">
      <alignment horizontal="left"/>
    </xf>
    <xf numFmtId="181" fontId="5" fillId="0" borderId="13" xfId="0" applyNumberFormat="1" applyFont="1" applyFill="1" applyBorder="1" applyAlignment="1">
      <alignment horizontal="center"/>
    </xf>
    <xf numFmtId="181" fontId="5" fillId="0" borderId="14" xfId="0" applyNumberFormat="1" applyFont="1" applyFill="1" applyBorder="1" applyAlignment="1">
      <alignment horizontal="center"/>
    </xf>
    <xf numFmtId="181" fontId="5" fillId="0" borderId="19" xfId="0" applyNumberFormat="1" applyFont="1" applyFill="1" applyBorder="1" applyAlignment="1">
      <alignment horizontal="center"/>
    </xf>
    <xf numFmtId="181" fontId="5" fillId="0" borderId="20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left"/>
    </xf>
    <xf numFmtId="181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81" fontId="3" fillId="0" borderId="22" xfId="0" applyNumberFormat="1" applyFont="1" applyFill="1" applyBorder="1" applyAlignment="1">
      <alignment horizontal="center"/>
    </xf>
    <xf numFmtId="181" fontId="4" fillId="0" borderId="23" xfId="0" applyNumberFormat="1" applyFont="1" applyFill="1" applyBorder="1" applyAlignment="1">
      <alignment horizontal="center"/>
    </xf>
    <xf numFmtId="181" fontId="3" fillId="0" borderId="23" xfId="0" applyNumberFormat="1" applyFont="1" applyFill="1" applyBorder="1" applyAlignment="1">
      <alignment horizontal="center"/>
    </xf>
    <xf numFmtId="181" fontId="3" fillId="0" borderId="24" xfId="0" applyNumberFormat="1" applyFont="1" applyFill="1" applyBorder="1" applyAlignment="1">
      <alignment horizontal="center"/>
    </xf>
    <xf numFmtId="181" fontId="5" fillId="3" borderId="10" xfId="0" applyNumberFormat="1" applyFont="1" applyFill="1" applyBorder="1" applyAlignment="1">
      <alignment horizontal="center"/>
    </xf>
    <xf numFmtId="181" fontId="5" fillId="0" borderId="15" xfId="0" applyNumberFormat="1" applyFont="1" applyFill="1" applyBorder="1" applyAlignment="1">
      <alignment horizontal="center"/>
    </xf>
    <xf numFmtId="181" fontId="5" fillId="3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left"/>
    </xf>
    <xf numFmtId="181" fontId="3" fillId="3" borderId="10" xfId="0" applyNumberFormat="1" applyFont="1" applyFill="1" applyBorder="1" applyAlignment="1">
      <alignment horizontal="center"/>
    </xf>
    <xf numFmtId="181" fontId="3" fillId="3" borderId="15" xfId="0" applyNumberFormat="1" applyFont="1" applyFill="1" applyBorder="1" applyAlignment="1">
      <alignment horizontal="center"/>
    </xf>
    <xf numFmtId="183" fontId="3" fillId="0" borderId="11" xfId="0" applyNumberFormat="1" applyFont="1" applyFill="1" applyBorder="1" applyAlignment="1">
      <alignment horizontal="left"/>
    </xf>
    <xf numFmtId="181" fontId="3" fillId="0" borderId="10" xfId="0" applyNumberFormat="1" applyFont="1" applyFill="1" applyBorder="1" applyAlignment="1">
      <alignment horizontal="center"/>
    </xf>
    <xf numFmtId="181" fontId="5" fillId="0" borderId="11" xfId="0" applyNumberFormat="1" applyFont="1" applyFill="1" applyBorder="1" applyAlignment="1">
      <alignment horizontal="left"/>
    </xf>
    <xf numFmtId="181" fontId="5" fillId="0" borderId="10" xfId="0" applyNumberFormat="1" applyFont="1" applyFill="1" applyBorder="1" applyAlignment="1">
      <alignment horizontal="center"/>
    </xf>
    <xf numFmtId="185" fontId="3" fillId="0" borderId="11" xfId="0" applyNumberFormat="1" applyFont="1" applyFill="1" applyBorder="1" applyAlignment="1">
      <alignment horizontal="left"/>
    </xf>
    <xf numFmtId="181" fontId="3" fillId="0" borderId="25" xfId="0" applyNumberFormat="1" applyFont="1" applyFill="1" applyBorder="1" applyAlignment="1">
      <alignment horizontal="center"/>
    </xf>
    <xf numFmtId="181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81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left"/>
    </xf>
    <xf numFmtId="181" fontId="2" fillId="0" borderId="28" xfId="0" applyNumberFormat="1" applyFont="1" applyFill="1" applyBorder="1" applyAlignment="1">
      <alignment horizontal="left"/>
    </xf>
    <xf numFmtId="181" fontId="2" fillId="0" borderId="29" xfId="0" applyNumberFormat="1" applyFont="1" applyFill="1" applyBorder="1" applyAlignment="1">
      <alignment horizontal="left"/>
    </xf>
    <xf numFmtId="181" fontId="7" fillId="0" borderId="29" xfId="0" applyNumberFormat="1" applyFont="1" applyFill="1" applyBorder="1" applyAlignment="1">
      <alignment horizontal="left"/>
    </xf>
    <xf numFmtId="181" fontId="2" fillId="0" borderId="30" xfId="0" applyNumberFormat="1" applyFont="1" applyFill="1" applyBorder="1" applyAlignment="1">
      <alignment horizontal="left"/>
    </xf>
    <xf numFmtId="181" fontId="2" fillId="0" borderId="31" xfId="0" applyNumberFormat="1" applyFont="1" applyFill="1" applyBorder="1" applyAlignment="1">
      <alignment horizontal="left"/>
    </xf>
    <xf numFmtId="181" fontId="2" fillId="0" borderId="32" xfId="0" applyNumberFormat="1" applyFont="1" applyFill="1" applyBorder="1" applyAlignment="1">
      <alignment horizontal="left"/>
    </xf>
    <xf numFmtId="181" fontId="2" fillId="0" borderId="32" xfId="0" applyNumberFormat="1" applyFont="1" applyFill="1" applyBorder="1" applyAlignment="1">
      <alignment horizontal="center"/>
    </xf>
    <xf numFmtId="181" fontId="2" fillId="0" borderId="33" xfId="0" applyNumberFormat="1" applyFont="1" applyFill="1" applyBorder="1" applyAlignment="1">
      <alignment horizontal="left"/>
    </xf>
    <xf numFmtId="181" fontId="2" fillId="0" borderId="34" xfId="0" applyNumberFormat="1" applyFont="1" applyFill="1" applyBorder="1" applyAlignment="1">
      <alignment horizontal="left"/>
    </xf>
    <xf numFmtId="181" fontId="2" fillId="0" borderId="35" xfId="0" applyNumberFormat="1" applyFont="1" applyFill="1" applyBorder="1" applyAlignment="1">
      <alignment horizontal="left"/>
    </xf>
    <xf numFmtId="181" fontId="2" fillId="0" borderId="36" xfId="0" applyNumberFormat="1" applyFont="1" applyFill="1" applyBorder="1" applyAlignment="1">
      <alignment horizontal="left"/>
    </xf>
    <xf numFmtId="181" fontId="2" fillId="0" borderId="36" xfId="0" applyNumberFormat="1" applyFont="1" applyFill="1" applyBorder="1" applyAlignment="1">
      <alignment horizontal="center"/>
    </xf>
    <xf numFmtId="181" fontId="2" fillId="0" borderId="37" xfId="0" applyNumberFormat="1" applyFont="1" applyFill="1" applyBorder="1" applyAlignment="1">
      <alignment horizontal="left"/>
    </xf>
    <xf numFmtId="181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81" fontId="2" fillId="0" borderId="40" xfId="0" applyNumberFormat="1" applyFont="1" applyFill="1" applyBorder="1" applyAlignment="1">
      <alignment horizontal="left" vertical="center"/>
    </xf>
    <xf numFmtId="181" fontId="2" fillId="0" borderId="41" xfId="0" applyNumberFormat="1" applyFont="1" applyFill="1" applyBorder="1" applyAlignment="1">
      <alignment horizontal="left" vertical="center"/>
    </xf>
    <xf numFmtId="181" fontId="3" fillId="4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87" fontId="5" fillId="0" borderId="15" xfId="0" applyNumberFormat="1" applyFont="1" applyFill="1" applyBorder="1" applyAlignment="1">
      <alignment horizontal="center"/>
    </xf>
    <xf numFmtId="187" fontId="3" fillId="3" borderId="15" xfId="0" applyNumberFormat="1" applyFont="1" applyFill="1" applyBorder="1" applyAlignment="1">
      <alignment horizontal="center"/>
    </xf>
    <xf numFmtId="187" fontId="3" fillId="0" borderId="15" xfId="0" applyNumberFormat="1" applyFont="1" applyFill="1" applyBorder="1" applyAlignment="1">
      <alignment horizontal="center"/>
    </xf>
    <xf numFmtId="187" fontId="3" fillId="0" borderId="42" xfId="0" applyNumberFormat="1" applyFont="1" applyFill="1" applyBorder="1" applyAlignment="1">
      <alignment horizontal="center"/>
    </xf>
    <xf numFmtId="187" fontId="0" fillId="0" borderId="43" xfId="0" applyNumberFormat="1" applyBorder="1" applyAlignment="1">
      <alignment horizontal="left"/>
    </xf>
    <xf numFmtId="187" fontId="0" fillId="0" borderId="44" xfId="0" applyNumberFormat="1" applyBorder="1" applyAlignment="1">
      <alignment horizontal="center"/>
    </xf>
    <xf numFmtId="187" fontId="0" fillId="0" borderId="15" xfId="0" applyNumberFormat="1" applyBorder="1" applyAlignment="1">
      <alignment horizontal="center"/>
    </xf>
    <xf numFmtId="187" fontId="0" fillId="0" borderId="45" xfId="0" applyNumberFormat="1" applyBorder="1" applyAlignment="1">
      <alignment horizontal="center"/>
    </xf>
    <xf numFmtId="187" fontId="0" fillId="0" borderId="46" xfId="0" applyNumberFormat="1" applyBorder="1" applyAlignment="1">
      <alignment horizontal="center"/>
    </xf>
    <xf numFmtId="187" fontId="0" fillId="0" borderId="43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47" xfId="0" applyNumberFormat="1" applyBorder="1" applyAlignment="1">
      <alignment horizontal="left"/>
    </xf>
    <xf numFmtId="187" fontId="0" fillId="0" borderId="20" xfId="0" applyNumberFormat="1" applyBorder="1" applyAlignment="1">
      <alignment horizontal="center"/>
    </xf>
    <xf numFmtId="187" fontId="0" fillId="0" borderId="48" xfId="0" applyNumberFormat="1" applyBorder="1" applyAlignment="1">
      <alignment horizontal="center"/>
    </xf>
    <xf numFmtId="187" fontId="0" fillId="0" borderId="49" xfId="0" applyNumberFormat="1" applyBorder="1" applyAlignment="1">
      <alignment horizontal="left"/>
    </xf>
    <xf numFmtId="187" fontId="0" fillId="0" borderId="14" xfId="0" applyNumberFormat="1" applyBorder="1" applyAlignment="1">
      <alignment horizontal="center"/>
    </xf>
    <xf numFmtId="187" fontId="3" fillId="0" borderId="14" xfId="0" applyNumberFormat="1" applyFont="1" applyFill="1" applyBorder="1" applyAlignment="1">
      <alignment horizontal="center"/>
    </xf>
    <xf numFmtId="187" fontId="5" fillId="0" borderId="14" xfId="0" applyNumberFormat="1" applyFont="1" applyFill="1" applyBorder="1" applyAlignment="1">
      <alignment horizontal="center"/>
    </xf>
    <xf numFmtId="187" fontId="3" fillId="4" borderId="14" xfId="0" applyNumberFormat="1" applyFont="1" applyFill="1" applyBorder="1" applyAlignment="1">
      <alignment horizontal="center"/>
    </xf>
    <xf numFmtId="187" fontId="3" fillId="3" borderId="14" xfId="0" applyNumberFormat="1" applyFont="1" applyFill="1" applyBorder="1" applyAlignment="1">
      <alignment horizontal="center"/>
    </xf>
    <xf numFmtId="187" fontId="3" fillId="0" borderId="50" xfId="0" applyNumberFormat="1" applyFont="1" applyFill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87" fontId="5" fillId="3" borderId="55" xfId="0" applyNumberFormat="1" applyFont="1" applyFill="1" applyBorder="1" applyAlignment="1">
      <alignment horizontal="center"/>
    </xf>
    <xf numFmtId="187" fontId="5" fillId="3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23" xfId="0" applyNumberFormat="1" applyBorder="1" applyAlignment="1">
      <alignment horizontal="center"/>
    </xf>
    <xf numFmtId="187" fontId="0" fillId="0" borderId="59" xfId="0" applyNumberFormat="1" applyBorder="1" applyAlignment="1">
      <alignment horizontal="center"/>
    </xf>
    <xf numFmtId="187" fontId="5" fillId="3" borderId="60" xfId="0" applyNumberFormat="1" applyFont="1" applyFill="1" applyBorder="1" applyAlignment="1">
      <alignment horizontal="center"/>
    </xf>
    <xf numFmtId="187" fontId="3" fillId="3" borderId="20" xfId="0" applyNumberFormat="1" applyFont="1" applyFill="1" applyBorder="1" applyAlignment="1">
      <alignment horizontal="center"/>
    </xf>
    <xf numFmtId="187" fontId="5" fillId="3" borderId="20" xfId="0" applyNumberFormat="1" applyFont="1" applyFill="1" applyBorder="1" applyAlignment="1">
      <alignment horizontal="center"/>
    </xf>
    <xf numFmtId="187" fontId="3" fillId="0" borderId="20" xfId="0" applyNumberFormat="1" applyFont="1" applyFill="1" applyBorder="1" applyAlignment="1">
      <alignment horizontal="center"/>
    </xf>
    <xf numFmtId="187" fontId="5" fillId="0" borderId="20" xfId="0" applyNumberFormat="1" applyFont="1" applyFill="1" applyBorder="1" applyAlignment="1">
      <alignment horizontal="center"/>
    </xf>
    <xf numFmtId="187" fontId="3" fillId="0" borderId="61" xfId="0" applyNumberFormat="1" applyFont="1" applyFill="1" applyBorder="1" applyAlignment="1">
      <alignment horizontal="center"/>
    </xf>
    <xf numFmtId="187" fontId="0" fillId="0" borderId="62" xfId="0" applyNumberFormat="1" applyBorder="1" applyAlignment="1">
      <alignment horizontal="center"/>
    </xf>
    <xf numFmtId="187" fontId="10" fillId="0" borderId="63" xfId="0" applyNumberFormat="1" applyFont="1" applyBorder="1" applyAlignment="1">
      <alignment horizontal="center"/>
    </xf>
    <xf numFmtId="187" fontId="0" fillId="0" borderId="64" xfId="0" applyNumberFormat="1" applyBorder="1" applyAlignment="1">
      <alignment horizontal="center"/>
    </xf>
    <xf numFmtId="187" fontId="10" fillId="0" borderId="64" xfId="0" applyNumberFormat="1" applyFont="1" applyBorder="1" applyAlignment="1">
      <alignment horizontal="center"/>
    </xf>
    <xf numFmtId="187" fontId="0" fillId="0" borderId="65" xfId="0" applyNumberFormat="1" applyBorder="1" applyAlignment="1">
      <alignment horizontal="center"/>
    </xf>
    <xf numFmtId="187" fontId="11" fillId="0" borderId="66" xfId="0" applyNumberFormat="1" applyFont="1" applyBorder="1" applyAlignment="1">
      <alignment horizontal="center"/>
    </xf>
    <xf numFmtId="187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81" fontId="3" fillId="0" borderId="59" xfId="0" applyNumberFormat="1" applyFont="1" applyFill="1" applyBorder="1" applyAlignment="1">
      <alignment horizontal="center"/>
    </xf>
    <xf numFmtId="181" fontId="3" fillId="0" borderId="58" xfId="0" applyNumberFormat="1" applyFont="1" applyFill="1" applyBorder="1" applyAlignment="1">
      <alignment horizontal="center"/>
    </xf>
    <xf numFmtId="181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35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Lmag_hcmqap!$B$4:$F$4</c:f>
              <c:numCache>
                <c:ptCount val="5"/>
                <c:pt idx="0">
                  <c:v>-6.458639099999999</c:v>
                </c:pt>
                <c:pt idx="1">
                  <c:v>-7.0091538</c:v>
                </c:pt>
                <c:pt idx="2">
                  <c:v>-5.4551509000000005</c:v>
                </c:pt>
                <c:pt idx="3">
                  <c:v>-5.8960533</c:v>
                </c:pt>
                <c:pt idx="4">
                  <c:v>-7.206769400000001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Lmag_hcmqap!$B$17:$F$17</c:f>
              <c:numCache>
                <c:ptCount val="5"/>
                <c:pt idx="0">
                  <c:v>2.4163743999999996</c:v>
                </c:pt>
                <c:pt idx="1">
                  <c:v>2.6626735999999998</c:v>
                </c:pt>
                <c:pt idx="2">
                  <c:v>0.31571424000000003</c:v>
                </c:pt>
                <c:pt idx="3">
                  <c:v>1.3457721999999996</c:v>
                </c:pt>
                <c:pt idx="4">
                  <c:v>9.4327906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Lmag_hcmqap!$B$7:$F$7</c:f>
              <c:numCache>
                <c:ptCount val="5"/>
                <c:pt idx="0">
                  <c:v>4.4241875</c:v>
                </c:pt>
                <c:pt idx="1">
                  <c:v>4.696139100000001</c:v>
                </c:pt>
                <c:pt idx="2">
                  <c:v>4.5196596</c:v>
                </c:pt>
                <c:pt idx="3">
                  <c:v>4.4246678</c:v>
                </c:pt>
                <c:pt idx="4">
                  <c:v>15.899983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00FF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Lmag_hcmqap!$B$20:$F$20</c:f>
              <c:numCache>
                <c:ptCount val="5"/>
                <c:pt idx="0">
                  <c:v>0.76530046</c:v>
                </c:pt>
                <c:pt idx="1">
                  <c:v>0.2727927</c:v>
                </c:pt>
                <c:pt idx="2">
                  <c:v>0.048581214</c:v>
                </c:pt>
                <c:pt idx="3">
                  <c:v>0.23182176999999998</c:v>
                </c:pt>
                <c:pt idx="4">
                  <c:v>2.54852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Lmag_hcmqap!$B$11:$F$11</c:f>
              <c:numCache>
                <c:ptCount val="5"/>
                <c:pt idx="0">
                  <c:v>-0.27378586</c:v>
                </c:pt>
                <c:pt idx="1">
                  <c:v>-0.081914563</c:v>
                </c:pt>
                <c:pt idx="2">
                  <c:v>0.0102425908</c:v>
                </c:pt>
                <c:pt idx="3">
                  <c:v>-0.042812004</c:v>
                </c:pt>
                <c:pt idx="4">
                  <c:v>-0.22556141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Lmag_hcmqap!$B$24:$F$24</c:f>
              <c:numCache>
                <c:ptCount val="5"/>
                <c:pt idx="0">
                  <c:v>0.11156017</c:v>
                </c:pt>
                <c:pt idx="1">
                  <c:v>0.08568891599999999</c:v>
                </c:pt>
                <c:pt idx="2">
                  <c:v>0.062217644</c:v>
                </c:pt>
                <c:pt idx="3">
                  <c:v>0.043518766</c:v>
                </c:pt>
                <c:pt idx="4">
                  <c:v>0.24126771000000002</c:v>
                </c:pt>
              </c:numCache>
            </c:numRef>
          </c:val>
          <c:smooth val="0"/>
        </c:ser>
        <c:marker val="1"/>
        <c:axId val="8619079"/>
        <c:axId val="10462848"/>
      </c:lineChart>
      <c:catAx>
        <c:axId val="86190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0462848"/>
        <c:crosses val="autoZero"/>
        <c:auto val="1"/>
        <c:lblOffset val="100"/>
        <c:noMultiLvlLbl val="0"/>
      </c:catAx>
      <c:valAx>
        <c:axId val="10462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861907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35</xdr:row>
      <xdr:rowOff>85725</xdr:rowOff>
    </xdr:from>
    <xdr:to>
      <xdr:col>6</xdr:col>
      <xdr:colOff>704850</xdr:colOff>
      <xdr:row>54</xdr:row>
      <xdr:rowOff>38100</xdr:rowOff>
    </xdr:to>
    <xdr:graphicFrame>
      <xdr:nvGraphicFramePr>
        <xdr:cNvPr id="1" name="Chart 1"/>
        <xdr:cNvGraphicFramePr/>
      </xdr:nvGraphicFramePr>
      <xdr:xfrm>
        <a:off x="123825" y="5905500"/>
        <a:ext cx="52673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C4" sqref="C4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70</v>
      </c>
      <c r="B2" s="24">
        <v>80</v>
      </c>
      <c r="C2" s="24" t="s">
        <v>71</v>
      </c>
      <c r="D2" s="25">
        <v>5</v>
      </c>
      <c r="E2" s="25">
        <v>5</v>
      </c>
      <c r="F2" s="26"/>
      <c r="G2" s="26" t="s">
        <v>69</v>
      </c>
      <c r="H2" s="25">
        <v>1614</v>
      </c>
      <c r="I2" s="27" t="s">
        <v>72</v>
      </c>
      <c r="J2" s="30"/>
      <c r="K2" s="28" t="s">
        <v>52</v>
      </c>
      <c r="L2" s="28"/>
      <c r="M2" s="28"/>
      <c r="N2" s="28"/>
    </row>
    <row r="3" spans="1:14" s="29" customFormat="1" ht="15" customHeight="1">
      <c r="A3" s="40" t="s">
        <v>70</v>
      </c>
      <c r="B3" s="24">
        <v>80</v>
      </c>
      <c r="C3" s="24" t="s">
        <v>71</v>
      </c>
      <c r="D3" s="25">
        <v>5</v>
      </c>
      <c r="E3" s="25">
        <v>2</v>
      </c>
      <c r="F3" s="26"/>
      <c r="G3" s="26" t="s">
        <v>74</v>
      </c>
      <c r="H3" s="25">
        <v>1614</v>
      </c>
      <c r="I3" s="27" t="s">
        <v>75</v>
      </c>
      <c r="J3" s="30"/>
      <c r="K3" s="28" t="s">
        <v>52</v>
      </c>
      <c r="L3" s="28"/>
      <c r="M3" s="28"/>
      <c r="N3" s="28"/>
    </row>
    <row r="4" spans="1:14" s="29" customFormat="1" ht="15" customHeight="1">
      <c r="A4" s="40" t="s">
        <v>70</v>
      </c>
      <c r="B4" s="24">
        <v>80</v>
      </c>
      <c r="C4" s="24" t="s">
        <v>71</v>
      </c>
      <c r="D4" s="25">
        <v>5</v>
      </c>
      <c r="E4" s="25">
        <v>3</v>
      </c>
      <c r="F4" s="26"/>
      <c r="G4" s="26" t="s">
        <v>77</v>
      </c>
      <c r="H4" s="25">
        <v>1614</v>
      </c>
      <c r="I4" s="27" t="s">
        <v>78</v>
      </c>
      <c r="J4" s="30"/>
      <c r="K4" s="31" t="s">
        <v>52</v>
      </c>
      <c r="L4" s="31"/>
      <c r="M4" s="31"/>
      <c r="N4" s="28"/>
    </row>
    <row r="5" spans="1:14" s="29" customFormat="1" ht="15" customHeight="1">
      <c r="A5" s="40" t="s">
        <v>70</v>
      </c>
      <c r="B5" s="24">
        <v>80</v>
      </c>
      <c r="C5" s="24" t="s">
        <v>71</v>
      </c>
      <c r="D5" s="25">
        <v>5</v>
      </c>
      <c r="E5" s="25">
        <v>4</v>
      </c>
      <c r="F5" s="26"/>
      <c r="G5" s="26" t="s">
        <v>79</v>
      </c>
      <c r="H5" s="25">
        <v>1614</v>
      </c>
      <c r="I5" s="27" t="s">
        <v>80</v>
      </c>
      <c r="J5" s="30"/>
      <c r="K5" s="28" t="s">
        <v>52</v>
      </c>
      <c r="L5" s="28"/>
      <c r="M5" s="28"/>
      <c r="N5" s="28"/>
    </row>
    <row r="6" spans="1:14" s="29" customFormat="1" ht="15" customHeight="1">
      <c r="A6" s="40" t="s">
        <v>70</v>
      </c>
      <c r="B6" s="24">
        <v>80</v>
      </c>
      <c r="C6" s="24" t="s">
        <v>71</v>
      </c>
      <c r="D6" s="25">
        <v>5</v>
      </c>
      <c r="E6" s="25">
        <v>1</v>
      </c>
      <c r="F6" s="26"/>
      <c r="G6" s="26" t="s">
        <v>82</v>
      </c>
      <c r="H6" s="25">
        <v>1614</v>
      </c>
      <c r="I6" s="27" t="s">
        <v>83</v>
      </c>
      <c r="J6" s="30"/>
      <c r="K6" s="28" t="s">
        <v>52</v>
      </c>
      <c r="L6" s="28"/>
      <c r="M6" s="28"/>
      <c r="N6" s="28"/>
    </row>
    <row r="7" spans="1:14" s="29" customFormat="1" ht="15" customHeight="1">
      <c r="A7" s="40" t="s">
        <v>84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7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53</v>
      </c>
      <c r="E2" s="52"/>
      <c r="F2" s="52"/>
      <c r="G2" s="52"/>
      <c r="H2" s="52"/>
      <c r="I2" s="52"/>
      <c r="J2" s="53"/>
      <c r="K2" s="54">
        <v>-4.487747999999999E-06</v>
      </c>
      <c r="L2" s="54">
        <v>4.6930993993948787E-07</v>
      </c>
      <c r="M2" s="54">
        <v>0.00014041424999999998</v>
      </c>
      <c r="N2" s="55">
        <v>1.048664913245417E-07</v>
      </c>
    </row>
    <row r="3" spans="1:14" ht="15" customHeight="1">
      <c r="A3" s="56" t="s">
        <v>16</v>
      </c>
      <c r="B3" s="57">
        <v>2</v>
      </c>
      <c r="D3" s="51" t="s">
        <v>54</v>
      </c>
      <c r="E3" s="52"/>
      <c r="F3" s="52"/>
      <c r="G3" s="52"/>
      <c r="H3" s="52"/>
      <c r="I3" s="52"/>
      <c r="J3" s="53"/>
      <c r="K3" s="54">
        <v>-3.096505400000001E-05</v>
      </c>
      <c r="L3" s="54">
        <v>1.4405676809322911E-07</v>
      </c>
      <c r="M3" s="54">
        <v>9.87459E-06</v>
      </c>
      <c r="N3" s="55">
        <v>8.826471208811127E-08</v>
      </c>
    </row>
    <row r="4" spans="1:14" ht="15" customHeight="1">
      <c r="A4" s="56" t="s">
        <v>17</v>
      </c>
      <c r="B4" s="57">
        <v>2</v>
      </c>
      <c r="D4" s="51" t="s">
        <v>55</v>
      </c>
      <c r="E4" s="52"/>
      <c r="F4" s="52"/>
      <c r="G4" s="52"/>
      <c r="H4" s="52"/>
      <c r="I4" s="52"/>
      <c r="J4" s="53"/>
      <c r="K4" s="54">
        <v>-0.002088866570361598</v>
      </c>
      <c r="L4" s="54">
        <v>3.695851279508736E-05</v>
      </c>
      <c r="M4" s="54">
        <v>1.0306357255492233E-07</v>
      </c>
      <c r="N4" s="55">
        <v>-8.845624099999998</v>
      </c>
    </row>
    <row r="5" spans="1:14" ht="15" customHeight="1" thickBot="1">
      <c r="A5" t="s">
        <v>18</v>
      </c>
      <c r="B5" s="58">
        <v>37728.526192129626</v>
      </c>
      <c r="D5" s="59"/>
      <c r="E5" s="60" t="s">
        <v>56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1614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57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58</v>
      </c>
      <c r="E7" s="73" t="s">
        <v>59</v>
      </c>
      <c r="F7" s="74" t="s">
        <v>60</v>
      </c>
      <c r="G7" s="73" t="s">
        <v>61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-7.206769400000001</v>
      </c>
      <c r="E8" s="77">
        <v>0.012109443630768598</v>
      </c>
      <c r="F8" s="78">
        <v>9.4327906</v>
      </c>
      <c r="G8" s="77">
        <v>0.024337028821029272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-4.5598134</v>
      </c>
      <c r="E9" s="80">
        <v>0.04914326167178063</v>
      </c>
      <c r="F9" s="84">
        <v>-2.6935322000000004</v>
      </c>
      <c r="G9" s="80">
        <v>0.04258861009072226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2.9696105999999998</v>
      </c>
      <c r="E10" s="80">
        <v>0.03436049579153531</v>
      </c>
      <c r="F10" s="84">
        <v>-11.793802</v>
      </c>
      <c r="G10" s="80">
        <v>0.012312418364575813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5</v>
      </c>
      <c r="D11" s="76">
        <v>15.899983</v>
      </c>
      <c r="E11" s="77">
        <v>0.00718290581759829</v>
      </c>
      <c r="F11" s="78">
        <v>2.54852</v>
      </c>
      <c r="G11" s="77">
        <v>0.0070084107471489274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5">
        <v>0.7499</v>
      </c>
      <c r="D12" s="86">
        <v>-0.37489931</v>
      </c>
      <c r="E12" s="80">
        <v>0.0071461121441945535</v>
      </c>
      <c r="F12" s="80">
        <v>0.55451647</v>
      </c>
      <c r="G12" s="80">
        <v>0.006086718596548215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24.594117</v>
      </c>
      <c r="D13" s="86">
        <v>0.15559648899999998</v>
      </c>
      <c r="E13" s="80">
        <v>0.0022970319131063407</v>
      </c>
      <c r="F13" s="80">
        <v>-0.26861845</v>
      </c>
      <c r="G13" s="80">
        <v>0.005444087264823005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6">
        <v>0.20356290999999999</v>
      </c>
      <c r="E14" s="80">
        <v>0.005124084044724439</v>
      </c>
      <c r="F14" s="80">
        <v>0.3132009800000001</v>
      </c>
      <c r="G14" s="80">
        <v>0.0031197530047358396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88">
        <v>-0.22556141</v>
      </c>
      <c r="E15" s="77">
        <v>0.0028733393723016343</v>
      </c>
      <c r="F15" s="77">
        <v>0.24126771000000002</v>
      </c>
      <c r="G15" s="77">
        <v>0.004678078199366277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</v>
      </c>
      <c r="D16" s="86">
        <v>-0.012156058700000002</v>
      </c>
      <c r="E16" s="80">
        <v>0.004132865904048044</v>
      </c>
      <c r="F16" s="80">
        <v>-0.00547877538</v>
      </c>
      <c r="G16" s="80">
        <v>0.0015253452903256617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-0.15800000727176666</v>
      </c>
      <c r="D17" s="86">
        <v>0.13803057000000002</v>
      </c>
      <c r="E17" s="80">
        <v>0.002396375698966262</v>
      </c>
      <c r="F17" s="80">
        <v>0.032139461999999994</v>
      </c>
      <c r="G17" s="80">
        <v>0.002903069554701507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132.75100708007812</v>
      </c>
      <c r="D18" s="86">
        <v>-0.035944198</v>
      </c>
      <c r="E18" s="80">
        <v>0.0024558045587640617</v>
      </c>
      <c r="F18" s="80">
        <v>0.14703335</v>
      </c>
      <c r="G18" s="80">
        <v>0.001497130937829653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-0.41200000047683716</v>
      </c>
      <c r="D19" s="86">
        <v>-0.12807647000000003</v>
      </c>
      <c r="E19" s="80">
        <v>0.0009891200112195646</v>
      </c>
      <c r="F19" s="80">
        <v>-0.022045999</v>
      </c>
      <c r="G19" s="80">
        <v>0.0013796005257588138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-0.05681449999999999</v>
      </c>
      <c r="D20" s="90">
        <v>-0.00479411802</v>
      </c>
      <c r="E20" s="91">
        <v>0.0008463533934239751</v>
      </c>
      <c r="F20" s="91">
        <v>0.0033356757340000003</v>
      </c>
      <c r="G20" s="91">
        <v>0.0014733929269595642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1.1417367999999999</v>
      </c>
      <c r="F21" s="3" t="s">
        <v>62</v>
      </c>
    </row>
    <row r="22" spans="1:6" ht="15" customHeight="1">
      <c r="A22" s="56" t="s">
        <v>43</v>
      </c>
      <c r="B22" s="71" t="s">
        <v>44</v>
      </c>
      <c r="F22" s="3" t="s">
        <v>63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64</v>
      </c>
      <c r="B24" s="97">
        <v>-0.5068173561795141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65</v>
      </c>
      <c r="F25" s="103"/>
      <c r="G25" s="104"/>
      <c r="H25" s="105">
        <v>-2.0891935000000004</v>
      </c>
      <c r="I25" s="103" t="s">
        <v>66</v>
      </c>
      <c r="J25" s="104"/>
      <c r="K25" s="103"/>
      <c r="L25" s="106">
        <v>16.10293183214439</v>
      </c>
    </row>
    <row r="26" spans="1:12" ht="18" customHeight="1" thickBot="1">
      <c r="A26" s="56" t="s">
        <v>48</v>
      </c>
      <c r="B26" s="57" t="s">
        <v>49</v>
      </c>
      <c r="E26" s="107" t="s">
        <v>67</v>
      </c>
      <c r="F26" s="108"/>
      <c r="G26" s="109"/>
      <c r="H26" s="110">
        <v>11.87076508436692</v>
      </c>
      <c r="I26" s="108" t="s">
        <v>68</v>
      </c>
      <c r="J26" s="109"/>
      <c r="K26" s="108"/>
      <c r="L26" s="111">
        <v>0.3302848128053002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 t="s">
        <v>52</v>
      </c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HCMQAP035_A_pos5ap2res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53</v>
      </c>
      <c r="E2" s="52"/>
      <c r="F2" s="52"/>
      <c r="G2" s="52"/>
      <c r="H2" s="52"/>
      <c r="I2" s="52"/>
      <c r="J2" s="53"/>
      <c r="K2" s="54">
        <v>6.9422551E-05</v>
      </c>
      <c r="L2" s="54">
        <v>4.949573867776512E-07</v>
      </c>
      <c r="M2" s="54">
        <v>0.00024222420999999998</v>
      </c>
      <c r="N2" s="55">
        <v>4.957868880892872E-07</v>
      </c>
    </row>
    <row r="3" spans="1:14" ht="15" customHeight="1">
      <c r="A3" s="56" t="s">
        <v>16</v>
      </c>
      <c r="B3" s="57">
        <v>2</v>
      </c>
      <c r="D3" s="51" t="s">
        <v>54</v>
      </c>
      <c r="E3" s="52"/>
      <c r="F3" s="52"/>
      <c r="G3" s="52"/>
      <c r="H3" s="52"/>
      <c r="I3" s="52"/>
      <c r="J3" s="53"/>
      <c r="K3" s="54">
        <v>-2.9245580999999998E-05</v>
      </c>
      <c r="L3" s="54">
        <v>1.6644638068823593E-07</v>
      </c>
      <c r="M3" s="54">
        <v>1.293505E-05</v>
      </c>
      <c r="N3" s="55">
        <v>1.408309483032504E-07</v>
      </c>
    </row>
    <row r="4" spans="1:14" ht="15" customHeight="1">
      <c r="A4" s="56" t="s">
        <v>17</v>
      </c>
      <c r="B4" s="57">
        <v>2</v>
      </c>
      <c r="D4" s="51" t="s">
        <v>55</v>
      </c>
      <c r="E4" s="52"/>
      <c r="F4" s="52"/>
      <c r="G4" s="52"/>
      <c r="H4" s="52"/>
      <c r="I4" s="52"/>
      <c r="J4" s="53"/>
      <c r="K4" s="54">
        <v>-0.0037574944990759066</v>
      </c>
      <c r="L4" s="54">
        <v>-8.224471201731926E-06</v>
      </c>
      <c r="M4" s="54">
        <v>6.229286295401885E-08</v>
      </c>
      <c r="N4" s="55">
        <v>1.0944071999999998</v>
      </c>
    </row>
    <row r="5" spans="1:14" ht="15" customHeight="1" thickBot="1">
      <c r="A5" t="s">
        <v>18</v>
      </c>
      <c r="B5" s="58">
        <v>37728.51253472222</v>
      </c>
      <c r="D5" s="59"/>
      <c r="E5" s="60" t="s">
        <v>73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1614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57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58</v>
      </c>
      <c r="E7" s="73" t="s">
        <v>59</v>
      </c>
      <c r="F7" s="74" t="s">
        <v>60</v>
      </c>
      <c r="G7" s="73" t="s">
        <v>61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-7.0091538</v>
      </c>
      <c r="E8" s="77">
        <v>0.013714396984912263</v>
      </c>
      <c r="F8" s="77">
        <v>2.6626735999999998</v>
      </c>
      <c r="G8" s="77">
        <v>0.008188497654674427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6">
        <v>-0.7966359599999999</v>
      </c>
      <c r="E9" s="80">
        <v>0.014932434943923774</v>
      </c>
      <c r="F9" s="84">
        <v>-4.1032353</v>
      </c>
      <c r="G9" s="80">
        <v>0.016559109772519467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6">
        <v>1.16070087</v>
      </c>
      <c r="E10" s="80">
        <v>0.008223357272209113</v>
      </c>
      <c r="F10" s="84">
        <v>-2.5158718</v>
      </c>
      <c r="G10" s="80">
        <v>0.004197082589107201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2</v>
      </c>
      <c r="D11" s="88">
        <v>4.696139100000001</v>
      </c>
      <c r="E11" s="77">
        <v>0.008750399347068949</v>
      </c>
      <c r="F11" s="77">
        <v>0.2727927</v>
      </c>
      <c r="G11" s="77">
        <v>0.00507959899381768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5">
        <v>0.7499</v>
      </c>
      <c r="D12" s="86">
        <v>-0.14532233700000002</v>
      </c>
      <c r="E12" s="80">
        <v>0.0033222764399172063</v>
      </c>
      <c r="F12" s="80">
        <v>-0.13222923000000003</v>
      </c>
      <c r="G12" s="80">
        <v>0.0047508901718095855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24.25232</v>
      </c>
      <c r="D13" s="86">
        <v>0.05261178600000001</v>
      </c>
      <c r="E13" s="80">
        <v>0.002859642258254135</v>
      </c>
      <c r="F13" s="80">
        <v>-0.34416148</v>
      </c>
      <c r="G13" s="80">
        <v>0.003780505930244015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6">
        <v>0.1633724</v>
      </c>
      <c r="E14" s="80">
        <v>0.0013000343637772681</v>
      </c>
      <c r="F14" s="80">
        <v>0.010310274999999999</v>
      </c>
      <c r="G14" s="80">
        <v>0.0019623002506777595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88">
        <v>-0.081914563</v>
      </c>
      <c r="E15" s="77">
        <v>0.0022162069486750665</v>
      </c>
      <c r="F15" s="77">
        <v>0.08568891599999999</v>
      </c>
      <c r="G15" s="77">
        <v>0.0020128593910242803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12.504900000000001</v>
      </c>
      <c r="D16" s="86">
        <v>-0.024451408400000003</v>
      </c>
      <c r="E16" s="80">
        <v>0.0019975795689085923</v>
      </c>
      <c r="F16" s="80">
        <v>-0.116611031</v>
      </c>
      <c r="G16" s="80">
        <v>0.0018193192140581497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0.4230000078678131</v>
      </c>
      <c r="D17" s="83">
        <v>0.16749597</v>
      </c>
      <c r="E17" s="80">
        <v>0.0025141608485939313</v>
      </c>
      <c r="F17" s="80">
        <v>-0.08128294999999999</v>
      </c>
      <c r="G17" s="80">
        <v>0.0015253365452715451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11.1899995803833</v>
      </c>
      <c r="D18" s="86">
        <v>0.047358386999999995</v>
      </c>
      <c r="E18" s="80">
        <v>0.00178929942098488</v>
      </c>
      <c r="F18" s="84">
        <v>0.17867124999999998</v>
      </c>
      <c r="G18" s="80">
        <v>0.0013458291656102777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0.3799999952316284</v>
      </c>
      <c r="D19" s="83">
        <v>-0.17202546999999999</v>
      </c>
      <c r="E19" s="80">
        <v>0.0006527117239693576</v>
      </c>
      <c r="F19" s="80">
        <v>0.013493316900000002</v>
      </c>
      <c r="G19" s="80">
        <v>0.0008569722198519626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0.3164145</v>
      </c>
      <c r="D20" s="90">
        <v>-0.0090399638</v>
      </c>
      <c r="E20" s="91">
        <v>0.0005397246887487539</v>
      </c>
      <c r="F20" s="91">
        <v>0.0018487607900000002</v>
      </c>
      <c r="G20" s="91">
        <v>0.000867112165267912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1.0952199</v>
      </c>
      <c r="F21" s="3" t="s">
        <v>62</v>
      </c>
    </row>
    <row r="22" spans="1:6" ht="15" customHeight="1">
      <c r="A22" s="56" t="s">
        <v>43</v>
      </c>
      <c r="B22" s="71" t="s">
        <v>44</v>
      </c>
      <c r="F22" s="3" t="s">
        <v>63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64</v>
      </c>
      <c r="B24" s="97">
        <v>0.06270496659334922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65</v>
      </c>
      <c r="F25" s="103"/>
      <c r="G25" s="104"/>
      <c r="H25" s="105">
        <v>-3.7575035</v>
      </c>
      <c r="I25" s="103" t="s">
        <v>66</v>
      </c>
      <c r="J25" s="104"/>
      <c r="K25" s="103"/>
      <c r="L25" s="106">
        <v>4.704055516649661</v>
      </c>
    </row>
    <row r="26" spans="1:12" ht="18" customHeight="1" thickBot="1">
      <c r="A26" s="56" t="s">
        <v>48</v>
      </c>
      <c r="B26" s="57" t="s">
        <v>49</v>
      </c>
      <c r="E26" s="107" t="s">
        <v>67</v>
      </c>
      <c r="F26" s="108"/>
      <c r="G26" s="109"/>
      <c r="H26" s="110">
        <v>7.49787087726852</v>
      </c>
      <c r="I26" s="108" t="s">
        <v>68</v>
      </c>
      <c r="J26" s="109"/>
      <c r="K26" s="108"/>
      <c r="L26" s="111">
        <v>0.11854360360954118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 t="s">
        <v>52</v>
      </c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HCMQAP035_A_pos2ap2res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53</v>
      </c>
      <c r="E2" s="52"/>
      <c r="F2" s="52"/>
      <c r="G2" s="52"/>
      <c r="H2" s="52"/>
      <c r="I2" s="52"/>
      <c r="J2" s="53"/>
      <c r="K2" s="54">
        <v>9.760445899999999E-05</v>
      </c>
      <c r="L2" s="54">
        <v>8.228558965207024E-08</v>
      </c>
      <c r="M2" s="54">
        <v>0.00019590485000000002</v>
      </c>
      <c r="N2" s="55">
        <v>1.4651008494825658E-07</v>
      </c>
    </row>
    <row r="3" spans="1:14" ht="15" customHeight="1">
      <c r="A3" s="56" t="s">
        <v>16</v>
      </c>
      <c r="B3" s="57">
        <v>2</v>
      </c>
      <c r="D3" s="51" t="s">
        <v>54</v>
      </c>
      <c r="E3" s="52"/>
      <c r="F3" s="52"/>
      <c r="G3" s="52"/>
      <c r="H3" s="52"/>
      <c r="I3" s="52"/>
      <c r="J3" s="53"/>
      <c r="K3" s="54">
        <v>-2.8214160999999998E-05</v>
      </c>
      <c r="L3" s="54">
        <v>1.034278832042888E-07</v>
      </c>
      <c r="M3" s="54">
        <v>1.1278829999999997E-05</v>
      </c>
      <c r="N3" s="55">
        <v>1.2859934136696211E-07</v>
      </c>
    </row>
    <row r="4" spans="1:14" ht="15" customHeight="1">
      <c r="A4" s="56" t="s">
        <v>17</v>
      </c>
      <c r="B4" s="57">
        <v>2</v>
      </c>
      <c r="D4" s="51" t="s">
        <v>55</v>
      </c>
      <c r="E4" s="52"/>
      <c r="F4" s="52"/>
      <c r="G4" s="52"/>
      <c r="H4" s="52"/>
      <c r="I4" s="52"/>
      <c r="J4" s="53"/>
      <c r="K4" s="54">
        <v>-0.0037573980732534683</v>
      </c>
      <c r="L4" s="54">
        <v>2.435415036745831E-05</v>
      </c>
      <c r="M4" s="54">
        <v>4.636052776109725E-08</v>
      </c>
      <c r="N4" s="55">
        <v>-3.2407810999999995</v>
      </c>
    </row>
    <row r="5" spans="1:14" ht="15" customHeight="1" thickBot="1">
      <c r="A5" t="s">
        <v>18</v>
      </c>
      <c r="B5" s="58">
        <v>37728.517118055555</v>
      </c>
      <c r="D5" s="59"/>
      <c r="E5" s="60" t="s">
        <v>76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1614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57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58</v>
      </c>
      <c r="E7" s="73" t="s">
        <v>59</v>
      </c>
      <c r="F7" s="74" t="s">
        <v>60</v>
      </c>
      <c r="G7" s="73" t="s">
        <v>61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-5.4551509000000005</v>
      </c>
      <c r="E8" s="77">
        <v>0.01024210685552377</v>
      </c>
      <c r="F8" s="77">
        <v>0.31571424000000003</v>
      </c>
      <c r="G8" s="77">
        <v>0.01347734132907483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6">
        <v>-0.9715586799999999</v>
      </c>
      <c r="E9" s="80">
        <v>0.012792893936896541</v>
      </c>
      <c r="F9" s="84">
        <v>-3.7155974</v>
      </c>
      <c r="G9" s="80">
        <v>0.01586470978116683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6">
        <v>0.42155470999999994</v>
      </c>
      <c r="E10" s="80">
        <v>0.005252084598273122</v>
      </c>
      <c r="F10" s="84">
        <v>-2.9789327</v>
      </c>
      <c r="G10" s="80">
        <v>0.004276570817910184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3</v>
      </c>
      <c r="D11" s="88">
        <v>4.5196596</v>
      </c>
      <c r="E11" s="77">
        <v>0.008319348684745993</v>
      </c>
      <c r="F11" s="77">
        <v>0.048581214</v>
      </c>
      <c r="G11" s="77">
        <v>0.0036198575303392775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5">
        <v>0.7499</v>
      </c>
      <c r="D12" s="86">
        <v>-0.022913653</v>
      </c>
      <c r="E12" s="80">
        <v>0.004031395127478867</v>
      </c>
      <c r="F12" s="80">
        <v>0.024671435</v>
      </c>
      <c r="G12" s="80">
        <v>0.0073407078562615444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24.3042</v>
      </c>
      <c r="D13" s="86">
        <v>-0.118496855</v>
      </c>
      <c r="E13" s="80">
        <v>0.004094256051161008</v>
      </c>
      <c r="F13" s="84">
        <v>-0.45400856</v>
      </c>
      <c r="G13" s="80">
        <v>0.003214186467259956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6">
        <v>0.14363905</v>
      </c>
      <c r="E14" s="80">
        <v>0.0036333153208886566</v>
      </c>
      <c r="F14" s="80">
        <v>-0.06720536799999999</v>
      </c>
      <c r="G14" s="80">
        <v>0.0031022871854323275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88">
        <v>0.0102425908</v>
      </c>
      <c r="E15" s="77">
        <v>0.0018730388394537288</v>
      </c>
      <c r="F15" s="77">
        <v>0.062217644</v>
      </c>
      <c r="G15" s="77">
        <v>0.003440075371548364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12.504900000000001</v>
      </c>
      <c r="D16" s="86">
        <v>-0.060758823</v>
      </c>
      <c r="E16" s="80">
        <v>0.002077776565864441</v>
      </c>
      <c r="F16" s="80">
        <v>-0.0197105061</v>
      </c>
      <c r="G16" s="80">
        <v>0.0023118798927369627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-0.3190000057220459</v>
      </c>
      <c r="D17" s="86">
        <v>0.097501682</v>
      </c>
      <c r="E17" s="80">
        <v>0.0008132754664605529</v>
      </c>
      <c r="F17" s="80">
        <v>-0.10923134999999999</v>
      </c>
      <c r="G17" s="80">
        <v>0.0008313223965340443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35.095001220703125</v>
      </c>
      <c r="D18" s="86">
        <v>0.072534405</v>
      </c>
      <c r="E18" s="80">
        <v>0.0010980920464652322</v>
      </c>
      <c r="F18" s="84">
        <v>0.15123173</v>
      </c>
      <c r="G18" s="80">
        <v>0.0007614894395846845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-0.41600000858306885</v>
      </c>
      <c r="D19" s="83">
        <v>-0.16889262</v>
      </c>
      <c r="E19" s="80">
        <v>0.0004996744105862782</v>
      </c>
      <c r="F19" s="80">
        <v>0.0116571691</v>
      </c>
      <c r="G19" s="80">
        <v>0.0007774212106757368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0.435792</v>
      </c>
      <c r="D20" s="90">
        <v>-0.010109171</v>
      </c>
      <c r="E20" s="91">
        <v>0.0011840761836091958</v>
      </c>
      <c r="F20" s="91">
        <v>0.00056505643</v>
      </c>
      <c r="G20" s="91">
        <v>0.0014536377557483548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0.8892008</v>
      </c>
      <c r="F21" s="3" t="s">
        <v>62</v>
      </c>
    </row>
    <row r="22" spans="1:6" ht="15" customHeight="1">
      <c r="A22" s="56" t="s">
        <v>43</v>
      </c>
      <c r="B22" s="71" t="s">
        <v>44</v>
      </c>
      <c r="F22" s="3" t="s">
        <v>63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64</v>
      </c>
      <c r="B24" s="97">
        <v>-0.18568323619568433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65</v>
      </c>
      <c r="F25" s="103"/>
      <c r="G25" s="104"/>
      <c r="H25" s="105">
        <v>-3.7574769999999997</v>
      </c>
      <c r="I25" s="103" t="s">
        <v>66</v>
      </c>
      <c r="J25" s="104"/>
      <c r="K25" s="103"/>
      <c r="L25" s="106">
        <v>4.519920688930933</v>
      </c>
    </row>
    <row r="26" spans="1:12" ht="18" customHeight="1" thickBot="1">
      <c r="A26" s="56" t="s">
        <v>48</v>
      </c>
      <c r="B26" s="57" t="s">
        <v>49</v>
      </c>
      <c r="E26" s="107" t="s">
        <v>67</v>
      </c>
      <c r="F26" s="108"/>
      <c r="G26" s="109"/>
      <c r="H26" s="110">
        <v>5.464279167750271</v>
      </c>
      <c r="I26" s="108" t="s">
        <v>68</v>
      </c>
      <c r="J26" s="109"/>
      <c r="K26" s="108"/>
      <c r="L26" s="111">
        <v>0.06305510202360298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 t="s">
        <v>52</v>
      </c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HCMQAP035_A_pos3ap2res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53</v>
      </c>
      <c r="E2" s="52"/>
      <c r="F2" s="52"/>
      <c r="G2" s="52"/>
      <c r="H2" s="52"/>
      <c r="I2" s="52"/>
      <c r="J2" s="53"/>
      <c r="K2" s="54">
        <v>0.00010829038</v>
      </c>
      <c r="L2" s="54">
        <v>1.81144193254946E-07</v>
      </c>
      <c r="M2" s="54">
        <v>0.00017925413</v>
      </c>
      <c r="N2" s="55">
        <v>1.0222045100752236E-07</v>
      </c>
    </row>
    <row r="3" spans="1:14" ht="15" customHeight="1">
      <c r="A3" s="56" t="s">
        <v>16</v>
      </c>
      <c r="B3" s="57">
        <v>2</v>
      </c>
      <c r="D3" s="51" t="s">
        <v>54</v>
      </c>
      <c r="E3" s="52"/>
      <c r="F3" s="52"/>
      <c r="G3" s="52"/>
      <c r="H3" s="52"/>
      <c r="I3" s="52"/>
      <c r="J3" s="53"/>
      <c r="K3" s="54">
        <v>-2.8821940000000005E-05</v>
      </c>
      <c r="L3" s="54">
        <v>1.095911362736845E-07</v>
      </c>
      <c r="M3" s="54">
        <v>1.0418429999999997E-05</v>
      </c>
      <c r="N3" s="55">
        <v>1.9438094711156066E-07</v>
      </c>
    </row>
    <row r="4" spans="1:14" ht="15" customHeight="1">
      <c r="A4" s="56" t="s">
        <v>17</v>
      </c>
      <c r="B4" s="57">
        <v>2</v>
      </c>
      <c r="D4" s="51" t="s">
        <v>55</v>
      </c>
      <c r="E4" s="52"/>
      <c r="F4" s="52"/>
      <c r="G4" s="52"/>
      <c r="H4" s="52"/>
      <c r="I4" s="52"/>
      <c r="J4" s="53"/>
      <c r="K4" s="54">
        <v>-0.0037571164845265747</v>
      </c>
      <c r="L4" s="54">
        <v>5.145390822972683E-05</v>
      </c>
      <c r="M4" s="54">
        <v>8.121981890492704E-08</v>
      </c>
      <c r="N4" s="55">
        <v>-6.847098299999999</v>
      </c>
    </row>
    <row r="5" spans="1:14" ht="15" customHeight="1" thickBot="1">
      <c r="A5" t="s">
        <v>18</v>
      </c>
      <c r="B5" s="58">
        <v>37728.52170138889</v>
      </c>
      <c r="D5" s="59"/>
      <c r="E5" s="60" t="s">
        <v>76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1614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57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58</v>
      </c>
      <c r="E7" s="73" t="s">
        <v>59</v>
      </c>
      <c r="F7" s="74" t="s">
        <v>60</v>
      </c>
      <c r="G7" s="73" t="s">
        <v>61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-5.8960533</v>
      </c>
      <c r="E8" s="77">
        <v>0.010777763500011892</v>
      </c>
      <c r="F8" s="77">
        <v>1.3457721999999996</v>
      </c>
      <c r="G8" s="77">
        <v>0.009292403040178017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6">
        <v>-0.5440965299999999</v>
      </c>
      <c r="E9" s="80">
        <v>0.018845069233029844</v>
      </c>
      <c r="F9" s="84">
        <v>-4.8655203</v>
      </c>
      <c r="G9" s="80">
        <v>0.025709831750931333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6">
        <v>0.46776646</v>
      </c>
      <c r="E10" s="80">
        <v>0.004705588358578917</v>
      </c>
      <c r="F10" s="84">
        <v>-2.4985402999999997</v>
      </c>
      <c r="G10" s="80">
        <v>0.0032427969502286324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4</v>
      </c>
      <c r="D11" s="88">
        <v>4.4246678</v>
      </c>
      <c r="E11" s="77">
        <v>0.007024103769118218</v>
      </c>
      <c r="F11" s="77">
        <v>0.23182176999999998</v>
      </c>
      <c r="G11" s="77">
        <v>0.004539542226107046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5">
        <v>0.7499</v>
      </c>
      <c r="D12" s="86">
        <v>-0.136479295</v>
      </c>
      <c r="E12" s="80">
        <v>0.002935870433266777</v>
      </c>
      <c r="F12" s="80">
        <v>-0.13132015</v>
      </c>
      <c r="G12" s="80">
        <v>0.003497507203423754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24.414063</v>
      </c>
      <c r="D13" s="86">
        <v>0.039374392999999994</v>
      </c>
      <c r="E13" s="80">
        <v>0.003238906275079032</v>
      </c>
      <c r="F13" s="80">
        <v>-0.32951531</v>
      </c>
      <c r="G13" s="80">
        <v>0.0028034459772564796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6">
        <v>0.077527157</v>
      </c>
      <c r="E14" s="80">
        <v>0.0023090685529573254</v>
      </c>
      <c r="F14" s="80">
        <v>-0.052963925</v>
      </c>
      <c r="G14" s="80">
        <v>0.003204404991515664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88">
        <v>-0.042812004</v>
      </c>
      <c r="E15" s="77">
        <v>0.0017747358871037793</v>
      </c>
      <c r="F15" s="77">
        <v>0.043518766</v>
      </c>
      <c r="G15" s="77">
        <v>0.0022650507062168877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</v>
      </c>
      <c r="D16" s="86">
        <v>-0.02067340849</v>
      </c>
      <c r="E16" s="80">
        <v>0.0028450262408673014</v>
      </c>
      <c r="F16" s="80">
        <v>-0.041502275</v>
      </c>
      <c r="G16" s="80">
        <v>0.00430806157432787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0.3240000009536743</v>
      </c>
      <c r="D17" s="86">
        <v>0.07666513300000001</v>
      </c>
      <c r="E17" s="80">
        <v>0.0022727286058467954</v>
      </c>
      <c r="F17" s="80">
        <v>-0.08405279800000001</v>
      </c>
      <c r="G17" s="80">
        <v>0.0031515690906730497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13.732999801635742</v>
      </c>
      <c r="D18" s="86">
        <v>0.06383963000000001</v>
      </c>
      <c r="E18" s="80">
        <v>0.0016582895813305456</v>
      </c>
      <c r="F18" s="80">
        <v>0.13049892000000002</v>
      </c>
      <c r="G18" s="80">
        <v>0.0009720789605801263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0.0989999994635582</v>
      </c>
      <c r="D19" s="83">
        <v>-0.16227898</v>
      </c>
      <c r="E19" s="80">
        <v>0.0006725285522638238</v>
      </c>
      <c r="F19" s="80">
        <v>0.0050933542</v>
      </c>
      <c r="G19" s="80">
        <v>0.0008641443158756867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0.4787488</v>
      </c>
      <c r="D20" s="90">
        <v>-0.009019066499999999</v>
      </c>
      <c r="E20" s="91">
        <v>0.0012201319862635786</v>
      </c>
      <c r="F20" s="91">
        <v>0.00453202041</v>
      </c>
      <c r="G20" s="91">
        <v>0.0005731387373721396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0.8176541</v>
      </c>
      <c r="F21" s="3" t="s">
        <v>62</v>
      </c>
    </row>
    <row r="22" spans="1:6" ht="15" customHeight="1">
      <c r="A22" s="56" t="s">
        <v>43</v>
      </c>
      <c r="B22" s="71" t="s">
        <v>44</v>
      </c>
      <c r="F22" s="3" t="s">
        <v>63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64</v>
      </c>
      <c r="B24" s="97">
        <v>-0.39231016587142176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65</v>
      </c>
      <c r="F25" s="103"/>
      <c r="G25" s="104"/>
      <c r="H25" s="105">
        <v>-3.7574688000000003</v>
      </c>
      <c r="I25" s="103" t="s">
        <v>66</v>
      </c>
      <c r="J25" s="104"/>
      <c r="K25" s="103"/>
      <c r="L25" s="106">
        <v>4.430736561047471</v>
      </c>
    </row>
    <row r="26" spans="1:12" ht="18" customHeight="1" thickBot="1">
      <c r="A26" s="56" t="s">
        <v>48</v>
      </c>
      <c r="B26" s="57" t="s">
        <v>49</v>
      </c>
      <c r="E26" s="107" t="s">
        <v>67</v>
      </c>
      <c r="F26" s="108"/>
      <c r="G26" s="109"/>
      <c r="H26" s="110">
        <v>6.047689420822942</v>
      </c>
      <c r="I26" s="108" t="s">
        <v>68</v>
      </c>
      <c r="J26" s="109"/>
      <c r="K26" s="108"/>
      <c r="L26" s="111">
        <v>0.061047118528713314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 t="s">
        <v>52</v>
      </c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HCMQAP035_A_pos4ap2res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53</v>
      </c>
      <c r="E2" s="52"/>
      <c r="F2" s="52"/>
      <c r="G2" s="52"/>
      <c r="H2" s="52"/>
      <c r="I2" s="52"/>
      <c r="J2" s="53"/>
      <c r="K2" s="54">
        <v>4.320490999999999E-06</v>
      </c>
      <c r="L2" s="54">
        <v>2.555190956347501E-07</v>
      </c>
      <c r="M2" s="54">
        <v>0.00016912937999999999</v>
      </c>
      <c r="N2" s="55">
        <v>1.3562629762586922E-07</v>
      </c>
    </row>
    <row r="3" spans="1:14" ht="15" customHeight="1">
      <c r="A3" s="56" t="s">
        <v>16</v>
      </c>
      <c r="B3" s="57">
        <v>2</v>
      </c>
      <c r="D3" s="51" t="s">
        <v>54</v>
      </c>
      <c r="E3" s="52"/>
      <c r="F3" s="52"/>
      <c r="G3" s="52"/>
      <c r="H3" s="52"/>
      <c r="I3" s="52"/>
      <c r="J3" s="53"/>
      <c r="K3" s="54">
        <v>-3.1714383E-05</v>
      </c>
      <c r="L3" s="54">
        <v>5.707266393344254E-07</v>
      </c>
      <c r="M3" s="54">
        <v>1.419182E-05</v>
      </c>
      <c r="N3" s="55">
        <v>1.8137524252221357E-07</v>
      </c>
    </row>
    <row r="4" spans="1:14" ht="15" customHeight="1">
      <c r="A4" s="56" t="s">
        <v>17</v>
      </c>
      <c r="B4" s="57">
        <v>2</v>
      </c>
      <c r="D4" s="51" t="s">
        <v>55</v>
      </c>
      <c r="E4" s="52"/>
      <c r="F4" s="52"/>
      <c r="G4" s="52"/>
      <c r="H4" s="52"/>
      <c r="I4" s="52"/>
      <c r="J4" s="53"/>
      <c r="K4" s="54">
        <v>-0.0022536195851753722</v>
      </c>
      <c r="L4" s="54">
        <v>-3.254032089938714E-05</v>
      </c>
      <c r="M4" s="54">
        <v>7.194094651643955E-08</v>
      </c>
      <c r="N4" s="55">
        <v>7.2190666</v>
      </c>
    </row>
    <row r="5" spans="1:14" ht="15" customHeight="1" thickBot="1">
      <c r="A5" t="s">
        <v>18</v>
      </c>
      <c r="B5" s="58">
        <v>37728.5078125</v>
      </c>
      <c r="D5" s="59"/>
      <c r="E5" s="60" t="s">
        <v>81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1614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57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58</v>
      </c>
      <c r="E7" s="73" t="s">
        <v>59</v>
      </c>
      <c r="F7" s="74" t="s">
        <v>60</v>
      </c>
      <c r="G7" s="73" t="s">
        <v>61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-6.458639099999999</v>
      </c>
      <c r="E8" s="77">
        <v>0.022438105498121644</v>
      </c>
      <c r="F8" s="77">
        <v>2.4163743999999996</v>
      </c>
      <c r="G8" s="77">
        <v>0.01794758285509023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6">
        <v>-1.2520586</v>
      </c>
      <c r="E9" s="80">
        <v>0.021640199581799895</v>
      </c>
      <c r="F9" s="84">
        <v>-3.7472734</v>
      </c>
      <c r="G9" s="80">
        <v>0.04291269814908719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6">
        <v>1.0564559</v>
      </c>
      <c r="E10" s="80">
        <v>0.00721220354425873</v>
      </c>
      <c r="F10" s="84">
        <v>-2.6265948999999997</v>
      </c>
      <c r="G10" s="80">
        <v>0.010290832334668647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1</v>
      </c>
      <c r="D11" s="88">
        <v>4.4241875</v>
      </c>
      <c r="E11" s="77">
        <v>0.005978865134069692</v>
      </c>
      <c r="F11" s="77">
        <v>0.76530046</v>
      </c>
      <c r="G11" s="77">
        <v>0.01209683332857844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5">
        <v>0.7499</v>
      </c>
      <c r="D12" s="86">
        <v>-0.31104295000000004</v>
      </c>
      <c r="E12" s="80">
        <v>0.004473036849835468</v>
      </c>
      <c r="F12" s="80">
        <v>0.116245541</v>
      </c>
      <c r="G12" s="80">
        <v>0.004730916932158709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24.218751</v>
      </c>
      <c r="D13" s="116">
        <v>0.40422411</v>
      </c>
      <c r="E13" s="80">
        <v>0.005755301630530507</v>
      </c>
      <c r="F13" s="84">
        <v>-0.41116680999999994</v>
      </c>
      <c r="G13" s="80">
        <v>0.004014793996635929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6">
        <v>0.21585163000000002</v>
      </c>
      <c r="E14" s="80">
        <v>0.006793911098153018</v>
      </c>
      <c r="F14" s="84">
        <v>0.42485337</v>
      </c>
      <c r="G14" s="80">
        <v>0.006353503737905873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88">
        <v>-0.27378586</v>
      </c>
      <c r="E15" s="77">
        <v>0.004746449217403679</v>
      </c>
      <c r="F15" s="77">
        <v>0.11156017</v>
      </c>
      <c r="G15" s="77">
        <v>0.0032375588872790607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12.504900000000001</v>
      </c>
      <c r="D16" s="86">
        <v>-0.013633461999999999</v>
      </c>
      <c r="E16" s="80">
        <v>0.0030864631514430927</v>
      </c>
      <c r="F16" s="80">
        <v>-0.1333386</v>
      </c>
      <c r="G16" s="80">
        <v>0.004465573112490466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-0.21199999749660492</v>
      </c>
      <c r="D17" s="83">
        <v>0.28476642</v>
      </c>
      <c r="E17" s="80">
        <v>0.005198815992759595</v>
      </c>
      <c r="F17" s="80">
        <v>-0.030350403999999997</v>
      </c>
      <c r="G17" s="80">
        <v>0.002559829509378281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126.64800262451172</v>
      </c>
      <c r="D18" s="86">
        <v>0.015632463699999998</v>
      </c>
      <c r="E18" s="80">
        <v>0.002020271434613259</v>
      </c>
      <c r="F18" s="84">
        <v>0.24506423000000002</v>
      </c>
      <c r="G18" s="80">
        <v>0.0014332770739123486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-0.3790000081062317</v>
      </c>
      <c r="D19" s="83">
        <v>-0.18365928</v>
      </c>
      <c r="E19" s="80">
        <v>0.002100280944920596</v>
      </c>
      <c r="F19" s="80">
        <v>0.00843436475</v>
      </c>
      <c r="G19" s="80">
        <v>0.00253900513898471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0.050936</v>
      </c>
      <c r="D20" s="90">
        <v>-0.0037381325</v>
      </c>
      <c r="E20" s="91">
        <v>0.0013903988841067882</v>
      </c>
      <c r="F20" s="91">
        <v>-0.0014268588099999998</v>
      </c>
      <c r="G20" s="91">
        <v>0.001180188294570613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1.2750811</v>
      </c>
      <c r="F21" s="3" t="s">
        <v>62</v>
      </c>
    </row>
    <row r="22" spans="1:6" ht="15" customHeight="1">
      <c r="A22" s="56" t="s">
        <v>43</v>
      </c>
      <c r="B22" s="71" t="s">
        <v>44</v>
      </c>
      <c r="F22" s="3" t="s">
        <v>63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64</v>
      </c>
      <c r="B24" s="97">
        <v>0.41362239757574987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65</v>
      </c>
      <c r="F25" s="103"/>
      <c r="G25" s="104"/>
      <c r="H25" s="105">
        <v>-2.2538545</v>
      </c>
      <c r="I25" s="103" t="s">
        <v>66</v>
      </c>
      <c r="J25" s="104"/>
      <c r="K25" s="103"/>
      <c r="L25" s="106">
        <v>4.489890848253715</v>
      </c>
    </row>
    <row r="26" spans="1:12" ht="18" customHeight="1" thickBot="1">
      <c r="A26" s="56" t="s">
        <v>48</v>
      </c>
      <c r="B26" s="57" t="s">
        <v>49</v>
      </c>
      <c r="E26" s="107" t="s">
        <v>67</v>
      </c>
      <c r="F26" s="108"/>
      <c r="G26" s="109"/>
      <c r="H26" s="110">
        <v>6.895859936586891</v>
      </c>
      <c r="I26" s="108" t="s">
        <v>68</v>
      </c>
      <c r="J26" s="109"/>
      <c r="K26" s="108"/>
      <c r="L26" s="111">
        <v>0.29564229850677404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 t="s">
        <v>52</v>
      </c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HCMQAP035_A_pos1ap2res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5"/>
  <sheetViews>
    <sheetView workbookViewId="0" topLeftCell="A1">
      <selection activeCell="A23" sqref="A23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41" t="s">
        <v>121</v>
      </c>
      <c r="B1" s="132" t="s">
        <v>82</v>
      </c>
      <c r="C1" s="122" t="s">
        <v>74</v>
      </c>
      <c r="D1" s="122" t="s">
        <v>77</v>
      </c>
      <c r="E1" s="122" t="s">
        <v>79</v>
      </c>
      <c r="F1" s="129" t="s">
        <v>69</v>
      </c>
      <c r="G1" s="165" t="s">
        <v>122</v>
      </c>
    </row>
    <row r="2" spans="1:7" ht="13.5" thickBot="1">
      <c r="A2" s="142" t="s">
        <v>91</v>
      </c>
      <c r="B2" s="133">
        <v>-2.2538545</v>
      </c>
      <c r="C2" s="124">
        <v>-3.7575035</v>
      </c>
      <c r="D2" s="124">
        <v>-3.7574769999999997</v>
      </c>
      <c r="E2" s="124">
        <v>-3.7574688000000003</v>
      </c>
      <c r="F2" s="130">
        <v>-2.0891935000000004</v>
      </c>
      <c r="G2" s="166">
        <v>3.116464163277275</v>
      </c>
    </row>
    <row r="3" spans="1:7" ht="14.25" thickBot="1" thickTop="1">
      <c r="A3" s="150" t="s">
        <v>90</v>
      </c>
      <c r="B3" s="151" t="s">
        <v>85</v>
      </c>
      <c r="C3" s="152" t="s">
        <v>86</v>
      </c>
      <c r="D3" s="152" t="s">
        <v>87</v>
      </c>
      <c r="E3" s="152" t="s">
        <v>88</v>
      </c>
      <c r="F3" s="153" t="s">
        <v>89</v>
      </c>
      <c r="G3" s="160" t="s">
        <v>123</v>
      </c>
    </row>
    <row r="4" spans="1:7" ht="12.75">
      <c r="A4" s="147" t="s">
        <v>92</v>
      </c>
      <c r="B4" s="148">
        <v>-6.458639099999999</v>
      </c>
      <c r="C4" s="149">
        <v>-7.0091538</v>
      </c>
      <c r="D4" s="149">
        <v>-5.4551509000000005</v>
      </c>
      <c r="E4" s="149">
        <v>-5.8960533</v>
      </c>
      <c r="F4" s="154">
        <v>-7.206769400000001</v>
      </c>
      <c r="G4" s="161">
        <v>-6.31436367240091</v>
      </c>
    </row>
    <row r="5" spans="1:7" ht="12.75">
      <c r="A5" s="142" t="s">
        <v>94</v>
      </c>
      <c r="B5" s="134">
        <v>-1.2520586</v>
      </c>
      <c r="C5" s="120">
        <v>-0.7966359599999999</v>
      </c>
      <c r="D5" s="120">
        <v>-0.9715586799999999</v>
      </c>
      <c r="E5" s="120">
        <v>-0.5440965299999999</v>
      </c>
      <c r="F5" s="155">
        <v>-4.5598134</v>
      </c>
      <c r="G5" s="162">
        <v>-1.3471673402425732</v>
      </c>
    </row>
    <row r="6" spans="1:7" ht="12.75">
      <c r="A6" s="142" t="s">
        <v>96</v>
      </c>
      <c r="B6" s="134">
        <v>1.0564559</v>
      </c>
      <c r="C6" s="120">
        <v>1.16070087</v>
      </c>
      <c r="D6" s="120">
        <v>0.42155470999999994</v>
      </c>
      <c r="E6" s="120">
        <v>0.46776646</v>
      </c>
      <c r="F6" s="155">
        <v>2.9696105999999998</v>
      </c>
      <c r="G6" s="162">
        <v>1.0430744741634845</v>
      </c>
    </row>
    <row r="7" spans="1:7" ht="12.75">
      <c r="A7" s="142" t="s">
        <v>98</v>
      </c>
      <c r="B7" s="135">
        <v>4.4241875</v>
      </c>
      <c r="C7" s="118">
        <v>4.696139100000001</v>
      </c>
      <c r="D7" s="118">
        <v>4.5196596</v>
      </c>
      <c r="E7" s="118">
        <v>4.4246678</v>
      </c>
      <c r="F7" s="156">
        <v>15.899983</v>
      </c>
      <c r="G7" s="162">
        <v>6.048058639020094</v>
      </c>
    </row>
    <row r="8" spans="1:7" ht="12.75">
      <c r="A8" s="142" t="s">
        <v>100</v>
      </c>
      <c r="B8" s="134">
        <v>-0.31104295000000004</v>
      </c>
      <c r="C8" s="120">
        <v>-0.14532233700000002</v>
      </c>
      <c r="D8" s="120">
        <v>-0.022913653</v>
      </c>
      <c r="E8" s="120">
        <v>-0.136479295</v>
      </c>
      <c r="F8" s="157">
        <v>-0.37489931</v>
      </c>
      <c r="G8" s="162">
        <v>-0.16837415488553903</v>
      </c>
    </row>
    <row r="9" spans="1:7" ht="12.75">
      <c r="A9" s="142" t="s">
        <v>102</v>
      </c>
      <c r="B9" s="136">
        <v>0.40422411</v>
      </c>
      <c r="C9" s="120">
        <v>0.05261178600000001</v>
      </c>
      <c r="D9" s="120">
        <v>-0.118496855</v>
      </c>
      <c r="E9" s="120">
        <v>0.039374392999999994</v>
      </c>
      <c r="F9" s="157">
        <v>0.15559648899999998</v>
      </c>
      <c r="G9" s="162">
        <v>0.07278162820927074</v>
      </c>
    </row>
    <row r="10" spans="1:7" ht="12.75">
      <c r="A10" s="142" t="s">
        <v>104</v>
      </c>
      <c r="B10" s="134">
        <v>0.21585163000000002</v>
      </c>
      <c r="C10" s="120">
        <v>0.1633724</v>
      </c>
      <c r="D10" s="120">
        <v>0.14363905</v>
      </c>
      <c r="E10" s="120">
        <v>0.077527157</v>
      </c>
      <c r="F10" s="157">
        <v>0.20356290999999999</v>
      </c>
      <c r="G10" s="162">
        <v>0.15091925001206152</v>
      </c>
    </row>
    <row r="11" spans="1:7" ht="12.75">
      <c r="A11" s="142" t="s">
        <v>106</v>
      </c>
      <c r="B11" s="135">
        <v>-0.27378586</v>
      </c>
      <c r="C11" s="118">
        <v>-0.081914563</v>
      </c>
      <c r="D11" s="118">
        <v>0.0102425908</v>
      </c>
      <c r="E11" s="118">
        <v>-0.042812004</v>
      </c>
      <c r="F11" s="158">
        <v>-0.22556141</v>
      </c>
      <c r="G11" s="162">
        <v>-0.09724234983779471</v>
      </c>
    </row>
    <row r="12" spans="1:7" ht="12.75">
      <c r="A12" s="142" t="s">
        <v>108</v>
      </c>
      <c r="B12" s="134">
        <v>-0.013633461999999999</v>
      </c>
      <c r="C12" s="120">
        <v>-0.024451408400000003</v>
      </c>
      <c r="D12" s="120">
        <v>-0.060758823</v>
      </c>
      <c r="E12" s="120">
        <v>-0.02067340849</v>
      </c>
      <c r="F12" s="157">
        <v>-0.012156058700000002</v>
      </c>
      <c r="G12" s="162">
        <v>-0.029072402228539202</v>
      </c>
    </row>
    <row r="13" spans="1:7" ht="12.75">
      <c r="A13" s="142" t="s">
        <v>110</v>
      </c>
      <c r="B13" s="137">
        <v>0.28476642</v>
      </c>
      <c r="C13" s="119">
        <v>0.16749597</v>
      </c>
      <c r="D13" s="120">
        <v>0.097501682</v>
      </c>
      <c r="E13" s="120">
        <v>0.07666513300000001</v>
      </c>
      <c r="F13" s="157">
        <v>0.13803057000000002</v>
      </c>
      <c r="G13" s="163">
        <v>0.1417814924916765</v>
      </c>
    </row>
    <row r="14" spans="1:7" ht="12.75">
      <c r="A14" s="142" t="s">
        <v>112</v>
      </c>
      <c r="B14" s="134">
        <v>0.015632463699999998</v>
      </c>
      <c r="C14" s="120">
        <v>0.047358386999999995</v>
      </c>
      <c r="D14" s="120">
        <v>0.072534405</v>
      </c>
      <c r="E14" s="120">
        <v>0.06383963000000001</v>
      </c>
      <c r="F14" s="157">
        <v>-0.035944198</v>
      </c>
      <c r="G14" s="162">
        <v>0.04165797493773075</v>
      </c>
    </row>
    <row r="15" spans="1:7" ht="12.75">
      <c r="A15" s="142" t="s">
        <v>114</v>
      </c>
      <c r="B15" s="137">
        <v>-0.18365928</v>
      </c>
      <c r="C15" s="119">
        <v>-0.17202546999999999</v>
      </c>
      <c r="D15" s="119">
        <v>-0.16889262</v>
      </c>
      <c r="E15" s="119">
        <v>-0.16227898</v>
      </c>
      <c r="F15" s="157">
        <v>-0.12807647000000003</v>
      </c>
      <c r="G15" s="162">
        <v>-0.164725619612602</v>
      </c>
    </row>
    <row r="16" spans="1:7" ht="12.75">
      <c r="A16" s="142" t="s">
        <v>116</v>
      </c>
      <c r="B16" s="134">
        <v>-0.0037381325</v>
      </c>
      <c r="C16" s="120">
        <v>-0.0090399638</v>
      </c>
      <c r="D16" s="120">
        <v>-0.010109171</v>
      </c>
      <c r="E16" s="120">
        <v>-0.009019066499999999</v>
      </c>
      <c r="F16" s="157">
        <v>-0.00479411802</v>
      </c>
      <c r="G16" s="162">
        <v>-0.007958925591255656</v>
      </c>
    </row>
    <row r="17" spans="1:7" ht="12.75">
      <c r="A17" s="142" t="s">
        <v>93</v>
      </c>
      <c r="B17" s="135">
        <v>2.4163743999999996</v>
      </c>
      <c r="C17" s="118">
        <v>2.6626735999999998</v>
      </c>
      <c r="D17" s="118">
        <v>0.31571424000000003</v>
      </c>
      <c r="E17" s="118">
        <v>1.3457721999999996</v>
      </c>
      <c r="F17" s="156">
        <v>9.4327906</v>
      </c>
      <c r="G17" s="162">
        <v>2.6512810798310813</v>
      </c>
    </row>
    <row r="18" spans="1:7" ht="12.75">
      <c r="A18" s="142" t="s">
        <v>95</v>
      </c>
      <c r="B18" s="137">
        <v>-3.7472734</v>
      </c>
      <c r="C18" s="119">
        <v>-4.1032353</v>
      </c>
      <c r="D18" s="119">
        <v>-3.7155974</v>
      </c>
      <c r="E18" s="119">
        <v>-4.8655203</v>
      </c>
      <c r="F18" s="155">
        <v>-2.6935322000000004</v>
      </c>
      <c r="G18" s="163">
        <v>-3.9534029105464983</v>
      </c>
    </row>
    <row r="19" spans="1:7" ht="12.75">
      <c r="A19" s="142" t="s">
        <v>97</v>
      </c>
      <c r="B19" s="137">
        <v>-2.6265948999999997</v>
      </c>
      <c r="C19" s="119">
        <v>-2.5158718</v>
      </c>
      <c r="D19" s="119">
        <v>-2.9789327</v>
      </c>
      <c r="E19" s="119">
        <v>-2.4985402999999997</v>
      </c>
      <c r="F19" s="155">
        <v>-11.793802</v>
      </c>
      <c r="G19" s="163">
        <v>-3.8803985214976717</v>
      </c>
    </row>
    <row r="20" spans="1:7" ht="12.75">
      <c r="A20" s="142" t="s">
        <v>99</v>
      </c>
      <c r="B20" s="135">
        <v>0.76530046</v>
      </c>
      <c r="C20" s="118">
        <v>0.2727927</v>
      </c>
      <c r="D20" s="118">
        <v>0.048581214</v>
      </c>
      <c r="E20" s="118">
        <v>0.23182176999999998</v>
      </c>
      <c r="F20" s="156">
        <v>2.54852</v>
      </c>
      <c r="G20" s="162">
        <v>0.5845380724083871</v>
      </c>
    </row>
    <row r="21" spans="1:7" ht="12.75">
      <c r="A21" s="142" t="s">
        <v>101</v>
      </c>
      <c r="B21" s="134">
        <v>0.116245541</v>
      </c>
      <c r="C21" s="120">
        <v>-0.13222923000000003</v>
      </c>
      <c r="D21" s="120">
        <v>0.024671435</v>
      </c>
      <c r="E21" s="120">
        <v>-0.13132015</v>
      </c>
      <c r="F21" s="157">
        <v>0.55451647</v>
      </c>
      <c r="G21" s="162">
        <v>0.03348672917772523</v>
      </c>
    </row>
    <row r="22" spans="1:7" ht="12.75">
      <c r="A22" s="142" t="s">
        <v>103</v>
      </c>
      <c r="B22" s="137">
        <v>-0.41116680999999994</v>
      </c>
      <c r="C22" s="120">
        <v>-0.34416148</v>
      </c>
      <c r="D22" s="119">
        <v>-0.45400856</v>
      </c>
      <c r="E22" s="120">
        <v>-0.32951531</v>
      </c>
      <c r="F22" s="157">
        <v>-0.26861845</v>
      </c>
      <c r="G22" s="163">
        <v>-0.36663348971952675</v>
      </c>
    </row>
    <row r="23" spans="1:7" ht="12.75">
      <c r="A23" s="142" t="s">
        <v>105</v>
      </c>
      <c r="B23" s="137">
        <v>0.42485337</v>
      </c>
      <c r="C23" s="120">
        <v>0.010310274999999999</v>
      </c>
      <c r="D23" s="120">
        <v>-0.06720536799999999</v>
      </c>
      <c r="E23" s="120">
        <v>-0.052963925</v>
      </c>
      <c r="F23" s="157">
        <v>0.3132009800000001</v>
      </c>
      <c r="G23" s="162">
        <v>0.07678929992022616</v>
      </c>
    </row>
    <row r="24" spans="1:7" ht="12.75">
      <c r="A24" s="142" t="s">
        <v>107</v>
      </c>
      <c r="B24" s="135">
        <v>0.11156017</v>
      </c>
      <c r="C24" s="118">
        <v>0.08568891599999999</v>
      </c>
      <c r="D24" s="118">
        <v>0.062217644</v>
      </c>
      <c r="E24" s="118">
        <v>0.043518766</v>
      </c>
      <c r="F24" s="158">
        <v>0.24126771000000002</v>
      </c>
      <c r="G24" s="162">
        <v>0.0944429413869544</v>
      </c>
    </row>
    <row r="25" spans="1:7" ht="12.75">
      <c r="A25" s="142" t="s">
        <v>109</v>
      </c>
      <c r="B25" s="134">
        <v>-0.1333386</v>
      </c>
      <c r="C25" s="120">
        <v>-0.116611031</v>
      </c>
      <c r="D25" s="120">
        <v>-0.0197105061</v>
      </c>
      <c r="E25" s="120">
        <v>-0.041502275</v>
      </c>
      <c r="F25" s="157">
        <v>-0.00547877538</v>
      </c>
      <c r="G25" s="162">
        <v>-0.06276736760969465</v>
      </c>
    </row>
    <row r="26" spans="1:7" ht="12.75">
      <c r="A26" s="142" t="s">
        <v>111</v>
      </c>
      <c r="B26" s="134">
        <v>-0.030350403999999997</v>
      </c>
      <c r="C26" s="120">
        <v>-0.08128294999999999</v>
      </c>
      <c r="D26" s="120">
        <v>-0.10923134999999999</v>
      </c>
      <c r="E26" s="120">
        <v>-0.08405279800000001</v>
      </c>
      <c r="F26" s="157">
        <v>0.032139461999999994</v>
      </c>
      <c r="G26" s="162">
        <v>-0.06614844472390247</v>
      </c>
    </row>
    <row r="27" spans="1:7" ht="12.75">
      <c r="A27" s="142" t="s">
        <v>113</v>
      </c>
      <c r="B27" s="137">
        <v>0.24506423000000002</v>
      </c>
      <c r="C27" s="119">
        <v>0.17867124999999998</v>
      </c>
      <c r="D27" s="119">
        <v>0.15123173</v>
      </c>
      <c r="E27" s="120">
        <v>0.13049892000000002</v>
      </c>
      <c r="F27" s="157">
        <v>0.14703335</v>
      </c>
      <c r="G27" s="163">
        <v>0.16582715245200938</v>
      </c>
    </row>
    <row r="28" spans="1:7" ht="12.75">
      <c r="A28" s="142" t="s">
        <v>115</v>
      </c>
      <c r="B28" s="134">
        <v>0.00843436475</v>
      </c>
      <c r="C28" s="120">
        <v>0.013493316900000002</v>
      </c>
      <c r="D28" s="120">
        <v>0.0116571691</v>
      </c>
      <c r="E28" s="120">
        <v>0.0050933542</v>
      </c>
      <c r="F28" s="157">
        <v>-0.022045999</v>
      </c>
      <c r="G28" s="162">
        <v>0.005545281153818339</v>
      </c>
    </row>
    <row r="29" spans="1:7" ht="13.5" thickBot="1">
      <c r="A29" s="143" t="s">
        <v>117</v>
      </c>
      <c r="B29" s="138">
        <v>-0.0014268588099999998</v>
      </c>
      <c r="C29" s="121">
        <v>0.0018487607900000002</v>
      </c>
      <c r="D29" s="121">
        <v>0.00056505643</v>
      </c>
      <c r="E29" s="121">
        <v>0.00453202041</v>
      </c>
      <c r="F29" s="159">
        <v>0.0033356757340000003</v>
      </c>
      <c r="G29" s="164">
        <v>0.0019116763499969014</v>
      </c>
    </row>
    <row r="30" spans="1:7" ht="13.5" thickTop="1">
      <c r="A30" s="144" t="s">
        <v>118</v>
      </c>
      <c r="B30" s="139">
        <v>0.41362239757574987</v>
      </c>
      <c r="C30" s="127">
        <v>0.06270496659334922</v>
      </c>
      <c r="D30" s="127">
        <v>-0.18568323619568433</v>
      </c>
      <c r="E30" s="127">
        <v>-0.39231016587142176</v>
      </c>
      <c r="F30" s="123">
        <v>-0.5068173561795141</v>
      </c>
      <c r="G30" s="165" t="s">
        <v>129</v>
      </c>
    </row>
    <row r="31" spans="1:7" ht="13.5" thickBot="1">
      <c r="A31" s="145" t="s">
        <v>119</v>
      </c>
      <c r="B31" s="133">
        <v>24.218751</v>
      </c>
      <c r="C31" s="124">
        <v>24.25232</v>
      </c>
      <c r="D31" s="124">
        <v>24.3042</v>
      </c>
      <c r="E31" s="124">
        <v>24.414063</v>
      </c>
      <c r="F31" s="125">
        <v>24.594117</v>
      </c>
      <c r="G31" s="167">
        <v>-209.89</v>
      </c>
    </row>
    <row r="32" spans="1:7" ht="15.75" thickBot="1" thickTop="1">
      <c r="A32" s="146" t="s">
        <v>120</v>
      </c>
      <c r="B32" s="140">
        <v>-0.2955000028014183</v>
      </c>
      <c r="C32" s="128">
        <v>0.40150000154972076</v>
      </c>
      <c r="D32" s="128">
        <v>-0.3675000071525574</v>
      </c>
      <c r="E32" s="128">
        <v>0.21150000020861626</v>
      </c>
      <c r="F32" s="126">
        <v>-0.2850000038743019</v>
      </c>
      <c r="G32" s="131" t="s">
        <v>128</v>
      </c>
    </row>
    <row r="33" spans="1:7" ht="15" thickTop="1">
      <c r="A33" t="s">
        <v>124</v>
      </c>
      <c r="G33" s="32" t="s">
        <v>125</v>
      </c>
    </row>
    <row r="34" ht="14.25">
      <c r="A34" t="s">
        <v>126</v>
      </c>
    </row>
    <row r="35" spans="1:2" ht="12.75">
      <c r="A35" t="s">
        <v>127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8" bestFit="1" customWidth="1"/>
    <col min="2" max="2" width="15.66015625" style="168" bestFit="1" customWidth="1"/>
    <col min="3" max="3" width="14.83203125" style="168" bestFit="1" customWidth="1"/>
    <col min="4" max="4" width="16" style="168" bestFit="1" customWidth="1"/>
    <col min="5" max="5" width="21.33203125" style="168" bestFit="1" customWidth="1"/>
    <col min="6" max="7" width="14.83203125" style="168" bestFit="1" customWidth="1"/>
    <col min="8" max="8" width="14.16015625" style="168" bestFit="1" customWidth="1"/>
    <col min="9" max="9" width="14.83203125" style="168" bestFit="1" customWidth="1"/>
    <col min="10" max="10" width="6.33203125" style="168" bestFit="1" customWidth="1"/>
    <col min="11" max="11" width="15" style="168" bestFit="1" customWidth="1"/>
    <col min="12" max="16384" width="10.66015625" style="168" customWidth="1"/>
  </cols>
  <sheetData>
    <row r="1" spans="1:5" ht="12.75">
      <c r="A1" s="168" t="s">
        <v>130</v>
      </c>
      <c r="B1" s="168" t="s">
        <v>131</v>
      </c>
      <c r="C1" s="168" t="s">
        <v>132</v>
      </c>
      <c r="D1" s="168" t="s">
        <v>133</v>
      </c>
      <c r="E1" s="168" t="s">
        <v>134</v>
      </c>
    </row>
    <row r="3" spans="1:7" ht="12.75">
      <c r="A3" s="168" t="s">
        <v>135</v>
      </c>
      <c r="B3" s="168" t="s">
        <v>85</v>
      </c>
      <c r="C3" s="168" t="s">
        <v>86</v>
      </c>
      <c r="D3" s="168" t="s">
        <v>87</v>
      </c>
      <c r="E3" s="168" t="s">
        <v>88</v>
      </c>
      <c r="F3" s="168" t="s">
        <v>89</v>
      </c>
      <c r="G3" s="168" t="s">
        <v>136</v>
      </c>
    </row>
    <row r="4" spans="1:7" ht="12.75">
      <c r="A4" s="168" t="s">
        <v>137</v>
      </c>
      <c r="B4" s="168">
        <v>0.002253</v>
      </c>
      <c r="C4" s="168">
        <v>0.003756</v>
      </c>
      <c r="D4" s="168">
        <v>0.003756</v>
      </c>
      <c r="E4" s="168">
        <v>0.003756</v>
      </c>
      <c r="F4" s="168">
        <v>0.002088</v>
      </c>
      <c r="G4" s="168">
        <v>0.011705</v>
      </c>
    </row>
    <row r="5" spans="1:7" ht="12.75">
      <c r="A5" s="168" t="s">
        <v>138</v>
      </c>
      <c r="B5" s="168">
        <v>9.457924</v>
      </c>
      <c r="C5" s="168">
        <v>3.639188</v>
      </c>
      <c r="D5" s="168">
        <v>-1.31156</v>
      </c>
      <c r="E5" s="168">
        <v>-4.182891</v>
      </c>
      <c r="F5" s="168">
        <v>-6.672393</v>
      </c>
      <c r="G5" s="168">
        <v>-2.325883</v>
      </c>
    </row>
    <row r="6" spans="1:7" ht="12.75">
      <c r="A6" s="168" t="s">
        <v>139</v>
      </c>
      <c r="B6" s="169">
        <v>-181.11</v>
      </c>
      <c r="C6" s="169">
        <v>-353.6522</v>
      </c>
      <c r="D6" s="169">
        <v>-435.1783</v>
      </c>
      <c r="E6" s="169">
        <v>-466.7698</v>
      </c>
      <c r="F6" s="169">
        <v>-159.823</v>
      </c>
      <c r="G6" s="169">
        <v>1188.077</v>
      </c>
    </row>
    <row r="7" spans="1:7" ht="12.75">
      <c r="A7" s="168" t="s">
        <v>140</v>
      </c>
      <c r="B7" s="169">
        <v>10000</v>
      </c>
      <c r="C7" s="169">
        <v>10000</v>
      </c>
      <c r="D7" s="169">
        <v>10000</v>
      </c>
      <c r="E7" s="169">
        <v>10000</v>
      </c>
      <c r="F7" s="169">
        <v>10000</v>
      </c>
      <c r="G7" s="169">
        <v>10000</v>
      </c>
    </row>
    <row r="8" spans="1:7" ht="12.75">
      <c r="A8" s="168" t="s">
        <v>92</v>
      </c>
      <c r="B8" s="169">
        <v>-6.299824</v>
      </c>
      <c r="C8" s="169">
        <v>-6.969615</v>
      </c>
      <c r="D8" s="169">
        <v>-5.552439</v>
      </c>
      <c r="E8" s="169">
        <v>-6.06012</v>
      </c>
      <c r="F8" s="169">
        <v>-6.677463</v>
      </c>
      <c r="G8" s="169">
        <v>2.611375</v>
      </c>
    </row>
    <row r="9" spans="1:7" ht="12.75">
      <c r="A9" s="168" t="s">
        <v>94</v>
      </c>
      <c r="B9" s="169">
        <v>-1.017045</v>
      </c>
      <c r="C9" s="169">
        <v>-0.6845642</v>
      </c>
      <c r="D9" s="169">
        <v>-1.061803</v>
      </c>
      <c r="E9" s="169">
        <v>-0.7238363</v>
      </c>
      <c r="F9" s="169">
        <v>-4.442424</v>
      </c>
      <c r="G9" s="169">
        <v>1.335954</v>
      </c>
    </row>
    <row r="10" spans="1:7" ht="12.75">
      <c r="A10" s="168" t="s">
        <v>141</v>
      </c>
      <c r="B10" s="169">
        <v>0.7849264</v>
      </c>
      <c r="C10" s="169">
        <v>1.226253</v>
      </c>
      <c r="D10" s="169">
        <v>0.5877857</v>
      </c>
      <c r="E10" s="169">
        <v>0.6606015</v>
      </c>
      <c r="F10" s="169">
        <v>0.8485349</v>
      </c>
      <c r="G10" s="169">
        <v>3.853155</v>
      </c>
    </row>
    <row r="11" spans="1:7" ht="12.75">
      <c r="A11" s="168" t="s">
        <v>98</v>
      </c>
      <c r="B11" s="169">
        <v>4.387134</v>
      </c>
      <c r="C11" s="169">
        <v>4.695267</v>
      </c>
      <c r="D11" s="169">
        <v>4.518913</v>
      </c>
      <c r="E11" s="169">
        <v>4.412623</v>
      </c>
      <c r="F11" s="169">
        <v>16.00389</v>
      </c>
      <c r="G11" s="169">
        <v>6.053475</v>
      </c>
    </row>
    <row r="12" spans="1:7" ht="12.75">
      <c r="A12" s="168" t="s">
        <v>100</v>
      </c>
      <c r="B12" s="169">
        <v>-0.3204382</v>
      </c>
      <c r="C12" s="169">
        <v>-0.1336696</v>
      </c>
      <c r="D12" s="169">
        <v>-0.05599353</v>
      </c>
      <c r="E12" s="169">
        <v>-0.1675173</v>
      </c>
      <c r="F12" s="169">
        <v>-0.3531189</v>
      </c>
      <c r="G12" s="169">
        <v>0.04293274</v>
      </c>
    </row>
    <row r="13" spans="1:7" ht="12.75">
      <c r="A13" s="168" t="s">
        <v>102</v>
      </c>
      <c r="B13" s="169">
        <v>0.3573385</v>
      </c>
      <c r="C13" s="169">
        <v>0.06149994</v>
      </c>
      <c r="D13" s="169">
        <v>-0.1199351</v>
      </c>
      <c r="E13" s="169">
        <v>0.02907328</v>
      </c>
      <c r="F13" s="169">
        <v>0.08555551</v>
      </c>
      <c r="G13" s="169">
        <v>-0.05587373</v>
      </c>
    </row>
    <row r="14" spans="1:7" ht="12.75">
      <c r="A14" s="168" t="s">
        <v>104</v>
      </c>
      <c r="B14" s="169">
        <v>0.2021977</v>
      </c>
      <c r="C14" s="169">
        <v>0.159482</v>
      </c>
      <c r="D14" s="169">
        <v>0.1485892</v>
      </c>
      <c r="E14" s="169">
        <v>0.07591065</v>
      </c>
      <c r="F14" s="169">
        <v>0.2434909</v>
      </c>
      <c r="G14" s="169">
        <v>-0.06412005</v>
      </c>
    </row>
    <row r="15" spans="1:7" ht="12.75">
      <c r="A15" s="168" t="s">
        <v>106</v>
      </c>
      <c r="B15" s="169">
        <v>-0.2656495</v>
      </c>
      <c r="C15" s="169">
        <v>-0.08090768</v>
      </c>
      <c r="D15" s="169">
        <v>0.00385279</v>
      </c>
      <c r="E15" s="169">
        <v>-0.05042787</v>
      </c>
      <c r="F15" s="169">
        <v>-0.2046132</v>
      </c>
      <c r="G15" s="169">
        <v>-0.09636608</v>
      </c>
    </row>
    <row r="16" spans="1:7" ht="12.75">
      <c r="A16" s="168" t="s">
        <v>108</v>
      </c>
      <c r="B16" s="169">
        <v>-0.03920957</v>
      </c>
      <c r="C16" s="169">
        <v>-0.01332224</v>
      </c>
      <c r="D16" s="169">
        <v>-0.05974065</v>
      </c>
      <c r="E16" s="169">
        <v>-0.02354038</v>
      </c>
      <c r="F16" s="169">
        <v>-0.04384156</v>
      </c>
      <c r="G16" s="169">
        <v>-0.06282686</v>
      </c>
    </row>
    <row r="17" spans="1:7" ht="12.75">
      <c r="A17" s="168" t="s">
        <v>142</v>
      </c>
      <c r="B17" s="169">
        <v>0.2437359</v>
      </c>
      <c r="C17" s="169">
        <v>0.1612637</v>
      </c>
      <c r="D17" s="169">
        <v>0.116619</v>
      </c>
      <c r="E17" s="169">
        <v>0.09952389</v>
      </c>
      <c r="F17" s="169">
        <v>0.131415</v>
      </c>
      <c r="G17" s="169">
        <v>-0.1435519</v>
      </c>
    </row>
    <row r="18" spans="1:7" ht="12.75">
      <c r="A18" s="168" t="s">
        <v>143</v>
      </c>
      <c r="B18" s="169">
        <v>-0.003559219</v>
      </c>
      <c r="C18" s="169">
        <v>0.03796863</v>
      </c>
      <c r="D18" s="169">
        <v>0.06991773</v>
      </c>
      <c r="E18" s="169">
        <v>0.064477</v>
      </c>
      <c r="F18" s="169">
        <v>-0.01199634</v>
      </c>
      <c r="G18" s="169">
        <v>-0.166068</v>
      </c>
    </row>
    <row r="19" spans="1:7" ht="12.75">
      <c r="A19" s="168" t="s">
        <v>114</v>
      </c>
      <c r="B19" s="169">
        <v>-0.1828131</v>
      </c>
      <c r="C19" s="169">
        <v>-0.1726867</v>
      </c>
      <c r="D19" s="169">
        <v>-0.1687465</v>
      </c>
      <c r="E19" s="169">
        <v>-0.161296</v>
      </c>
      <c r="F19" s="169">
        <v>-0.1291689</v>
      </c>
      <c r="G19" s="169">
        <v>-0.1646349</v>
      </c>
    </row>
    <row r="20" spans="1:7" ht="12.75">
      <c r="A20" s="168" t="s">
        <v>116</v>
      </c>
      <c r="B20" s="169">
        <v>-0.003112943</v>
      </c>
      <c r="C20" s="169">
        <v>-0.009209594</v>
      </c>
      <c r="D20" s="169">
        <v>-0.01014056</v>
      </c>
      <c r="E20" s="169">
        <v>-0.008782138</v>
      </c>
      <c r="F20" s="169">
        <v>-0.004999466</v>
      </c>
      <c r="G20" s="169">
        <v>0.001962271</v>
      </c>
    </row>
    <row r="21" spans="1:7" ht="12.75">
      <c r="A21" s="168" t="s">
        <v>144</v>
      </c>
      <c r="B21" s="169">
        <v>-1347.919</v>
      </c>
      <c r="C21" s="169">
        <v>-1240.432</v>
      </c>
      <c r="D21" s="169">
        <v>-1115.476</v>
      </c>
      <c r="E21" s="169">
        <v>-1070.426</v>
      </c>
      <c r="F21" s="169">
        <v>-1263.734</v>
      </c>
      <c r="G21" s="169">
        <v>-349.6851</v>
      </c>
    </row>
    <row r="22" spans="1:7" ht="12.75">
      <c r="A22" s="168" t="s">
        <v>145</v>
      </c>
      <c r="B22" s="169">
        <v>189.181</v>
      </c>
      <c r="C22" s="169">
        <v>72.78505</v>
      </c>
      <c r="D22" s="169">
        <v>-26.23127</v>
      </c>
      <c r="E22" s="169">
        <v>-83.65977</v>
      </c>
      <c r="F22" s="169">
        <v>-133.4558</v>
      </c>
      <c r="G22" s="169">
        <v>0</v>
      </c>
    </row>
    <row r="23" spans="1:7" ht="12.75">
      <c r="A23" s="168" t="s">
        <v>146</v>
      </c>
      <c r="B23" s="169">
        <v>2.34154</v>
      </c>
      <c r="C23" s="169">
        <v>2.556412</v>
      </c>
      <c r="D23" s="169">
        <v>0.2643569</v>
      </c>
      <c r="E23" s="169">
        <v>1.281008</v>
      </c>
      <c r="F23" s="169">
        <v>9.611308</v>
      </c>
      <c r="G23" s="169">
        <v>6.2738</v>
      </c>
    </row>
    <row r="24" spans="1:7" ht="12.75">
      <c r="A24" s="168" t="s">
        <v>147</v>
      </c>
      <c r="B24" s="169">
        <v>-3.58625</v>
      </c>
      <c r="C24" s="169">
        <v>-4.100061</v>
      </c>
      <c r="D24" s="169">
        <v>-3.822766</v>
      </c>
      <c r="E24" s="169">
        <v>-4.992425</v>
      </c>
      <c r="F24" s="169">
        <v>-1.5339</v>
      </c>
      <c r="G24" s="169">
        <v>3.830429</v>
      </c>
    </row>
    <row r="25" spans="1:7" ht="12.75">
      <c r="A25" s="168" t="s">
        <v>97</v>
      </c>
      <c r="B25" s="169">
        <v>-2.297532</v>
      </c>
      <c r="C25" s="169">
        <v>-2.373015</v>
      </c>
      <c r="D25" s="169">
        <v>-3.138659</v>
      </c>
      <c r="E25" s="169">
        <v>-2.752254</v>
      </c>
      <c r="F25" s="169">
        <v>-11.45729</v>
      </c>
      <c r="G25" s="169">
        <v>0.8217823</v>
      </c>
    </row>
    <row r="26" spans="1:7" ht="12.75">
      <c r="A26" s="168" t="s">
        <v>99</v>
      </c>
      <c r="B26" s="169">
        <v>0.9754277</v>
      </c>
      <c r="C26" s="169">
        <v>0.3684849</v>
      </c>
      <c r="D26" s="169">
        <v>0.01523359</v>
      </c>
      <c r="E26" s="169">
        <v>0.1212842</v>
      </c>
      <c r="F26" s="169">
        <v>1.822753</v>
      </c>
      <c r="G26" s="169">
        <v>0.5052257</v>
      </c>
    </row>
    <row r="27" spans="1:7" ht="12.75">
      <c r="A27" s="168" t="s">
        <v>101</v>
      </c>
      <c r="B27" s="169">
        <v>0.1835648</v>
      </c>
      <c r="C27" s="169">
        <v>-0.1326999</v>
      </c>
      <c r="D27" s="169">
        <v>0.007552771</v>
      </c>
      <c r="E27" s="169">
        <v>-0.151782</v>
      </c>
      <c r="F27" s="169">
        <v>0.6206905</v>
      </c>
      <c r="G27" s="169">
        <v>0.1794305</v>
      </c>
    </row>
    <row r="28" spans="1:7" ht="12.75">
      <c r="A28" s="168" t="s">
        <v>148</v>
      </c>
      <c r="B28" s="169">
        <v>-0.4083351</v>
      </c>
      <c r="C28" s="169">
        <v>-0.3372493</v>
      </c>
      <c r="D28" s="169">
        <v>-0.4669559</v>
      </c>
      <c r="E28" s="169">
        <v>-0.3425371</v>
      </c>
      <c r="F28" s="169">
        <v>-0.310663</v>
      </c>
      <c r="G28" s="169">
        <v>0.3764463</v>
      </c>
    </row>
    <row r="29" spans="1:7" ht="12.75">
      <c r="A29" s="168" t="s">
        <v>105</v>
      </c>
      <c r="B29" s="169">
        <v>0.3899341</v>
      </c>
      <c r="C29" s="169">
        <v>0.01273648</v>
      </c>
      <c r="D29" s="169">
        <v>-0.06594375</v>
      </c>
      <c r="E29" s="169">
        <v>-0.04636198</v>
      </c>
      <c r="F29" s="169">
        <v>0.2379812</v>
      </c>
      <c r="G29" s="169">
        <v>0.1541712</v>
      </c>
    </row>
    <row r="30" spans="1:7" ht="12.75">
      <c r="A30" s="168" t="s">
        <v>107</v>
      </c>
      <c r="B30" s="169">
        <v>0.09778964</v>
      </c>
      <c r="C30" s="169">
        <v>0.08138698</v>
      </c>
      <c r="D30" s="169">
        <v>0.06435125</v>
      </c>
      <c r="E30" s="169">
        <v>0.04312861</v>
      </c>
      <c r="F30" s="169">
        <v>0.253117</v>
      </c>
      <c r="G30" s="169">
        <v>0.09345066</v>
      </c>
    </row>
    <row r="31" spans="1:7" ht="12.75">
      <c r="A31" s="168" t="s">
        <v>109</v>
      </c>
      <c r="B31" s="169">
        <v>-0.08845833</v>
      </c>
      <c r="C31" s="169">
        <v>-0.1108274</v>
      </c>
      <c r="D31" s="169">
        <v>-0.03775522</v>
      </c>
      <c r="E31" s="169">
        <v>-0.06223467</v>
      </c>
      <c r="F31" s="169">
        <v>0.004919693</v>
      </c>
      <c r="G31" s="169">
        <v>0.03478786</v>
      </c>
    </row>
    <row r="32" spans="1:7" ht="12.75">
      <c r="A32" s="168" t="s">
        <v>111</v>
      </c>
      <c r="B32" s="169">
        <v>-0.04069024</v>
      </c>
      <c r="C32" s="169">
        <v>-0.06882235</v>
      </c>
      <c r="D32" s="169">
        <v>-0.1017847</v>
      </c>
      <c r="E32" s="169">
        <v>-0.0804316</v>
      </c>
      <c r="F32" s="169">
        <v>-0.01812194</v>
      </c>
      <c r="G32" s="169">
        <v>0.06874872</v>
      </c>
    </row>
    <row r="33" spans="1:7" ht="12.75">
      <c r="A33" s="168" t="s">
        <v>113</v>
      </c>
      <c r="B33" s="169">
        <v>0.2349932</v>
      </c>
      <c r="C33" s="169">
        <v>0.1774469</v>
      </c>
      <c r="D33" s="169">
        <v>0.155511</v>
      </c>
      <c r="E33" s="169">
        <v>0.1348606</v>
      </c>
      <c r="F33" s="169">
        <v>0.1464679</v>
      </c>
      <c r="G33" s="169">
        <v>0.03941275</v>
      </c>
    </row>
    <row r="34" spans="1:7" ht="12.75">
      <c r="A34" s="168" t="s">
        <v>115</v>
      </c>
      <c r="B34" s="169">
        <v>-0.01590557</v>
      </c>
      <c r="C34" s="169">
        <v>0.004663149</v>
      </c>
      <c r="D34" s="169">
        <v>0.01481292</v>
      </c>
      <c r="E34" s="169">
        <v>0.01470762</v>
      </c>
      <c r="F34" s="169">
        <v>-0.01004673</v>
      </c>
      <c r="G34" s="169">
        <v>0.004645608</v>
      </c>
    </row>
    <row r="35" spans="1:7" ht="12.75">
      <c r="A35" s="168" t="s">
        <v>117</v>
      </c>
      <c r="B35" s="169">
        <v>-0.001928154</v>
      </c>
      <c r="C35" s="169">
        <v>0.001349029</v>
      </c>
      <c r="D35" s="169">
        <v>0.000762139</v>
      </c>
      <c r="E35" s="169">
        <v>0.005085838</v>
      </c>
      <c r="F35" s="169">
        <v>0.003779497</v>
      </c>
      <c r="G35" s="169">
        <v>0.007886847</v>
      </c>
    </row>
    <row r="36" spans="1:6" ht="12.75">
      <c r="A36" s="168" t="s">
        <v>149</v>
      </c>
      <c r="B36" s="169">
        <v>24.59412</v>
      </c>
      <c r="C36" s="169">
        <v>24.60022</v>
      </c>
      <c r="D36" s="169">
        <v>24.62158</v>
      </c>
      <c r="E36" s="169">
        <v>24.63379</v>
      </c>
      <c r="F36" s="169">
        <v>24.65515</v>
      </c>
    </row>
    <row r="37" spans="1:6" ht="12.75">
      <c r="A37" s="168" t="s">
        <v>150</v>
      </c>
      <c r="B37" s="169">
        <v>-0.27771</v>
      </c>
      <c r="C37" s="169">
        <v>-0.2644857</v>
      </c>
      <c r="D37" s="169">
        <v>-0.2583822</v>
      </c>
      <c r="E37" s="169">
        <v>-0.2527873</v>
      </c>
      <c r="F37" s="169">
        <v>-0.2471924</v>
      </c>
    </row>
    <row r="38" spans="1:7" ht="12.75">
      <c r="A38" s="168" t="s">
        <v>151</v>
      </c>
      <c r="B38" s="169">
        <v>0.0003511115</v>
      </c>
      <c r="C38" s="169">
        <v>0.0006165245</v>
      </c>
      <c r="D38" s="169">
        <v>0.0007348239</v>
      </c>
      <c r="E38" s="169">
        <v>0.0007782304</v>
      </c>
      <c r="F38" s="169">
        <v>0.0002429849</v>
      </c>
      <c r="G38" s="169">
        <v>0.0002948694</v>
      </c>
    </row>
    <row r="39" spans="1:7" ht="12.75">
      <c r="A39" s="168" t="s">
        <v>152</v>
      </c>
      <c r="B39" s="169">
        <v>0.002284821</v>
      </c>
      <c r="C39" s="169">
        <v>0.002104247</v>
      </c>
      <c r="D39" s="169">
        <v>0.001898236</v>
      </c>
      <c r="E39" s="169">
        <v>0.001826235</v>
      </c>
      <c r="F39" s="169">
        <v>0.00215159</v>
      </c>
      <c r="G39" s="169">
        <v>0.001010558</v>
      </c>
    </row>
    <row r="40" spans="2:5" ht="12.75">
      <c r="B40" s="168" t="s">
        <v>153</v>
      </c>
      <c r="C40" s="168">
        <v>0.003756</v>
      </c>
      <c r="D40" s="168" t="s">
        <v>154</v>
      </c>
      <c r="E40" s="168">
        <v>3.116468</v>
      </c>
    </row>
    <row r="42" ht="12.75">
      <c r="A42" s="168" t="s">
        <v>155</v>
      </c>
    </row>
    <row r="50" spans="1:7" ht="12.75">
      <c r="A50" s="168" t="s">
        <v>156</v>
      </c>
      <c r="B50" s="168">
        <f>-0.017/(B7*B7+B22*B22)*(B21*B22+B6*B7)</f>
        <v>0.0003511114520773726</v>
      </c>
      <c r="C50" s="168">
        <f>-0.017/(C7*C7+C22*C22)*(C21*C22+C6*C7)</f>
        <v>0.0006165245124799843</v>
      </c>
      <c r="D50" s="168">
        <f>-0.017/(D7*D7+D22*D22)*(D21*D22+D6*D7)</f>
        <v>0.0007348237939650545</v>
      </c>
      <c r="E50" s="168">
        <f>-0.017/(E7*E7+E22*E22)*(E21*E22+E6*E7)</f>
        <v>0.0007782304211830109</v>
      </c>
      <c r="F50" s="168">
        <f>-0.017/(F7*F7+F22*F22)*(F21*F22+F6*F7)</f>
        <v>0.00024298487586610706</v>
      </c>
      <c r="G50" s="168">
        <f>(B50*B$4+C50*C$4+D50*D$4+E50*E$4+F50*F$4)/SUM(B$4:F$4)</f>
        <v>0.0005956245898718499</v>
      </c>
    </row>
    <row r="51" spans="1:7" ht="12.75">
      <c r="A51" s="168" t="s">
        <v>157</v>
      </c>
      <c r="B51" s="168">
        <f>-0.017/(B7*B7+B22*B22)*(B21*B7-B6*B22)</f>
        <v>0.0022848199384384554</v>
      </c>
      <c r="C51" s="168">
        <f>-0.017/(C7*C7+C22*C22)*(C21*C7-C6*C22)</f>
        <v>0.0021042470232532917</v>
      </c>
      <c r="D51" s="168">
        <f>-0.017/(D7*D7+D22*D22)*(D21*D7-D6*D22)</f>
        <v>0.0018982367361341926</v>
      </c>
      <c r="E51" s="168">
        <f>-0.017/(E7*E7+E22*E22)*(E21*E7-E6*E22)</f>
        <v>0.0018262348578043177</v>
      </c>
      <c r="F51" s="168">
        <f>-0.017/(F7*F7+F22*F22)*(F21*F7-F6*F22)</f>
        <v>0.002151590574099661</v>
      </c>
      <c r="G51" s="168">
        <f>(B51*B$4+C51*C$4+D51*D$4+E51*E$4+F51*F$4)/SUM(B$4:F$4)</f>
        <v>0.002020173461861384</v>
      </c>
    </row>
    <row r="58" ht="12.75">
      <c r="A58" s="168" t="s">
        <v>159</v>
      </c>
    </row>
    <row r="60" spans="2:6" ht="12.75">
      <c r="B60" s="168" t="s">
        <v>85</v>
      </c>
      <c r="C60" s="168" t="s">
        <v>86</v>
      </c>
      <c r="D60" s="168" t="s">
        <v>87</v>
      </c>
      <c r="E60" s="168" t="s">
        <v>88</v>
      </c>
      <c r="F60" s="168" t="s">
        <v>89</v>
      </c>
    </row>
    <row r="61" spans="1:6" ht="12.75">
      <c r="A61" s="168" t="s">
        <v>161</v>
      </c>
      <c r="B61" s="168">
        <f>B6+(1/0.017)*(B7*B50-B22*B51)</f>
        <v>0</v>
      </c>
      <c r="C61" s="168">
        <f>C6+(1/0.017)*(C7*C50-C22*C51)</f>
        <v>0</v>
      </c>
      <c r="D61" s="168">
        <f>D6+(1/0.017)*(D7*D50-D22*D51)</f>
        <v>0</v>
      </c>
      <c r="E61" s="168">
        <f>E6+(1/0.017)*(E7*E50-E22*E51)</f>
        <v>0</v>
      </c>
      <c r="F61" s="168">
        <f>F6+(1/0.017)*(F7*F50-F22*F51)</f>
        <v>0</v>
      </c>
    </row>
    <row r="62" spans="1:6" ht="12.75">
      <c r="A62" s="168" t="s">
        <v>164</v>
      </c>
      <c r="B62" s="168">
        <f>B7+(2/0.017)*(B8*B50-B23*B51)</f>
        <v>9999.110360278692</v>
      </c>
      <c r="C62" s="168">
        <f>C7+(2/0.017)*(C8*C50-C23*C51)</f>
        <v>9998.861616372793</v>
      </c>
      <c r="D62" s="168">
        <f>D7+(2/0.017)*(D8*D50-D23*D51)</f>
        <v>9999.460955732851</v>
      </c>
      <c r="E62" s="168">
        <f>E7+(2/0.017)*(E8*E50-E23*E51)</f>
        <v>9999.169930446737</v>
      </c>
      <c r="F62" s="168">
        <f>F7+(2/0.017)*(F8*F50-F23*F51)</f>
        <v>9997.376220915798</v>
      </c>
    </row>
    <row r="63" spans="1:6" ht="12.75">
      <c r="A63" s="168" t="s">
        <v>165</v>
      </c>
      <c r="B63" s="168">
        <f>B8+(3/0.017)*(B9*B50-B24*B51)</f>
        <v>-4.916852348685845</v>
      </c>
      <c r="C63" s="168">
        <f>C8+(3/0.017)*(C9*C50-C24*C51)</f>
        <v>-5.521587256810471</v>
      </c>
      <c r="D63" s="168">
        <f>D8+(3/0.017)*(D9*D50-D24*D51)</f>
        <v>-4.4095666330691845</v>
      </c>
      <c r="E63" s="168">
        <f>E8+(3/0.017)*(E9*E50-E24*E51)</f>
        <v>-4.550585447407559</v>
      </c>
      <c r="F63" s="168">
        <f>F8+(3/0.017)*(F9*F50-F24*F51)</f>
        <v>-6.285542481630555</v>
      </c>
    </row>
    <row r="64" spans="1:6" ht="12.75">
      <c r="A64" s="168" t="s">
        <v>166</v>
      </c>
      <c r="B64" s="168">
        <f>B9+(4/0.017)*(B10*B50-B25*B51)</f>
        <v>0.2829652519713517</v>
      </c>
      <c r="C64" s="168">
        <f>C9+(4/0.017)*(C10*C50-C25*C51)</f>
        <v>0.6682416312676537</v>
      </c>
      <c r="D64" s="168">
        <f>D9+(4/0.017)*(D10*D50-D25*D51)</f>
        <v>0.44168799626132094</v>
      </c>
      <c r="E64" s="168">
        <f>E9+(4/0.017)*(E10*E50-E25*E51)</f>
        <v>0.579778376684822</v>
      </c>
      <c r="F64" s="168">
        <f>F9+(4/0.017)*(F10*F50-F25*F51)</f>
        <v>1.4064179567225574</v>
      </c>
    </row>
    <row r="65" spans="1:6" ht="12.75">
      <c r="A65" s="168" t="s">
        <v>167</v>
      </c>
      <c r="B65" s="168">
        <f>B10+(5/0.017)*(B11*B50-B26*B51)</f>
        <v>0.5824841446273081</v>
      </c>
      <c r="C65" s="168">
        <f>C10+(5/0.017)*(C11*C50-C26*C51)</f>
        <v>1.8495953365292859</v>
      </c>
      <c r="D65" s="168">
        <f>D10+(5/0.017)*(D11*D50-D26*D51)</f>
        <v>1.5559291809108236</v>
      </c>
      <c r="E65" s="168">
        <f>E10+(5/0.017)*(E11*E50-E26*E51)</f>
        <v>1.6054673888443913</v>
      </c>
      <c r="F65" s="168">
        <f>F10+(5/0.017)*(F11*F50-F26*F51)</f>
        <v>0.8387952092096919</v>
      </c>
    </row>
    <row r="66" spans="1:6" ht="12.75">
      <c r="A66" s="168" t="s">
        <v>168</v>
      </c>
      <c r="B66" s="168">
        <f>B11+(6/0.017)*(B12*B50-B27*B51)</f>
        <v>4.199396810562872</v>
      </c>
      <c r="C66" s="168">
        <f>C11+(6/0.017)*(C12*C50-C27*C51)</f>
        <v>4.76473386514857</v>
      </c>
      <c r="D66" s="168">
        <f>D11+(6/0.017)*(D12*D50-D27*D51)</f>
        <v>4.49933100275627</v>
      </c>
      <c r="E66" s="168">
        <f>E11+(6/0.017)*(E12*E50-E27*E51)</f>
        <v>4.4644427130304045</v>
      </c>
      <c r="F66" s="168">
        <f>F11+(6/0.017)*(F12*F50-F27*F51)</f>
        <v>15.502263747770934</v>
      </c>
    </row>
    <row r="67" spans="1:6" ht="12.75">
      <c r="A67" s="168" t="s">
        <v>169</v>
      </c>
      <c r="B67" s="168">
        <f>B12+(7/0.017)*(B13*B50-B28*B51)</f>
        <v>0.11538913668452211</v>
      </c>
      <c r="C67" s="168">
        <f>C12+(7/0.017)*(C13*C50-C28*C51)</f>
        <v>0.17415418782453718</v>
      </c>
      <c r="D67" s="168">
        <f>D12+(7/0.017)*(D13*D50-D28*D51)</f>
        <v>0.2727024551918343</v>
      </c>
      <c r="E67" s="168">
        <f>E12+(7/0.017)*(E13*E50-E28*E51)</f>
        <v>0.09937989537384848</v>
      </c>
      <c r="F67" s="168">
        <f>F12+(7/0.017)*(F13*F50-F28*F51)</f>
        <v>-0.06932725632413284</v>
      </c>
    </row>
    <row r="68" spans="1:6" ht="12.75">
      <c r="A68" s="168" t="s">
        <v>170</v>
      </c>
      <c r="B68" s="168">
        <f>B13+(8/0.017)*(B14*B50-B29*B51)</f>
        <v>-0.028513395672164488</v>
      </c>
      <c r="C68" s="168">
        <f>C13+(8/0.017)*(C14*C50-C29*C51)</f>
        <v>0.09515822808122719</v>
      </c>
      <c r="D68" s="168">
        <f>D13+(8/0.017)*(D14*D50-D29*D51)</f>
        <v>-0.009646286609561669</v>
      </c>
      <c r="E68" s="168">
        <f>E13+(8/0.017)*(E14*E50-E29*E51)</f>
        <v>0.09671744050569542</v>
      </c>
      <c r="F68" s="168">
        <f>F13+(8/0.017)*(F14*F50-F29*F51)</f>
        <v>-0.12756143146912918</v>
      </c>
    </row>
    <row r="69" spans="1:6" ht="12.75">
      <c r="A69" s="168" t="s">
        <v>171</v>
      </c>
      <c r="B69" s="168">
        <f>B14+(9/0.017)*(B15*B50-B30*B51)</f>
        <v>0.0345307171529341</v>
      </c>
      <c r="C69" s="168">
        <f>C14+(9/0.017)*(C15*C50-C30*C51)</f>
        <v>0.04240794674822615</v>
      </c>
      <c r="D69" s="168">
        <f>D14+(9/0.017)*(D15*D50-D30*D51)</f>
        <v>0.08541831382299744</v>
      </c>
      <c r="E69" s="168">
        <f>E14+(9/0.017)*(E15*E50-E30*E51)</f>
        <v>0.013436105227000589</v>
      </c>
      <c r="F69" s="168">
        <f>F14+(9/0.017)*(F15*F50-F30*F51)</f>
        <v>-0.07115019288956215</v>
      </c>
    </row>
    <row r="70" spans="1:6" ht="12.75">
      <c r="A70" s="168" t="s">
        <v>172</v>
      </c>
      <c r="B70" s="168">
        <f>B15+(10/0.017)*(B16*B50-B31*B51)</f>
        <v>-0.15485866056062397</v>
      </c>
      <c r="C70" s="168">
        <f>C15+(10/0.017)*(C16*C50-C31*C51)</f>
        <v>0.051442166484565024</v>
      </c>
      <c r="D70" s="168">
        <f>D15+(10/0.017)*(D16*D50-D31*D51)</f>
        <v>0.02018778676346468</v>
      </c>
      <c r="E70" s="168">
        <f>E15+(10/0.017)*(E16*E50-E31*E51)</f>
        <v>0.005651708750435594</v>
      </c>
      <c r="F70" s="168">
        <f>F15+(10/0.017)*(F16*F50-F31*F51)</f>
        <v>-0.21710614182390622</v>
      </c>
    </row>
    <row r="71" spans="1:6" ht="12.75">
      <c r="A71" s="168" t="s">
        <v>173</v>
      </c>
      <c r="B71" s="168">
        <f>B16+(11/0.017)*(B17*B50-B32*B51)</f>
        <v>0.0763217071568555</v>
      </c>
      <c r="C71" s="168">
        <f>C16+(11/0.017)*(C17*C50-C32*C51)</f>
        <v>0.14471686238730358</v>
      </c>
      <c r="D71" s="168">
        <f>D16+(11/0.017)*(D17*D50-D32*D51)</f>
        <v>0.12072785589369972</v>
      </c>
      <c r="E71" s="168">
        <f>E16+(11/0.017)*(E17*E50-E32*E51)</f>
        <v>0.12162047968446466</v>
      </c>
      <c r="F71" s="168">
        <f>F16+(11/0.017)*(F17*F50-F32*F51)</f>
        <v>0.002049697661987336</v>
      </c>
    </row>
    <row r="72" spans="1:6" ht="12.75">
      <c r="A72" s="168" t="s">
        <v>174</v>
      </c>
      <c r="B72" s="168">
        <f>B17+(12/0.017)*(B18*B50-B33*B51)</f>
        <v>-0.13614656915915796</v>
      </c>
      <c r="C72" s="168">
        <f>C17+(12/0.017)*(C18*C50-C33*C51)</f>
        <v>-0.08578349059546464</v>
      </c>
      <c r="D72" s="168">
        <f>D17+(12/0.017)*(D18*D50-D33*D51)</f>
        <v>-0.05548886925807536</v>
      </c>
      <c r="E72" s="168">
        <f>E17+(12/0.017)*(E18*E50-E33*E51)</f>
        <v>-0.038906109386673854</v>
      </c>
      <c r="F72" s="168">
        <f>F17+(12/0.017)*(F18*F50-F33*F51)</f>
        <v>-0.09309362275335484</v>
      </c>
    </row>
    <row r="73" spans="1:6" ht="12.75">
      <c r="A73" s="168" t="s">
        <v>175</v>
      </c>
      <c r="B73" s="168">
        <f>B18+(13/0.017)*(B19*B50-B34*B51)</f>
        <v>-0.024853532171175637</v>
      </c>
      <c r="C73" s="168">
        <f>C18+(13/0.017)*(C19*C50-C34*C51)</f>
        <v>-0.05094984130056941</v>
      </c>
      <c r="D73" s="168">
        <f>D18+(13/0.017)*(D19*D50-D34*D51)</f>
        <v>-0.04640731937662544</v>
      </c>
      <c r="E73" s="168">
        <f>E18+(13/0.017)*(E19*E50-E34*E51)</f>
        <v>-0.052052722961657236</v>
      </c>
      <c r="F73" s="168">
        <f>F18+(13/0.017)*(F19*F50-F34*F51)</f>
        <v>-0.01946724084285794</v>
      </c>
    </row>
    <row r="74" spans="1:6" ht="12.75">
      <c r="A74" s="168" t="s">
        <v>176</v>
      </c>
      <c r="B74" s="168">
        <f>B19+(14/0.017)*(B20*B50-B35*B51)</f>
        <v>-0.18008516313337525</v>
      </c>
      <c r="C74" s="168">
        <f>C19+(14/0.017)*(C20*C50-C35*C51)</f>
        <v>-0.1797003958776055</v>
      </c>
      <c r="D74" s="168">
        <f>D19+(14/0.017)*(D20*D50-D35*D51)</f>
        <v>-0.17607446648703481</v>
      </c>
      <c r="E74" s="168">
        <f>E19+(14/0.017)*(E20*E50-E35*E51)</f>
        <v>-0.17457332131054257</v>
      </c>
      <c r="F74" s="168">
        <f>F19+(14/0.017)*(F20*F50-F35*F51)</f>
        <v>-0.13686620273154276</v>
      </c>
    </row>
    <row r="75" spans="1:6" ht="12.75">
      <c r="A75" s="168" t="s">
        <v>177</v>
      </c>
      <c r="B75" s="169">
        <f>B20</f>
        <v>-0.003112943</v>
      </c>
      <c r="C75" s="169">
        <f>C20</f>
        <v>-0.009209594</v>
      </c>
      <c r="D75" s="169">
        <f>D20</f>
        <v>-0.01014056</v>
      </c>
      <c r="E75" s="169">
        <f>E20</f>
        <v>-0.008782138</v>
      </c>
      <c r="F75" s="169">
        <f>F20</f>
        <v>-0.004999466</v>
      </c>
    </row>
    <row r="78" ht="12.75">
      <c r="A78" s="168" t="s">
        <v>159</v>
      </c>
    </row>
    <row r="80" spans="2:6" ht="12.75">
      <c r="B80" s="168" t="s">
        <v>85</v>
      </c>
      <c r="C80" s="168" t="s">
        <v>86</v>
      </c>
      <c r="D80" s="168" t="s">
        <v>87</v>
      </c>
      <c r="E80" s="168" t="s">
        <v>88</v>
      </c>
      <c r="F80" s="168" t="s">
        <v>89</v>
      </c>
    </row>
    <row r="81" spans="1:6" ht="12.75">
      <c r="A81" s="168" t="s">
        <v>178</v>
      </c>
      <c r="B81" s="168">
        <f>B21+(1/0.017)*(B7*B51+B22*B50)</f>
        <v>0</v>
      </c>
      <c r="C81" s="168">
        <f>C21+(1/0.017)*(C7*C51+C22*C50)</f>
        <v>0</v>
      </c>
      <c r="D81" s="168">
        <f>D21+(1/0.017)*(D7*D51+D22*D50)</f>
        <v>0</v>
      </c>
      <c r="E81" s="168">
        <f>E21+(1/0.017)*(E7*E51+E22*E50)</f>
        <v>0</v>
      </c>
      <c r="F81" s="168">
        <f>F21+(1/0.017)*(F7*F51+F22*F50)</f>
        <v>0</v>
      </c>
    </row>
    <row r="82" spans="1:6" ht="12.75">
      <c r="A82" s="168" t="s">
        <v>179</v>
      </c>
      <c r="B82" s="168">
        <f>B22+(2/0.017)*(B8*B51+B23*B50)</f>
        <v>187.5843150618405</v>
      </c>
      <c r="C82" s="168">
        <f>C22+(2/0.017)*(C8*C51+C23*C50)</f>
        <v>71.24508518176782</v>
      </c>
      <c r="D82" s="168">
        <f>D22+(2/0.017)*(D8*D51+D23*D50)</f>
        <v>-27.4483979934971</v>
      </c>
      <c r="E82" s="168">
        <f>E22+(2/0.017)*(E8*E51+E23*E50)</f>
        <v>-84.84450917542333</v>
      </c>
      <c r="F82" s="168">
        <f>F22+(2/0.017)*(F8*F51+F23*F50)</f>
        <v>-134.87130164334218</v>
      </c>
    </row>
    <row r="83" spans="1:6" ht="12.75">
      <c r="A83" s="168" t="s">
        <v>180</v>
      </c>
      <c r="B83" s="168">
        <f>B23+(3/0.017)*(B9*B51+B24*B50)</f>
        <v>1.709256798946774</v>
      </c>
      <c r="C83" s="168">
        <f>C23+(3/0.017)*(C9*C51+C24*C50)</f>
        <v>1.8561272430754763</v>
      </c>
      <c r="D83" s="168">
        <f>D23+(3/0.017)*(D9*D51+D24*D50)</f>
        <v>-0.58704537235849</v>
      </c>
      <c r="E83" s="168">
        <f>E23+(3/0.017)*(E9*E51+E24*E50)</f>
        <v>0.3620988071390535</v>
      </c>
      <c r="F83" s="168">
        <f>F23+(3/0.017)*(F9*F51+F24*F50)</f>
        <v>7.85877998135674</v>
      </c>
    </row>
    <row r="84" spans="1:6" ht="12.75">
      <c r="A84" s="168" t="s">
        <v>181</v>
      </c>
      <c r="B84" s="168">
        <f>B24+(4/0.017)*(B10*B51+B25*B50)</f>
        <v>-3.3540792488911793</v>
      </c>
      <c r="C84" s="168">
        <f>C24+(4/0.017)*(C10*C51+C25*C50)</f>
        <v>-3.837162809641711</v>
      </c>
      <c r="D84" s="168">
        <f>D24+(4/0.017)*(D10*D51+D25*D50)</f>
        <v>-4.10290833073605</v>
      </c>
      <c r="E84" s="168">
        <f>E24+(4/0.017)*(E10*E51+E25*E50)</f>
        <v>-5.212536600754072</v>
      </c>
      <c r="F84" s="168">
        <f>F24+(4/0.017)*(F10*F51+F25*F50)</f>
        <v>-1.7593702343005626</v>
      </c>
    </row>
    <row r="85" spans="1:6" ht="12.75">
      <c r="A85" s="168" t="s">
        <v>182</v>
      </c>
      <c r="B85" s="168">
        <f>B25+(5/0.017)*(B11*B51+B26*B50)</f>
        <v>0.7513783152778668</v>
      </c>
      <c r="C85" s="168">
        <f>C25+(5/0.017)*(C11*C51+C26*C50)</f>
        <v>0.5996854651347503</v>
      </c>
      <c r="D85" s="168">
        <f>D25+(5/0.017)*(D11*D51+D26*D50)</f>
        <v>-0.6124352740017995</v>
      </c>
      <c r="E85" s="168">
        <f>E25+(5/0.017)*(E11*E51+E26*E50)</f>
        <v>-0.3543501791182626</v>
      </c>
      <c r="F85" s="168">
        <f>F25+(5/0.017)*(F11*F51+F26*F50)</f>
        <v>-1.1994310928331178</v>
      </c>
    </row>
    <row r="86" spans="1:6" ht="12.75">
      <c r="A86" s="168" t="s">
        <v>183</v>
      </c>
      <c r="B86" s="168">
        <f>B26+(6/0.017)*(B12*B51+B27*B50)</f>
        <v>0.7397717406168105</v>
      </c>
      <c r="C86" s="168">
        <f>C26+(6/0.017)*(C12*C51+C27*C50)</f>
        <v>0.24033668856949383</v>
      </c>
      <c r="D86" s="168">
        <f>D26+(6/0.017)*(D12*D51+D27*D50)</f>
        <v>-0.02032135816141039</v>
      </c>
      <c r="E86" s="168">
        <f>E26+(6/0.017)*(E12*E51+E27*E50)</f>
        <v>-0.028379553764681056</v>
      </c>
      <c r="F86" s="168">
        <f>F26+(6/0.017)*(F12*F51+F27*F50)</f>
        <v>1.6078298614061168</v>
      </c>
    </row>
    <row r="87" spans="1:6" ht="12.75">
      <c r="A87" s="168" t="s">
        <v>184</v>
      </c>
      <c r="B87" s="168">
        <f>B27+(7/0.017)*(B13*B51+B28*B50)</f>
        <v>0.46071662339621855</v>
      </c>
      <c r="C87" s="168">
        <f>C27+(7/0.017)*(C13*C51+C28*C50)</f>
        <v>-0.16502812130236585</v>
      </c>
      <c r="D87" s="168">
        <f>D27+(7/0.017)*(D13*D51+D28*D50)</f>
        <v>-0.2274806779276507</v>
      </c>
      <c r="E87" s="168">
        <f>E27+(7/0.017)*(E13*E51+E28*E50)</f>
        <v>-0.23968476939174788</v>
      </c>
      <c r="F87" s="168">
        <f>F27+(7/0.017)*(F13*F51+F28*F50)</f>
        <v>0.6654056840417458</v>
      </c>
    </row>
    <row r="88" spans="1:6" ht="12.75">
      <c r="A88" s="168" t="s">
        <v>185</v>
      </c>
      <c r="B88" s="168">
        <f>B28+(8/0.017)*(B14*B51+B29*B50)</f>
        <v>-0.12650184610264442</v>
      </c>
      <c r="C88" s="168">
        <f>C28+(8/0.017)*(C14*C51+C29*C50)</f>
        <v>-0.17562959370108583</v>
      </c>
      <c r="D88" s="168">
        <f>D28+(8/0.017)*(D14*D51+D29*D50)</f>
        <v>-0.35702628048493756</v>
      </c>
      <c r="E88" s="168">
        <f>E28+(8/0.017)*(E14*E51+E29*E50)</f>
        <v>-0.2942781014652682</v>
      </c>
      <c r="F88" s="168">
        <f>F28+(8/0.017)*(F14*F51+F29*F50)</f>
        <v>-0.0369130905131716</v>
      </c>
    </row>
    <row r="89" spans="1:6" ht="12.75">
      <c r="A89" s="168" t="s">
        <v>186</v>
      </c>
      <c r="B89" s="168">
        <f>B29+(9/0.017)*(B15*B51+B30*B50)</f>
        <v>0.08677904672710912</v>
      </c>
      <c r="C89" s="168">
        <f>C29+(9/0.017)*(C15*C51+C30*C50)</f>
        <v>-0.05083140762850028</v>
      </c>
      <c r="D89" s="168">
        <f>D29+(9/0.017)*(D15*D51+D30*D50)</f>
        <v>-0.03703768913682132</v>
      </c>
      <c r="E89" s="168">
        <f>E29+(9/0.017)*(E15*E51+E30*E50)</f>
        <v>-0.07734799406243419</v>
      </c>
      <c r="F89" s="168">
        <f>F29+(9/0.017)*(F15*F51+F30*F50)</f>
        <v>0.03747166666553495</v>
      </c>
    </row>
    <row r="90" spans="1:6" ht="12.75">
      <c r="A90" s="168" t="s">
        <v>187</v>
      </c>
      <c r="B90" s="168">
        <f>B30+(10/0.017)*(B16*B51+B31*B50)</f>
        <v>0.02682167528927193</v>
      </c>
      <c r="C90" s="168">
        <f>C30+(10/0.017)*(C16*C51+C31*C50)</f>
        <v>0.024703984342652856</v>
      </c>
      <c r="D90" s="168">
        <f>D30+(10/0.017)*(D16*D51+D31*D50)</f>
        <v>-0.018675414984070854</v>
      </c>
      <c r="E90" s="168">
        <f>E30+(10/0.017)*(E16*E51+E31*E50)</f>
        <v>-0.010649728804850184</v>
      </c>
      <c r="F90" s="168">
        <f>F30+(10/0.017)*(F16*F51+F31*F50)</f>
        <v>0.1983324845547527</v>
      </c>
    </row>
    <row r="91" spans="1:6" ht="12.75">
      <c r="A91" s="168" t="s">
        <v>188</v>
      </c>
      <c r="B91" s="168">
        <f>B31+(11/0.017)*(B17*B51+B32*B50)</f>
        <v>0.2626395630938889</v>
      </c>
      <c r="C91" s="168">
        <f>C31+(11/0.017)*(C17*C51+C32*C50)</f>
        <v>0.08128953787798145</v>
      </c>
      <c r="D91" s="168">
        <f>D31+(11/0.017)*(D17*D51+D32*D50)</f>
        <v>0.05708849503564845</v>
      </c>
      <c r="E91" s="168">
        <f>E31+(11/0.017)*(E17*E51+E32*E50)</f>
        <v>0.014868651808026469</v>
      </c>
      <c r="F91" s="168">
        <f>F31+(11/0.017)*(F17*F51+F32*F50)</f>
        <v>0.18502716932314664</v>
      </c>
    </row>
    <row r="92" spans="1:6" ht="12.75">
      <c r="A92" s="168" t="s">
        <v>189</v>
      </c>
      <c r="B92" s="168">
        <f>B32+(12/0.017)*(B18*B51+B33*B50)</f>
        <v>0.011810909983886668</v>
      </c>
      <c r="C92" s="168">
        <f>C32+(12/0.017)*(C18*C51+C33*C50)</f>
        <v>0.06479817247159303</v>
      </c>
      <c r="D92" s="168">
        <f>D32+(12/0.017)*(D18*D51+D33*D50)</f>
        <v>0.07256371408217269</v>
      </c>
      <c r="E92" s="168">
        <f>E32+(12/0.017)*(E18*E51+E33*E50)</f>
        <v>0.07677035279927709</v>
      </c>
      <c r="F92" s="168">
        <f>F32+(12/0.017)*(F18*F51+F33*F50)</f>
        <v>-0.011219630047876714</v>
      </c>
    </row>
    <row r="93" spans="1:6" ht="12.75">
      <c r="A93" s="168" t="s">
        <v>190</v>
      </c>
      <c r="B93" s="168">
        <f>B33+(13/0.017)*(B19*B51+B34*B50)</f>
        <v>-0.08869123339207641</v>
      </c>
      <c r="C93" s="168">
        <f>C33+(13/0.017)*(C19*C51+C34*C50)</f>
        <v>-0.09822997493915528</v>
      </c>
      <c r="D93" s="168">
        <f>D33+(13/0.017)*(D19*D51+D34*D50)</f>
        <v>-0.08111646771526937</v>
      </c>
      <c r="E93" s="168">
        <f>E33+(13/0.017)*(E19*E51+E34*E50)</f>
        <v>-0.08164175200727483</v>
      </c>
      <c r="F93" s="168">
        <f>F33+(13/0.017)*(F19*F51+F34*F50)</f>
        <v>-0.06792488146667738</v>
      </c>
    </row>
    <row r="94" spans="1:6" ht="12.75">
      <c r="A94" s="168" t="s">
        <v>191</v>
      </c>
      <c r="B94" s="168">
        <f>B34+(14/0.017)*(B20*B51+B35*B50)</f>
        <v>-0.022320461563616296</v>
      </c>
      <c r="C94" s="168">
        <f>C34+(14/0.017)*(C20*C51+C35*C50)</f>
        <v>-0.010611305022738248</v>
      </c>
      <c r="D94" s="168">
        <f>D34+(14/0.017)*(D20*D51+D35*D50)</f>
        <v>-0.0005781411197940591</v>
      </c>
      <c r="E94" s="168">
        <f>E34+(14/0.017)*(E20*E51+E35*E50)</f>
        <v>0.00475914366472055</v>
      </c>
      <c r="F94" s="168">
        <f>F34+(14/0.017)*(F20*F51+F35*F50)</f>
        <v>-0.018148977433206225</v>
      </c>
    </row>
    <row r="95" spans="1:6" ht="12.75">
      <c r="A95" s="168" t="s">
        <v>192</v>
      </c>
      <c r="B95" s="169">
        <f>B35</f>
        <v>-0.001928154</v>
      </c>
      <c r="C95" s="169">
        <f>C35</f>
        <v>0.001349029</v>
      </c>
      <c r="D95" s="169">
        <f>D35</f>
        <v>0.000762139</v>
      </c>
      <c r="E95" s="169">
        <f>E35</f>
        <v>0.005085838</v>
      </c>
      <c r="F95" s="169">
        <f>F35</f>
        <v>0.003779497</v>
      </c>
    </row>
    <row r="98" ht="12.75">
      <c r="A98" s="168" t="s">
        <v>160</v>
      </c>
    </row>
    <row r="100" spans="2:11" ht="12.75">
      <c r="B100" s="168" t="s">
        <v>85</v>
      </c>
      <c r="C100" s="168" t="s">
        <v>86</v>
      </c>
      <c r="D100" s="168" t="s">
        <v>87</v>
      </c>
      <c r="E100" s="168" t="s">
        <v>88</v>
      </c>
      <c r="F100" s="168" t="s">
        <v>89</v>
      </c>
      <c r="G100" s="168" t="s">
        <v>162</v>
      </c>
      <c r="H100" s="168" t="s">
        <v>163</v>
      </c>
      <c r="I100" s="168" t="s">
        <v>158</v>
      </c>
      <c r="K100" s="168" t="s">
        <v>193</v>
      </c>
    </row>
    <row r="101" spans="1:9" ht="12.75">
      <c r="A101" s="168" t="s">
        <v>161</v>
      </c>
      <c r="B101" s="168">
        <f>B61*10000/B62</f>
        <v>0</v>
      </c>
      <c r="C101" s="168">
        <f>C61*10000/C62</f>
        <v>0</v>
      </c>
      <c r="D101" s="168">
        <f>D61*10000/D62</f>
        <v>0</v>
      </c>
      <c r="E101" s="168">
        <f>E61*10000/E62</f>
        <v>0</v>
      </c>
      <c r="F101" s="168">
        <f>F61*10000/F62</f>
        <v>0</v>
      </c>
      <c r="G101" s="168">
        <f>AVERAGE(C101:E101)</f>
        <v>0</v>
      </c>
      <c r="H101" s="168">
        <f>STDEV(C101:E101)</f>
        <v>0</v>
      </c>
      <c r="I101" s="168">
        <f>(B101*B4+C101*C4+D101*D4+E101*E4+F101*F4)/SUM(B4:F4)</f>
        <v>0</v>
      </c>
    </row>
    <row r="102" spans="1:9" ht="12.75">
      <c r="A102" s="168" t="s">
        <v>164</v>
      </c>
      <c r="B102" s="168">
        <f>B62*10000/B62</f>
        <v>10000</v>
      </c>
      <c r="C102" s="168">
        <f>C62*10000/C62</f>
        <v>10000</v>
      </c>
      <c r="D102" s="168">
        <f>D62*10000/D62</f>
        <v>10000</v>
      </c>
      <c r="E102" s="168">
        <f>E62*10000/E62</f>
        <v>10000</v>
      </c>
      <c r="F102" s="168">
        <f>F62*10000/F62</f>
        <v>10000</v>
      </c>
      <c r="G102" s="168">
        <f>AVERAGE(C102:E102)</f>
        <v>10000</v>
      </c>
      <c r="H102" s="168">
        <f>STDEV(C102:E102)</f>
        <v>0</v>
      </c>
      <c r="I102" s="168">
        <f>(B102*B4+C102*C4+D102*D4+E102*E4+F102*F4)/SUM(B4:F4)</f>
        <v>10000</v>
      </c>
    </row>
    <row r="103" spans="1:11" ht="12.75">
      <c r="A103" s="168" t="s">
        <v>165</v>
      </c>
      <c r="B103" s="168">
        <f>B63*10000/B62</f>
        <v>-4.91728981031949</v>
      </c>
      <c r="C103" s="168">
        <f>C63*10000/C62</f>
        <v>-5.522215896826756</v>
      </c>
      <c r="D103" s="168">
        <f>D63*10000/D62</f>
        <v>-4.409804341044113</v>
      </c>
      <c r="E103" s="168">
        <f>E63*10000/E62</f>
        <v>-4.550963209007341</v>
      </c>
      <c r="F103" s="168">
        <f>F63*10000/F62</f>
        <v>-6.2871921019440995</v>
      </c>
      <c r="G103" s="168">
        <f>AVERAGE(C103:E103)</f>
        <v>-4.827661148959403</v>
      </c>
      <c r="H103" s="168">
        <f>STDEV(C103:E103)</f>
        <v>0.60562874753431</v>
      </c>
      <c r="I103" s="168">
        <f>(B103*B4+C103*C4+D103*D4+E103*E4+F103*F4)/SUM(B4:F4)</f>
        <v>-5.03583809840372</v>
      </c>
      <c r="K103" s="168">
        <f>(LN(H103)+LN(H123))/2-LN(K114*K115^3)</f>
        <v>-4.0250578166189115</v>
      </c>
    </row>
    <row r="104" spans="1:11" ht="12.75">
      <c r="A104" s="168" t="s">
        <v>166</v>
      </c>
      <c r="B104" s="168">
        <f>B64*10000/B62</f>
        <v>0.28299042792389484</v>
      </c>
      <c r="C104" s="168">
        <f>C64*10000/C62</f>
        <v>0.6683177114617037</v>
      </c>
      <c r="D104" s="168">
        <f>D64*10000/D62</f>
        <v>0.4417118064830226</v>
      </c>
      <c r="E104" s="168">
        <f>E64*10000/E62</f>
        <v>0.5798265063177289</v>
      </c>
      <c r="F104" s="168">
        <f>F64*10000/F62</f>
        <v>1.4067870665706768</v>
      </c>
      <c r="G104" s="168">
        <f>AVERAGE(C104:E104)</f>
        <v>0.5632853414208184</v>
      </c>
      <c r="H104" s="168">
        <f>STDEV(C104:E104)</f>
        <v>0.11420493266453827</v>
      </c>
      <c r="I104" s="168">
        <f>(B104*B4+C104*C4+D104*D4+E104*E4+F104*F4)/SUM(B4:F4)</f>
        <v>0.6356619934808053</v>
      </c>
      <c r="K104" s="168">
        <f>(LN(H104)+LN(H124))/2-LN(K114*K115^4)</f>
        <v>-4.529747874721217</v>
      </c>
    </row>
    <row r="105" spans="1:11" ht="12.75">
      <c r="A105" s="168" t="s">
        <v>167</v>
      </c>
      <c r="B105" s="168">
        <f>B65*10000/B62</f>
        <v>0.5825359693410498</v>
      </c>
      <c r="C105" s="168">
        <f>C65*10000/C62</f>
        <v>1.8498059154060467</v>
      </c>
      <c r="D105" s="168">
        <f>D65*10000/D62</f>
        <v>1.5560130569026167</v>
      </c>
      <c r="E105" s="168">
        <f>E65*10000/E62</f>
        <v>1.6056006648670518</v>
      </c>
      <c r="F105" s="168">
        <f>F65*10000/F62</f>
        <v>0.8390153483019118</v>
      </c>
      <c r="G105" s="168">
        <f>AVERAGE(C105:E105)</f>
        <v>1.670473212391905</v>
      </c>
      <c r="H105" s="168">
        <f>STDEV(C105:E105)</f>
        <v>0.15727331780590473</v>
      </c>
      <c r="I105" s="168">
        <f>(B105*B4+C105*C4+D105*D4+E105*E4+F105*F4)/SUM(B4:F4)</f>
        <v>1.4022172940874984</v>
      </c>
      <c r="K105" s="168">
        <f>(LN(H105)+LN(H125))/2-LN(K114*K115^5)</f>
        <v>-3.8450889588924166</v>
      </c>
    </row>
    <row r="106" spans="1:11" ht="12.75">
      <c r="A106" s="168" t="s">
        <v>168</v>
      </c>
      <c r="B106" s="168">
        <f>B66*10000/B62</f>
        <v>4.199770438823148</v>
      </c>
      <c r="C106" s="168">
        <f>C66*10000/C62</f>
        <v>4.765276336404619</v>
      </c>
      <c r="D106" s="168">
        <f>D66*10000/D62</f>
        <v>4.499573549688927</v>
      </c>
      <c r="E106" s="168">
        <f>E66*10000/E62</f>
        <v>4.464813323590496</v>
      </c>
      <c r="F106" s="168">
        <f>F66*10000/F62</f>
        <v>15.506332266798365</v>
      </c>
      <c r="G106" s="168">
        <f>AVERAGE(C106:E106)</f>
        <v>4.576554403228014</v>
      </c>
      <c r="H106" s="168">
        <f>STDEV(C106:E106)</f>
        <v>0.16435949737096034</v>
      </c>
      <c r="I106" s="168">
        <f>(B106*B4+C106*C4+D106*D4+E106*E4+F106*F4)/SUM(B4:F4)</f>
        <v>5.984234709931245</v>
      </c>
      <c r="K106" s="168">
        <f>(LN(H106)+LN(H126))/2-LN(K114*K115^6)</f>
        <v>-3.9464892836123076</v>
      </c>
    </row>
    <row r="107" spans="1:11" ht="12.75">
      <c r="A107" s="168" t="s">
        <v>169</v>
      </c>
      <c r="B107" s="168">
        <f>B67*10000/B62</f>
        <v>0.11539940307380107</v>
      </c>
      <c r="C107" s="168">
        <f>C67*10000/C62</f>
        <v>0.17417401550929124</v>
      </c>
      <c r="D107" s="168">
        <f>D67*10000/D62</f>
        <v>0.27271715585377587</v>
      </c>
      <c r="E107" s="168">
        <f>E67*10000/E62</f>
        <v>0.0993881452811838</v>
      </c>
      <c r="F107" s="168">
        <f>F67*10000/F62</f>
        <v>-0.06934545103853479</v>
      </c>
      <c r="G107" s="168">
        <f>AVERAGE(C107:E107)</f>
        <v>0.18209310554808364</v>
      </c>
      <c r="H107" s="168">
        <f>STDEV(C107:E107)</f>
        <v>0.08693543849777442</v>
      </c>
      <c r="I107" s="168">
        <f>(B107*B4+C107*C4+D107*D4+E107*E4+F107*F4)/SUM(B4:F4)</f>
        <v>0.13883187050244217</v>
      </c>
      <c r="K107" s="168">
        <f>(LN(H107)+LN(H127))/2-LN(K114*K115^7)</f>
        <v>-4.343448723045732</v>
      </c>
    </row>
    <row r="108" spans="1:9" ht="12.75">
      <c r="A108" s="168" t="s">
        <v>170</v>
      </c>
      <c r="B108" s="168">
        <f>B68*10000/B62</f>
        <v>-0.02851593256279429</v>
      </c>
      <c r="C108" s="168">
        <f>C68*10000/C62</f>
        <v>0.09516906197142368</v>
      </c>
      <c r="D108" s="168">
        <f>D68*10000/D62</f>
        <v>-0.009646806615141888</v>
      </c>
      <c r="E108" s="168">
        <f>E68*10000/E62</f>
        <v>0.0967254693924122</v>
      </c>
      <c r="F108" s="168">
        <f>F68*10000/F62</f>
        <v>-0.1275949095546232</v>
      </c>
      <c r="G108" s="168">
        <f>AVERAGE(C108:E108)</f>
        <v>0.060749241582897996</v>
      </c>
      <c r="H108" s="168">
        <f>STDEV(C108:E108)</f>
        <v>0.06096973267483294</v>
      </c>
      <c r="I108" s="168">
        <f>(B108*B4+C108*C4+D108*D4+E108*E4+F108*F4)/SUM(B4:F4)</f>
        <v>0.022670118966113522</v>
      </c>
    </row>
    <row r="109" spans="1:9" ht="12.75">
      <c r="A109" s="168" t="s">
        <v>171</v>
      </c>
      <c r="B109" s="168">
        <f>B69*10000/B62</f>
        <v>0.034533789416013275</v>
      </c>
      <c r="C109" s="168">
        <f>C69*10000/C62</f>
        <v>0.0424127749490848</v>
      </c>
      <c r="D109" s="168">
        <f>D69*10000/D62</f>
        <v>0.08542291849644731</v>
      </c>
      <c r="E109" s="168">
        <f>E69*10000/E62</f>
        <v>0.013437220609771455</v>
      </c>
      <c r="F109" s="168">
        <f>F69*10000/F62</f>
        <v>-0.07116886602777515</v>
      </c>
      <c r="G109" s="168">
        <f>AVERAGE(C109:E109)</f>
        <v>0.04709097135176785</v>
      </c>
      <c r="H109" s="168">
        <f>STDEV(C109:E109)</f>
        <v>0.03622015069328811</v>
      </c>
      <c r="I109" s="168">
        <f>(B109*B4+C109*C4+D109*D4+E109*E4+F109*F4)/SUM(B4:F4)</f>
        <v>0.02945897241847675</v>
      </c>
    </row>
    <row r="110" spans="1:11" ht="12.75">
      <c r="A110" s="168" t="s">
        <v>172</v>
      </c>
      <c r="B110" s="168">
        <f>B70*10000/B62</f>
        <v>-0.15487243862793793</v>
      </c>
      <c r="C110" s="168">
        <f>C70*10000/C62</f>
        <v>0.05144802324329626</v>
      </c>
      <c r="D110" s="168">
        <f>D70*10000/D62</f>
        <v>0.020188875033199362</v>
      </c>
      <c r="E110" s="168">
        <f>E70*10000/E62</f>
        <v>0.005652177920515739</v>
      </c>
      <c r="F110" s="168">
        <f>F70*10000/F62</f>
        <v>-0.21716312062928295</v>
      </c>
      <c r="G110" s="168">
        <f>AVERAGE(C110:E110)</f>
        <v>0.025763025399003787</v>
      </c>
      <c r="H110" s="168">
        <f>STDEV(C110:E110)</f>
        <v>0.02340124412146623</v>
      </c>
      <c r="I110" s="168">
        <f>(B110*B4+C110*C4+D110*D4+E110*E4+F110*F4)/SUM(B4:F4)</f>
        <v>-0.032805844699001364</v>
      </c>
      <c r="K110" s="168">
        <f>EXP(AVERAGE(K103:K107))</f>
        <v>0.015955263066195383</v>
      </c>
    </row>
    <row r="111" spans="1:9" ht="12.75">
      <c r="A111" s="168" t="s">
        <v>173</v>
      </c>
      <c r="B111" s="168">
        <f>B71*10000/B62</f>
        <v>0.07632849764319262</v>
      </c>
      <c r="C111" s="168">
        <f>C71*10000/C62</f>
        <v>0.14473333859360019</v>
      </c>
      <c r="D111" s="168">
        <f>D71*10000/D62</f>
        <v>0.12073436401037647</v>
      </c>
      <c r="E111" s="168">
        <f>E71*10000/E62</f>
        <v>0.12163057586824207</v>
      </c>
      <c r="F111" s="168">
        <f>F71*10000/F62</f>
        <v>0.0020502355985154434</v>
      </c>
      <c r="G111" s="168">
        <f>AVERAGE(C111:E111)</f>
        <v>0.12903275949073958</v>
      </c>
      <c r="H111" s="168">
        <f>STDEV(C111:E111)</f>
        <v>0.01360448224106426</v>
      </c>
      <c r="I111" s="168">
        <f>(B111*B4+C111*C4+D111*D4+E111*E4+F111*F4)/SUM(B4:F4)</f>
        <v>0.10443911404071157</v>
      </c>
    </row>
    <row r="112" spans="1:9" ht="12.75">
      <c r="A112" s="168" t="s">
        <v>174</v>
      </c>
      <c r="B112" s="168">
        <f>B72*10000/B62</f>
        <v>-0.13615868237638226</v>
      </c>
      <c r="C112" s="168">
        <f>C72*10000/C62</f>
        <v>-0.08579325715939214</v>
      </c>
      <c r="D112" s="168">
        <f>D72*10000/D62</f>
        <v>-0.055491860515003766</v>
      </c>
      <c r="E112" s="168">
        <f>E72*10000/E62</f>
        <v>-0.038909339132449</v>
      </c>
      <c r="F112" s="168">
        <f>F72*10000/F62</f>
        <v>-0.09311805487382879</v>
      </c>
      <c r="G112" s="168">
        <f>AVERAGE(C112:E112)</f>
        <v>-0.06006481893561496</v>
      </c>
      <c r="H112" s="168">
        <f>STDEV(C112:E112)</f>
        <v>0.023774133084652368</v>
      </c>
      <c r="I112" s="168">
        <f>(B112*B4+C112*C4+D112*D4+E112*E4+F112*F4)/SUM(B4:F4)</f>
        <v>-0.0754696899056348</v>
      </c>
    </row>
    <row r="113" spans="1:9" ht="12.75">
      <c r="A113" s="168" t="s">
        <v>175</v>
      </c>
      <c r="B113" s="168">
        <f>B73*10000/B62</f>
        <v>-0.024855743436842045</v>
      </c>
      <c r="C113" s="168">
        <f>C73*10000/C62</f>
        <v>-0.05095564200742692</v>
      </c>
      <c r="D113" s="168">
        <f>D73*10000/D62</f>
        <v>-0.04640982107142424</v>
      </c>
      <c r="E113" s="168">
        <f>E73*10000/E62</f>
        <v>-0.05205704405838782</v>
      </c>
      <c r="F113" s="168">
        <f>F73*10000/F62</f>
        <v>-0.019472349957311764</v>
      </c>
      <c r="G113" s="168">
        <f>AVERAGE(C113:E113)</f>
        <v>-0.04980750237907966</v>
      </c>
      <c r="H113" s="168">
        <f>STDEV(C113:E113)</f>
        <v>0.0029935681586960045</v>
      </c>
      <c r="I113" s="168">
        <f>(B113*B4+C113*C4+D113*D4+E113*E4+F113*F4)/SUM(B4:F4)</f>
        <v>-0.04214806800445524</v>
      </c>
    </row>
    <row r="114" spans="1:11" ht="12.75">
      <c r="A114" s="168" t="s">
        <v>176</v>
      </c>
      <c r="B114" s="168">
        <f>B74*10000/B62</f>
        <v>-0.18010118565023617</v>
      </c>
      <c r="C114" s="168">
        <f>C74*10000/C62</f>
        <v>-0.1797208550054861</v>
      </c>
      <c r="D114" s="168">
        <f>D74*10000/D62</f>
        <v>-0.17608395819185482</v>
      </c>
      <c r="E114" s="168">
        <f>E74*10000/E62</f>
        <v>-0.1745878133133628</v>
      </c>
      <c r="F114" s="168">
        <f>F74*10000/F62</f>
        <v>-0.13690212282418765</v>
      </c>
      <c r="G114" s="168">
        <f>AVERAGE(C114:E114)</f>
        <v>-0.17679754217023458</v>
      </c>
      <c r="H114" s="168">
        <f>STDEV(C114:E114)</f>
        <v>0.0026398732590626455</v>
      </c>
      <c r="I114" s="168">
        <f>(B114*B4+C114*C4+D114*D4+E114*E4+F114*F4)/SUM(B4:F4)</f>
        <v>-0.17193761989243955</v>
      </c>
      <c r="J114" s="168" t="s">
        <v>194</v>
      </c>
      <c r="K114" s="168">
        <v>285</v>
      </c>
    </row>
    <row r="115" spans="1:11" ht="12.75">
      <c r="A115" s="168" t="s">
        <v>177</v>
      </c>
      <c r="B115" s="168">
        <f>B75*10000/B62</f>
        <v>-0.0031132199644141514</v>
      </c>
      <c r="C115" s="168">
        <f>C75*10000/C62</f>
        <v>-0.009210642524464591</v>
      </c>
      <c r="D115" s="168">
        <f>D75*10000/D62</f>
        <v>-0.01014110665054025</v>
      </c>
      <c r="E115" s="168">
        <f>E75*10000/E62</f>
        <v>-0.008782867039051949</v>
      </c>
      <c r="F115" s="168">
        <f>F75*10000/F62</f>
        <v>-0.005000778093696698</v>
      </c>
      <c r="G115" s="168">
        <f>AVERAGE(C115:E115)</f>
        <v>-0.009378205404685596</v>
      </c>
      <c r="H115" s="168">
        <f>STDEV(C115:E115)</f>
        <v>0.0006944506459604967</v>
      </c>
      <c r="I115" s="168">
        <f>(B115*B4+C115*C4+D115*D4+E115*E4+F115*F4)/SUM(B4:F4)</f>
        <v>-0.00788835465048761</v>
      </c>
      <c r="J115" s="168" t="s">
        <v>195</v>
      </c>
      <c r="K115" s="168">
        <v>0.5536</v>
      </c>
    </row>
    <row r="118" ht="12.75">
      <c r="A118" s="168" t="s">
        <v>160</v>
      </c>
    </row>
    <row r="120" spans="2:9" ht="12.75">
      <c r="B120" s="168" t="s">
        <v>85</v>
      </c>
      <c r="C120" s="168" t="s">
        <v>86</v>
      </c>
      <c r="D120" s="168" t="s">
        <v>87</v>
      </c>
      <c r="E120" s="168" t="s">
        <v>88</v>
      </c>
      <c r="F120" s="168" t="s">
        <v>89</v>
      </c>
      <c r="G120" s="168" t="s">
        <v>162</v>
      </c>
      <c r="H120" s="168" t="s">
        <v>163</v>
      </c>
      <c r="I120" s="168" t="s">
        <v>158</v>
      </c>
    </row>
    <row r="121" spans="1:9" ht="12.75">
      <c r="A121" s="168" t="s">
        <v>178</v>
      </c>
      <c r="B121" s="168">
        <f>B81*10000/B62</f>
        <v>0</v>
      </c>
      <c r="C121" s="168">
        <f>C81*10000/C62</f>
        <v>0</v>
      </c>
      <c r="D121" s="168">
        <f>D81*10000/D62</f>
        <v>0</v>
      </c>
      <c r="E121" s="168">
        <f>E81*10000/E62</f>
        <v>0</v>
      </c>
      <c r="F121" s="168">
        <f>F81*10000/F62</f>
        <v>0</v>
      </c>
      <c r="G121" s="168">
        <f>AVERAGE(C121:E121)</f>
        <v>0</v>
      </c>
      <c r="H121" s="168">
        <f>STDEV(C121:E121)</f>
        <v>0</v>
      </c>
      <c r="I121" s="168">
        <f>(B121*B4+C121*C4+D121*D4+E121*E4+F121*F4)/SUM(B4:F4)</f>
        <v>0</v>
      </c>
    </row>
    <row r="122" spans="1:9" ht="12.75">
      <c r="A122" s="168" t="s">
        <v>179</v>
      </c>
      <c r="B122" s="168">
        <f>B82*10000/B62</f>
        <v>187.6010047924026</v>
      </c>
      <c r="C122" s="168">
        <f>C82*10000/C62</f>
        <v>71.2531965289993</v>
      </c>
      <c r="D122" s="168">
        <f>D82*10000/D62</f>
        <v>-27.449877663415943</v>
      </c>
      <c r="E122" s="168">
        <f>E82*10000/E62</f>
        <v>-84.85155244444645</v>
      </c>
      <c r="F122" s="168">
        <f>F82*10000/F62</f>
        <v>-134.9066981806427</v>
      </c>
      <c r="G122" s="168">
        <f>AVERAGE(C122:E122)</f>
        <v>-13.682744526287701</v>
      </c>
      <c r="H122" s="168">
        <f>STDEV(C122:E122)</f>
        <v>78.95773318128623</v>
      </c>
      <c r="I122" s="168">
        <f>(B122*B4+C122*C4+D122*D4+E122*E4+F122*F4)/SUM(B4:F4)</f>
        <v>-0.8454921728559612</v>
      </c>
    </row>
    <row r="123" spans="1:9" ht="12.75">
      <c r="A123" s="168" t="s">
        <v>180</v>
      </c>
      <c r="B123" s="168">
        <f>B83*10000/B62</f>
        <v>1.7094088747502674</v>
      </c>
      <c r="C123" s="168">
        <f>C83*10000/C62</f>
        <v>1.8563385656184415</v>
      </c>
      <c r="D123" s="168">
        <f>D83*10000/D62</f>
        <v>-0.5870770184086047</v>
      </c>
      <c r="E123" s="168">
        <f>E83*10000/E62</f>
        <v>0.3621288663536853</v>
      </c>
      <c r="F123" s="168">
        <f>F83*10000/F62</f>
        <v>7.8608424927684135</v>
      </c>
      <c r="G123" s="168">
        <f>AVERAGE(C123:E123)</f>
        <v>0.543796804521174</v>
      </c>
      <c r="H123" s="168">
        <f>STDEV(C123:E123)</f>
        <v>1.2317963950609199</v>
      </c>
      <c r="I123" s="168">
        <f>(B123*B4+C123*C4+D123*D4+E123*E4+F123*F4)/SUM(B4:F4)</f>
        <v>1.6908347564262536</v>
      </c>
    </row>
    <row r="124" spans="1:9" ht="12.75">
      <c r="A124" s="168" t="s">
        <v>181</v>
      </c>
      <c r="B124" s="168">
        <f>B84*10000/B62</f>
        <v>-3.3543776676525208</v>
      </c>
      <c r="C124" s="168">
        <f>C84*10000/C62</f>
        <v>-3.8375996757055706</v>
      </c>
      <c r="D124" s="168">
        <f>D84*10000/D62</f>
        <v>-4.103129507579893</v>
      </c>
      <c r="E124" s="168">
        <f>E84*10000/E62</f>
        <v>-5.212969313464993</v>
      </c>
      <c r="F124" s="168">
        <f>F84*10000/F62</f>
        <v>-1.7598319753334215</v>
      </c>
      <c r="G124" s="168">
        <f>AVERAGE(C124:E124)</f>
        <v>-4.384566165583485</v>
      </c>
      <c r="H124" s="168">
        <f>STDEV(C124:E124)</f>
        <v>0.7295994479635994</v>
      </c>
      <c r="I124" s="168">
        <f>(B124*B4+C124*C4+D124*D4+E124*E4+F124*F4)/SUM(B4:F4)</f>
        <v>-3.8847609458333032</v>
      </c>
    </row>
    <row r="125" spans="1:9" ht="12.75">
      <c r="A125" s="168" t="s">
        <v>182</v>
      </c>
      <c r="B125" s="168">
        <f>B85*10000/B62</f>
        <v>0.751445166824746</v>
      </c>
      <c r="C125" s="168">
        <f>C85*10000/C62</f>
        <v>0.599753740118561</v>
      </c>
      <c r="D125" s="168">
        <f>D85*10000/D62</f>
        <v>-0.6124682887537859</v>
      </c>
      <c r="E125" s="168">
        <f>E85*10000/E62</f>
        <v>-0.3543795950894808</v>
      </c>
      <c r="F125" s="168">
        <f>F85*10000/F62</f>
        <v>-1.1997458796476554</v>
      </c>
      <c r="G125" s="168">
        <f>AVERAGE(C125:E125)</f>
        <v>-0.1223647145749019</v>
      </c>
      <c r="H125" s="168">
        <f>STDEV(C125:E125)</f>
        <v>0.6385481504209318</v>
      </c>
      <c r="I125" s="168">
        <f>(B125*B4+C125*C4+D125*D4+E125*E4+F125*F4)/SUM(B4:F4)</f>
        <v>-0.14035934651022783</v>
      </c>
    </row>
    <row r="126" spans="1:9" ht="12.75">
      <c r="A126" s="168" t="s">
        <v>183</v>
      </c>
      <c r="B126" s="168">
        <f>B86*10000/B62</f>
        <v>0.7398375595048357</v>
      </c>
      <c r="C126" s="168">
        <f>C86*10000/C62</f>
        <v>0.2403640512195416</v>
      </c>
      <c r="D126" s="168">
        <f>D86*10000/D62</f>
        <v>-0.02032245363162284</v>
      </c>
      <c r="E126" s="168">
        <f>E86*10000/E62</f>
        <v>-0.028381909660588327</v>
      </c>
      <c r="F126" s="168">
        <f>F86*10000/F62</f>
        <v>1.6082518311577891</v>
      </c>
      <c r="G126" s="168">
        <f>AVERAGE(C126:E126)</f>
        <v>0.06388656264244348</v>
      </c>
      <c r="H126" s="168">
        <f>STDEV(C126:E126)</f>
        <v>0.15288710438990777</v>
      </c>
      <c r="I126" s="168">
        <f>(B126*B4+C126*C4+D126*D4+E126*E4+F126*F4)/SUM(B4:F4)</f>
        <v>0.36804136285969075</v>
      </c>
    </row>
    <row r="127" spans="1:9" ht="12.75">
      <c r="A127" s="168" t="s">
        <v>184</v>
      </c>
      <c r="B127" s="168">
        <f>B87*10000/B62</f>
        <v>0.46075761422376943</v>
      </c>
      <c r="C127" s="168">
        <f>C87*10000/C62</f>
        <v>-0.1650469099723692</v>
      </c>
      <c r="D127" s="168">
        <f>D87*10000/D62</f>
        <v>-0.22749294080420643</v>
      </c>
      <c r="E127" s="168">
        <f>E87*10000/E62</f>
        <v>-0.2397046665462954</v>
      </c>
      <c r="F127" s="168">
        <f>F87*10000/F62</f>
        <v>0.6655803176133669</v>
      </c>
      <c r="G127" s="168">
        <f>AVERAGE(C127:E127)</f>
        <v>-0.210748172440957</v>
      </c>
      <c r="H127" s="168">
        <f>STDEV(C127:E127)</f>
        <v>0.04004666783662614</v>
      </c>
      <c r="I127" s="168">
        <f>(B127*B4+C127*C4+D127*D4+E127*E4+F127*F4)/SUM(B4:F4)</f>
        <v>0.0034024089280645163</v>
      </c>
    </row>
    <row r="128" spans="1:9" ht="12.75">
      <c r="A128" s="168" t="s">
        <v>185</v>
      </c>
      <c r="B128" s="168">
        <f>B88*10000/B62</f>
        <v>-0.1265131012106547</v>
      </c>
      <c r="C128" s="168">
        <f>C88*10000/C62</f>
        <v>-0.17564958936275146</v>
      </c>
      <c r="D128" s="168">
        <f>D88*10000/D62</f>
        <v>-0.35704552681937185</v>
      </c>
      <c r="E128" s="168">
        <f>E88*10000/E62</f>
        <v>-0.29430253062228</v>
      </c>
      <c r="F128" s="168">
        <f>F88*10000/F62</f>
        <v>-0.03692277823449783</v>
      </c>
      <c r="G128" s="168">
        <f>AVERAGE(C128:E128)</f>
        <v>-0.27566588226813443</v>
      </c>
      <c r="H128" s="168">
        <f>STDEV(C128:E128)</f>
        <v>0.09212282576999348</v>
      </c>
      <c r="I128" s="168">
        <f>(B128*B4+C128*C4+D128*D4+E128*E4+F128*F4)/SUM(B4:F4)</f>
        <v>-0.22220077771661062</v>
      </c>
    </row>
    <row r="129" spans="1:9" ht="12.75">
      <c r="A129" s="168" t="s">
        <v>186</v>
      </c>
      <c r="B129" s="168">
        <f>B89*10000/B62</f>
        <v>0.08678676762268522</v>
      </c>
      <c r="C129" s="168">
        <f>C89*10000/C62</f>
        <v>-0.0508371948515275</v>
      </c>
      <c r="D129" s="168">
        <f>D89*10000/D62</f>
        <v>-0.037039685739846825</v>
      </c>
      <c r="E129" s="168">
        <f>E89*10000/E62</f>
        <v>-0.07735441501690579</v>
      </c>
      <c r="F129" s="168">
        <f>F89*10000/F62</f>
        <v>0.037481500983367416</v>
      </c>
      <c r="G129" s="168">
        <f>AVERAGE(C129:E129)</f>
        <v>-0.055077098536093376</v>
      </c>
      <c r="H129" s="168">
        <f>STDEV(C129:E129)</f>
        <v>0.020489068710203357</v>
      </c>
      <c r="I129" s="168">
        <f>(B129*B4+C129*C4+D129*D4+E129*E4+F129*F4)/SUM(B4:F4)</f>
        <v>-0.02221902651018766</v>
      </c>
    </row>
    <row r="130" spans="1:9" ht="12.75">
      <c r="A130" s="168" t="s">
        <v>187</v>
      </c>
      <c r="B130" s="168">
        <f>B90*10000/B62</f>
        <v>0.026824061664346272</v>
      </c>
      <c r="C130" s="168">
        <f>C90*10000/C62</f>
        <v>0.024706796923962753</v>
      </c>
      <c r="D130" s="168">
        <f>D90*10000/D62</f>
        <v>-0.018676421725877072</v>
      </c>
      <c r="E130" s="168">
        <f>E90*10000/E62</f>
        <v>-0.010650612879797697</v>
      </c>
      <c r="F130" s="168">
        <f>F90*10000/F62</f>
        <v>0.1983845362744433</v>
      </c>
      <c r="G130" s="168">
        <f>AVERAGE(C130:E130)</f>
        <v>-0.0015400792272373387</v>
      </c>
      <c r="H130" s="168">
        <f>STDEV(C130:E130)</f>
        <v>0.02308196877826453</v>
      </c>
      <c r="I130" s="168">
        <f>(B130*B4+C130*C4+D130*D4+E130*E4+F130*F4)/SUM(B4:F4)</f>
        <v>0.02929770708810939</v>
      </c>
    </row>
    <row r="131" spans="1:9" ht="12.75">
      <c r="A131" s="168" t="s">
        <v>188</v>
      </c>
      <c r="B131" s="168">
        <f>B91*10000/B62</f>
        <v>0.2626629306315294</v>
      </c>
      <c r="C131" s="168">
        <f>C91*10000/C62</f>
        <v>0.08129879279944491</v>
      </c>
      <c r="D131" s="168">
        <f>D91*10000/D62</f>
        <v>0.05709157252413562</v>
      </c>
      <c r="E131" s="168">
        <f>E91*10000/E62</f>
        <v>0.014869886111998675</v>
      </c>
      <c r="F131" s="168">
        <f>F91*10000/F62</f>
        <v>0.18507572910584877</v>
      </c>
      <c r="G131" s="168">
        <f>AVERAGE(C131:E131)</f>
        <v>0.0510867504785264</v>
      </c>
      <c r="H131" s="168">
        <f>STDEV(C131:E131)</f>
        <v>0.03361909170057893</v>
      </c>
      <c r="I131" s="168">
        <f>(B131*B4+C131*C4+D131*D4+E131*E4+F131*F4)/SUM(B4:F4)</f>
        <v>0.09954918377076581</v>
      </c>
    </row>
    <row r="132" spans="1:9" ht="12.75">
      <c r="A132" s="168" t="s">
        <v>189</v>
      </c>
      <c r="B132" s="168">
        <f>B92*10000/B62</f>
        <v>0.011811960822840122</v>
      </c>
      <c r="C132" s="168">
        <f>C92*10000/C62</f>
        <v>0.06480554982928081</v>
      </c>
      <c r="D132" s="168">
        <f>D92*10000/D62</f>
        <v>0.07256762579843942</v>
      </c>
      <c r="E132" s="168">
        <f>E92*10000/E62</f>
        <v>0.0767767258015258</v>
      </c>
      <c r="F132" s="168">
        <f>F92*10000/F62</f>
        <v>-0.011222574603528278</v>
      </c>
      <c r="G132" s="168">
        <f>AVERAGE(C132:E132)</f>
        <v>0.07138330047641533</v>
      </c>
      <c r="H132" s="168">
        <f>STDEV(C132:E132)</f>
        <v>0.006072827462632748</v>
      </c>
      <c r="I132" s="168">
        <f>(B132*B4+C132*C4+D132*D4+E132*E4+F132*F4)/SUM(B4:F4)</f>
        <v>0.051734681384453834</v>
      </c>
    </row>
    <row r="133" spans="1:9" ht="12.75">
      <c r="A133" s="168" t="s">
        <v>190</v>
      </c>
      <c r="B133" s="168">
        <f>B93*10000/B62</f>
        <v>-0.08869912441850922</v>
      </c>
      <c r="C133" s="168">
        <f>C93*10000/C62</f>
        <v>-0.0982411585517966</v>
      </c>
      <c r="D133" s="168">
        <f>D93*10000/D62</f>
        <v>-0.08112084048767049</v>
      </c>
      <c r="E133" s="168">
        <f>E93*10000/E62</f>
        <v>-0.08164852940310745</v>
      </c>
      <c r="F133" s="168">
        <f>F93*10000/F62</f>
        <v>-0.06794270813232954</v>
      </c>
      <c r="G133" s="168">
        <f>AVERAGE(C133:E133)</f>
        <v>-0.08700350948085818</v>
      </c>
      <c r="H133" s="168">
        <f>STDEV(C133:E133)</f>
        <v>0.009735665430726324</v>
      </c>
      <c r="I133" s="168">
        <f>(B133*B4+C133*C4+D133*D4+E133*E4+F133*F4)/SUM(B4:F4)</f>
        <v>-0.08469851026494428</v>
      </c>
    </row>
    <row r="134" spans="1:9" ht="12.75">
      <c r="A134" s="168" t="s">
        <v>191</v>
      </c>
      <c r="B134" s="168">
        <f>B94*10000/B62</f>
        <v>-0.022322447457209772</v>
      </c>
      <c r="C134" s="168">
        <f>C94*10000/C62</f>
        <v>-0.010612513133857759</v>
      </c>
      <c r="D134" s="168">
        <f>D94*10000/D62</f>
        <v>-0.0005781722858396697</v>
      </c>
      <c r="E134" s="168">
        <f>E94*10000/E62</f>
        <v>0.0047595387395400765</v>
      </c>
      <c r="F134" s="168">
        <f>F94*10000/F62</f>
        <v>-0.018153740573687953</v>
      </c>
      <c r="G134" s="168">
        <f>AVERAGE(C134:E134)</f>
        <v>-0.0021437155600524506</v>
      </c>
      <c r="H134" s="168">
        <f>STDEV(C134:E134)</f>
        <v>0.007804690192902158</v>
      </c>
      <c r="I134" s="168">
        <f>(B134*B4+C134*C4+D134*D4+E134*E4+F134*F4)/SUM(B4:F4)</f>
        <v>-0.007197954473036395</v>
      </c>
    </row>
    <row r="135" spans="1:9" ht="12.75">
      <c r="A135" s="168" t="s">
        <v>192</v>
      </c>
      <c r="B135" s="168">
        <f>B95*10000/B62</f>
        <v>-0.0019283255515006228</v>
      </c>
      <c r="C135" s="168">
        <f>C95*10000/C62</f>
        <v>0.0013491825887369132</v>
      </c>
      <c r="D135" s="168">
        <f>D95*10000/D62</f>
        <v>0.0007621800848805289</v>
      </c>
      <c r="E135" s="168">
        <f>E95*10000/E62</f>
        <v>0.005086260194972782</v>
      </c>
      <c r="F135" s="168">
        <f>F95*10000/F62</f>
        <v>0.003780488916774789</v>
      </c>
      <c r="G135" s="168">
        <f>AVERAGE(C135:E135)</f>
        <v>0.0023992076228634084</v>
      </c>
      <c r="H135" s="168">
        <f>STDEV(C135:E135)</f>
        <v>0.002345491766952747</v>
      </c>
      <c r="I135" s="168">
        <f>(B135*B4+C135*C4+D135*D4+E135*E4+F135*F4)/SUM(B4:F4)</f>
        <v>0.0019593449218476356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2003-04-18T13:42:55Z</cp:lastPrinted>
  <dcterms:created xsi:type="dcterms:W3CDTF">1999-06-17T15:15:05Z</dcterms:created>
  <dcterms:modified xsi:type="dcterms:W3CDTF">2005-10-04T12:16:25Z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1932142546</vt:i4>
  </property>
  <property fmtid="{D5CDD505-2E9C-101B-9397-08002B2CF9AE}" pid="3" name="_EmailSubject">
    <vt:lpwstr>correction de resultats d'ouverture quadripolaire.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ReviewingToolsShownOnce">
    <vt:lpwstr/>
  </property>
</Properties>
</file>