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firstSheet="6" activeTab="7"/>
  </bookViews>
  <sheets>
    <sheet name="Sommaire" sheetId="1" r:id="rId1"/>
    <sheet name="HCMQAP036_pos1ap2" sheetId="2" r:id="rId2"/>
    <sheet name="HCMQAP036_pos2ap2" sheetId="3" r:id="rId3"/>
    <sheet name="HCMQAP036_pos3ap2" sheetId="4" r:id="rId4"/>
    <sheet name="HCMQAP036_pos4ap2" sheetId="5" r:id="rId5"/>
    <sheet name="HCMQAP036_pos5ap2" sheetId="6" r:id="rId6"/>
    <sheet name="Lmag_hcmqap" sheetId="7" r:id="rId7"/>
    <sheet name="Result_HCMQAP" sheetId="8" r:id="rId8"/>
  </sheets>
  <definedNames>
    <definedName name="_xlnm.Print_Area" localSheetId="1">'HCMQAP036_pos1ap2'!$A$1:$N$28</definedName>
    <definedName name="_xlnm.Print_Area" localSheetId="2">'HCMQAP036_pos2ap2'!$A$1:$N$28</definedName>
    <definedName name="_xlnm.Print_Area" localSheetId="3">'HCMQAP036_pos3ap2'!$A$1:$N$28</definedName>
    <definedName name="_xlnm.Print_Area" localSheetId="4">'HCMQAP036_pos4ap2'!$A$1:$N$28</definedName>
    <definedName name="_xlnm.Print_Area" localSheetId="5">'HCMQAP036_pos5ap2'!$A$1:$N$28</definedName>
    <definedName name="_xlnm.Print_Area" localSheetId="6">'Lmag_hcmqap'!$A$1:$G$54</definedName>
  </definedNames>
  <calcPr fullCalcOnLoad="1"/>
</workbook>
</file>

<file path=xl/sharedStrings.xml><?xml version="1.0" encoding="utf-8"?>
<sst xmlns="http://schemas.openxmlformats.org/spreadsheetml/2006/main" count="508" uniqueCount="181">
  <si>
    <t>Bench Number</t>
  </si>
  <si>
    <t>Valeurs dipôlaires en Teslas (signal absolu mesuré par la bobine externe corrigé de la dérive de l'électronique)</t>
  </si>
  <si>
    <t>Magnet Name</t>
  </si>
  <si>
    <t>hcmqap036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</si>
  <si>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</si>
  <si>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</si>
  <si>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</si>
  <si>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</si>
  <si>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</si>
  <si>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</si>
  <si>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</si>
  <si>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</si>
  <si>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</si>
  <si>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</si>
  <si>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</si>
  <si>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</si>
  <si>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</si>
  <si>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</si>
  <si>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</si>
  <si>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</si>
  <si>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</si>
  <si>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</si>
  <si>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</si>
  <si>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</si>
  <si>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</si>
  <si>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</si>
  <si>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</si>
  <si>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</si>
  <si>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</si>
  <si>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</si>
  <si>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</si>
  <si>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</si>
  <si>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</si>
  <si>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</si>
  <si>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</si>
  <si>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</si>
  <si>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</si>
  <si>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</si>
  <si>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</si>
  <si>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</si>
  <si>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t>après ajout de pieds à la canne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</si>
  <si>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</si>
  <si>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</si>
  <si>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</si>
  <si>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</si>
  <si>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</si>
  <si>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</si>
  <si>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</si>
  <si>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</si>
  <si>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</si>
  <si>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</si>
  <si>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</si>
  <si>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</si>
  <si>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</si>
  <si>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</si>
  <si>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</si>
  <si>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</si>
  <si>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HCMQAP036_pos1ap2</t>
  </si>
  <si>
    <t>30/04/20</t>
  </si>
  <si>
    <t>±12.5</t>
  </si>
  <si>
    <t>THCMQAP036_pos1ap2.xls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</si>
  <si>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</si>
  <si>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HCMQAP036_pos2ap2</t>
  </si>
  <si>
    <t>THCMQAP036_pos2ap2.xls</t>
  </si>
  <si>
    <t>HCMQAP036_pos3ap2</t>
  </si>
  <si>
    <t>THCMQAP036_pos3ap2.xls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</si>
  <si>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</si>
  <si>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HCMQAP036_pos4ap2</t>
  </si>
  <si>
    <t>THCMQAP036_pos4ap2.xls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</si>
  <si>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-2.098 mT)</t>
    </r>
  </si>
  <si>
    <t>HCMQAP036_pos5ap2</t>
  </si>
  <si>
    <t>THCMQAP036_pos5ap2.xls</t>
  </si>
  <si>
    <t>Sommaire : Valeurs intégrales calculées avec les fichiers: HCMQAP036_pos1ap2+HCMQAP036_pos2ap2+HCMQAP036_pos3ap2+HCMQAP036_pos4ap2+HCMQAP036_pos5ap2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</si>
  <si>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</si>
  <si>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</si>
  <si>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</si>
  <si>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</si>
  <si>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</si>
  <si>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</si>
  <si>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</si>
  <si>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</si>
  <si>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</si>
  <si>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</si>
  <si>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</si>
  <si>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</si>
  <si>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</si>
  <si>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</si>
  <si>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</si>
  <si>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</si>
  <si>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</si>
  <si>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</si>
  <si>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</si>
  <si>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</si>
  <si>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</si>
  <si>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</si>
  <si>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</si>
  <si>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</si>
  <si>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</si>
  <si>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</si>
  <si>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</si>
  <si>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</si>
  <si>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</si>
  <si>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</si>
  <si>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</si>
  <si>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</si>
  <si>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</si>
  <si>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</si>
  <si>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</si>
  <si>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</si>
  <si>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</si>
  <si>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</si>
  <si>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</si>
  <si>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</si>
  <si>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</si>
  <si>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</si>
  <si>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</si>
  <si>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</si>
  <si>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</si>
  <si>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Wed 30/04/2003       07:34:37</t>
  </si>
  <si>
    <t>LISSNER</t>
  </si>
  <si>
    <t>HCMQAP036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</si>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</sst>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dd/mm/yy"/>
    <numFmt numFmtId="179" formatCode="0.#"/>
    <numFmt numFmtId="180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3" fontId="2" fillId="0" borderId="3" xfId="0" applyNumberFormat="1" applyFont="1" applyFill="1" applyBorder="1" applyAlignment="1">
      <alignment horizontal="left"/>
    </xf>
    <xf numFmtId="173" fontId="2" fillId="0" borderId="4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173" fontId="2" fillId="0" borderId="8" xfId="0" applyNumberFormat="1" applyFont="1" applyFill="1" applyBorder="1" applyAlignment="1">
      <alignment horizontal="left"/>
    </xf>
    <xf numFmtId="173" fontId="2" fillId="0" borderId="9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76" fontId="2" fillId="0" borderId="7" xfId="0" applyNumberFormat="1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left"/>
    </xf>
    <xf numFmtId="173" fontId="2" fillId="0" borderId="13" xfId="0" applyNumberFormat="1" applyFont="1" applyFill="1" applyBorder="1" applyAlignment="1">
      <alignment horizontal="left"/>
    </xf>
    <xf numFmtId="173" fontId="2" fillId="0" borderId="13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/>
    </xf>
    <xf numFmtId="173" fontId="2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left"/>
    </xf>
    <xf numFmtId="173" fontId="3" fillId="0" borderId="9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2" fillId="0" borderId="9" xfId="0" applyNumberFormat="1" applyFont="1" applyFill="1" applyBorder="1" applyAlignment="1">
      <alignment horizontal="left"/>
    </xf>
    <xf numFmtId="173" fontId="2" fillId="0" borderId="1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73" fontId="2" fillId="0" borderId="18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2" fillId="0" borderId="19" xfId="0" applyNumberFormat="1" applyFont="1" applyFill="1" applyBorder="1" applyAlignment="1">
      <alignment horizontal="center"/>
    </xf>
    <xf numFmtId="173" fontId="2" fillId="0" borderId="20" xfId="0" applyNumberFormat="1" applyFont="1" applyFill="1" applyBorder="1" applyAlignment="1">
      <alignment horizontal="center"/>
    </xf>
    <xf numFmtId="173" fontId="3" fillId="0" borderId="6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173" fontId="2" fillId="0" borderId="7" xfId="0" applyNumberFormat="1" applyFont="1" applyFill="1" applyBorder="1" applyAlignment="1">
      <alignment horizontal="center"/>
    </xf>
    <xf numFmtId="173" fontId="2" fillId="0" borderId="7" xfId="0" applyNumberFormat="1" applyFont="1" applyFill="1" applyBorder="1" applyAlignment="1">
      <alignment horizontal="left"/>
    </xf>
    <xf numFmtId="173" fontId="2" fillId="0" borderId="6" xfId="0" applyNumberFormat="1" applyFont="1" applyFill="1" applyBorder="1" applyAlignment="1">
      <alignment horizontal="center"/>
    </xf>
    <xf numFmtId="173" fontId="2" fillId="2" borderId="11" xfId="0" applyNumberFormat="1" applyFont="1" applyFill="1" applyBorder="1" applyAlignment="1">
      <alignment horizontal="center"/>
    </xf>
    <xf numFmtId="175" fontId="2" fillId="0" borderId="7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2" fillId="2" borderId="6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left"/>
    </xf>
    <xf numFmtId="173" fontId="2" fillId="0" borderId="21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73" fontId="2" fillId="0" borderId="23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1" fontId="2" fillId="0" borderId="2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173" fontId="6" fillId="0" borderId="24" xfId="0" applyNumberFormat="1" applyFont="1" applyFill="1" applyBorder="1" applyAlignment="1">
      <alignment horizontal="left"/>
    </xf>
    <xf numFmtId="173" fontId="6" fillId="0" borderId="25" xfId="0" applyNumberFormat="1" applyFont="1" applyFill="1" applyBorder="1" applyAlignment="1">
      <alignment horizontal="left"/>
    </xf>
    <xf numFmtId="173" fontId="7" fillId="0" borderId="25" xfId="0" applyNumberFormat="1" applyFont="1" applyFill="1" applyBorder="1" applyAlignment="1">
      <alignment horizontal="left"/>
    </xf>
    <xf numFmtId="173" fontId="6" fillId="0" borderId="26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 horizontal="left"/>
    </xf>
    <xf numFmtId="173" fontId="6" fillId="0" borderId="28" xfId="0" applyNumberFormat="1" applyFont="1" applyFill="1" applyBorder="1" applyAlignment="1">
      <alignment horizontal="left"/>
    </xf>
    <xf numFmtId="173" fontId="6" fillId="0" borderId="28" xfId="0" applyNumberFormat="1" applyFont="1" applyFill="1" applyBorder="1" applyAlignment="1">
      <alignment horizontal="center"/>
    </xf>
    <xf numFmtId="173" fontId="6" fillId="0" borderId="29" xfId="0" applyNumberFormat="1" applyFont="1" applyFill="1" applyBorder="1" applyAlignment="1">
      <alignment horizontal="left"/>
    </xf>
    <xf numFmtId="173" fontId="6" fillId="0" borderId="30" xfId="0" applyNumberFormat="1" applyFont="1" applyFill="1" applyBorder="1" applyAlignment="1">
      <alignment horizontal="left"/>
    </xf>
    <xf numFmtId="173" fontId="6" fillId="0" borderId="31" xfId="0" applyNumberFormat="1" applyFont="1" applyFill="1" applyBorder="1" applyAlignment="1">
      <alignment horizontal="left"/>
    </xf>
    <xf numFmtId="173" fontId="6" fillId="0" borderId="32" xfId="0" applyNumberFormat="1" applyFont="1" applyFill="1" applyBorder="1" applyAlignment="1">
      <alignment horizontal="left"/>
    </xf>
    <xf numFmtId="173" fontId="6" fillId="0" borderId="32" xfId="0" applyNumberFormat="1" applyFont="1" applyFill="1" applyBorder="1" applyAlignment="1">
      <alignment horizontal="center"/>
    </xf>
    <xf numFmtId="173" fontId="6" fillId="0" borderId="33" xfId="0" applyNumberFormat="1" applyFont="1" applyFill="1" applyBorder="1" applyAlignment="1">
      <alignment horizontal="left"/>
    </xf>
    <xf numFmtId="173" fontId="6" fillId="0" borderId="34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173" fontId="6" fillId="0" borderId="36" xfId="0" applyNumberFormat="1" applyFont="1" applyFill="1" applyBorder="1" applyAlignment="1">
      <alignment horizontal="left" vertical="center"/>
    </xf>
    <xf numFmtId="173" fontId="6" fillId="0" borderId="3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3" fontId="3" fillId="2" borderId="6" xfId="0" applyNumberFormat="1" applyFont="1" applyFill="1" applyBorder="1" applyAlignment="1">
      <alignment horizontal="center"/>
    </xf>
    <xf numFmtId="173" fontId="3" fillId="2" borderId="11" xfId="0" applyNumberFormat="1" applyFont="1" applyFill="1" applyBorder="1" applyAlignment="1">
      <alignment horizontal="center"/>
    </xf>
    <xf numFmtId="173" fontId="2" fillId="3" borderId="11" xfId="0" applyNumberFormat="1" applyFont="1" applyFill="1" applyBorder="1" applyAlignment="1">
      <alignment horizontal="center"/>
    </xf>
    <xf numFmtId="178" fontId="0" fillId="4" borderId="0" xfId="0" applyNumberFormat="1" applyFill="1" applyAlignment="1">
      <alignment horizontal="left"/>
    </xf>
    <xf numFmtId="179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180" fontId="3" fillId="0" borderId="11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2" fillId="2" borderId="11" xfId="0" applyNumberFormat="1" applyFont="1" applyFill="1" applyBorder="1" applyAlignment="1">
      <alignment horizontal="center"/>
    </xf>
    <xf numFmtId="180" fontId="2" fillId="0" borderId="38" xfId="0" applyNumberFormat="1" applyFont="1" applyFill="1" applyBorder="1" applyAlignment="1">
      <alignment horizontal="center"/>
    </xf>
    <xf numFmtId="180" fontId="0" fillId="0" borderId="39" xfId="0" applyNumberFormat="1" applyBorder="1" applyAlignment="1">
      <alignment horizontal="left"/>
    </xf>
    <xf numFmtId="180" fontId="0" fillId="0" borderId="4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0" fontId="0" fillId="0" borderId="39" xfId="0" applyNumberFormat="1" applyBorder="1" applyAlignment="1">
      <alignment horizontal="center"/>
    </xf>
    <xf numFmtId="180" fontId="0" fillId="0" borderId="38" xfId="0" applyNumberFormat="1" applyBorder="1" applyAlignment="1">
      <alignment horizontal="center"/>
    </xf>
    <xf numFmtId="180" fontId="0" fillId="0" borderId="43" xfId="0" applyNumberFormat="1" applyBorder="1" applyAlignment="1">
      <alignment horizontal="left"/>
    </xf>
    <xf numFmtId="180" fontId="0" fillId="0" borderId="16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80" fontId="0" fillId="0" borderId="45" xfId="0" applyNumberFormat="1" applyBorder="1" applyAlignment="1">
      <alignment horizontal="left"/>
    </xf>
    <xf numFmtId="180" fontId="0" fillId="0" borderId="10" xfId="0" applyNumberFormat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2" borderId="10" xfId="0" applyNumberFormat="1" applyFont="1" applyFill="1" applyBorder="1" applyAlignment="1">
      <alignment horizontal="center"/>
    </xf>
    <xf numFmtId="180" fontId="2" fillId="0" borderId="46" xfId="0" applyNumberFormat="1" applyFont="1" applyFill="1" applyBorder="1" applyAlignment="1">
      <alignment horizontal="center"/>
    </xf>
    <xf numFmtId="180" fontId="0" fillId="0" borderId="45" xfId="0" applyNumberForma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180" fontId="3" fillId="0" borderId="51" xfId="0" applyNumberFormat="1" applyFont="1" applyFill="1" applyBorder="1" applyAlignment="1">
      <alignment horizontal="center"/>
    </xf>
    <xf numFmtId="180" fontId="3" fillId="0" borderId="52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180" fontId="0" fillId="0" borderId="54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55" xfId="0" applyNumberFormat="1" applyBorder="1" applyAlignment="1">
      <alignment horizontal="center"/>
    </xf>
    <xf numFmtId="180" fontId="3" fillId="2" borderId="56" xfId="0" applyNumberFormat="1" applyFont="1" applyFill="1" applyBorder="1" applyAlignment="1">
      <alignment horizontal="center"/>
    </xf>
    <xf numFmtId="180" fontId="2" fillId="2" borderId="16" xfId="0" applyNumberFormat="1" applyFont="1" applyFill="1" applyBorder="1" applyAlignment="1">
      <alignment horizontal="center"/>
    </xf>
    <xf numFmtId="180" fontId="3" fillId="2" borderId="16" xfId="0" applyNumberFormat="1" applyFont="1" applyFill="1" applyBorder="1" applyAlignment="1">
      <alignment horizontal="center"/>
    </xf>
    <xf numFmtId="180" fontId="2" fillId="0" borderId="16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0" fontId="2" fillId="3" borderId="16" xfId="0" applyNumberFormat="1" applyFont="1" applyFill="1" applyBorder="1" applyAlignment="1">
      <alignment horizontal="center"/>
    </xf>
    <xf numFmtId="180" fontId="2" fillId="0" borderId="57" xfId="0" applyNumberFormat="1" applyFont="1" applyFill="1" applyBorder="1" applyAlignment="1">
      <alignment horizontal="center"/>
    </xf>
    <xf numFmtId="180" fontId="0" fillId="0" borderId="58" xfId="0" applyNumberFormat="1" applyBorder="1" applyAlignment="1">
      <alignment horizontal="center"/>
    </xf>
    <xf numFmtId="180" fontId="0" fillId="0" borderId="59" xfId="0" applyNumberFormat="1" applyBorder="1" applyAlignment="1">
      <alignment horizontal="center"/>
    </xf>
    <xf numFmtId="180" fontId="0" fillId="0" borderId="60" xfId="0" applyNumberFormat="1" applyBorder="1" applyAlignment="1">
      <alignment horizontal="center"/>
    </xf>
    <xf numFmtId="180" fontId="10" fillId="0" borderId="60" xfId="0" applyNumberFormat="1" applyFont="1" applyBorder="1" applyAlignment="1">
      <alignment horizontal="center"/>
    </xf>
    <xf numFmtId="180" fontId="0" fillId="0" borderId="61" xfId="0" applyNumberFormat="1" applyBorder="1" applyAlignment="1">
      <alignment horizontal="center"/>
    </xf>
    <xf numFmtId="180" fontId="11" fillId="0" borderId="62" xfId="0" applyNumberFormat="1" applyFont="1" applyBorder="1" applyAlignment="1">
      <alignment horizontal="center"/>
    </xf>
    <xf numFmtId="180" fontId="11" fillId="0" borderId="63" xfId="0" applyNumberFormat="1" applyFont="1" applyBorder="1" applyAlignment="1">
      <alignment horizontal="center"/>
    </xf>
    <xf numFmtId="2" fontId="11" fillId="0" borderId="63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2" fillId="0" borderId="55" xfId="0" applyNumberFormat="1" applyFont="1" applyFill="1" applyBorder="1" applyAlignment="1">
      <alignment horizontal="center"/>
    </xf>
    <xf numFmtId="173" fontId="2" fillId="0" borderId="54" xfId="0" applyNumberFormat="1" applyFont="1" applyFill="1" applyBorder="1" applyAlignment="1">
      <alignment horizontal="center"/>
    </xf>
    <xf numFmtId="173" fontId="2" fillId="0" borderId="6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3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804727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7"/>
  <sheetViews>
    <sheetView workbookViewId="0" topLeftCell="A1">
      <selection activeCell="A6" sqref="A6:IV6"/>
    </sheetView>
  </sheetViews>
  <sheetFormatPr defaultColWidth="9.33203125" defaultRowHeight="12.75"/>
  <cols>
    <col min="1" max="1" width="12" style="2" customWidth="1"/>
    <col min="2" max="3" width="12" style="3" customWidth="1"/>
    <col min="4" max="5" width="12" style="4" customWidth="1"/>
    <col min="6" max="7" width="12" style="5" customWidth="1"/>
    <col min="8" max="8" width="12" style="4" customWidth="1"/>
    <col min="9" max="9" width="12" style="1" customWidth="1"/>
    <col min="10" max="10" width="12" style="6" customWidth="1"/>
    <col min="11" max="11" width="12" style="1" customWidth="1"/>
    <col min="12" max="16384" width="12" style="0" customWidth="1"/>
  </cols>
  <sheetData>
    <row r="1" spans="1:22" ht="12.75">
      <c r="A1" s="2">
        <v>0</v>
      </c>
      <c r="B1" s="3">
        <v>0</v>
      </c>
      <c r="C1" s="3">
        <v>0</v>
      </c>
      <c r="D1" s="4">
        <v>0</v>
      </c>
      <c r="E1" s="4">
        <v>0</v>
      </c>
      <c r="F1" s="5">
        <v>0</v>
      </c>
      <c r="G1" s="5">
        <v>0</v>
      </c>
      <c r="H1" s="4">
        <v>0</v>
      </c>
      <c r="I1" s="1">
        <v>0</v>
      </c>
      <c r="J1" s="6">
        <v>0</v>
      </c>
      <c r="K1" s="5">
        <v>0</v>
      </c>
      <c r="L1">
        <v>0</v>
      </c>
      <c r="M1">
        <v>0</v>
      </c>
      <c r="N1">
        <v>6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</row>
    <row r="2" spans="1:11" s="87" customFormat="1" ht="12.75">
      <c r="A2" s="83" t="s">
        <v>58</v>
      </c>
      <c r="B2" s="84">
        <v>80</v>
      </c>
      <c r="C2" s="84" t="s">
        <v>59</v>
      </c>
      <c r="D2" s="85">
        <v>5</v>
      </c>
      <c r="E2" s="85">
        <v>1</v>
      </c>
      <c r="F2" s="86"/>
      <c r="G2" s="86" t="s">
        <v>57</v>
      </c>
      <c r="H2" s="85">
        <v>1634</v>
      </c>
      <c r="I2" s="87" t="s">
        <v>60</v>
      </c>
      <c r="J2" s="88"/>
      <c r="K2" s="87" t="s">
        <v>40</v>
      </c>
    </row>
    <row r="3" spans="1:11" s="87" customFormat="1" ht="12.75">
      <c r="A3" s="83" t="s">
        <v>58</v>
      </c>
      <c r="B3" s="84">
        <v>80</v>
      </c>
      <c r="C3" s="84" t="s">
        <v>59</v>
      </c>
      <c r="D3" s="85">
        <v>5</v>
      </c>
      <c r="E3" s="85">
        <v>2</v>
      </c>
      <c r="F3" s="86"/>
      <c r="G3" s="86" t="s">
        <v>62</v>
      </c>
      <c r="H3" s="85">
        <v>1634</v>
      </c>
      <c r="I3" s="87" t="s">
        <v>63</v>
      </c>
      <c r="J3" s="88"/>
      <c r="K3" s="87" t="s">
        <v>40</v>
      </c>
    </row>
    <row r="4" spans="1:11" s="87" customFormat="1" ht="12.75">
      <c r="A4" s="83" t="s">
        <v>58</v>
      </c>
      <c r="B4" s="84">
        <v>80</v>
      </c>
      <c r="C4" s="84" t="s">
        <v>59</v>
      </c>
      <c r="D4" s="85">
        <v>5</v>
      </c>
      <c r="E4" s="85">
        <v>3</v>
      </c>
      <c r="F4" s="86"/>
      <c r="G4" s="86" t="s">
        <v>64</v>
      </c>
      <c r="H4" s="85">
        <v>1634</v>
      </c>
      <c r="I4" s="87" t="s">
        <v>65</v>
      </c>
      <c r="J4" s="88"/>
      <c r="K4" s="87" t="s">
        <v>40</v>
      </c>
    </row>
    <row r="5" spans="1:14" s="87" customFormat="1" ht="12.75">
      <c r="A5" s="83" t="s">
        <v>58</v>
      </c>
      <c r="B5" s="84">
        <v>80</v>
      </c>
      <c r="C5" s="84" t="s">
        <v>59</v>
      </c>
      <c r="D5" s="85">
        <v>5</v>
      </c>
      <c r="E5" s="85">
        <v>4</v>
      </c>
      <c r="F5" s="86"/>
      <c r="G5" s="86" t="s">
        <v>67</v>
      </c>
      <c r="H5" s="85">
        <v>1634</v>
      </c>
      <c r="I5" s="87" t="s">
        <v>68</v>
      </c>
      <c r="J5" s="88"/>
      <c r="K5" s="87" t="s">
        <v>40</v>
      </c>
      <c r="N5" s="89"/>
    </row>
    <row r="6" spans="1:11" s="87" customFormat="1" ht="12.75">
      <c r="A6" s="83" t="s">
        <v>58</v>
      </c>
      <c r="B6" s="84">
        <v>80</v>
      </c>
      <c r="C6" s="84" t="s">
        <v>59</v>
      </c>
      <c r="D6" s="85">
        <v>5</v>
      </c>
      <c r="E6" s="85">
        <v>5</v>
      </c>
      <c r="F6" s="86"/>
      <c r="G6" s="86" t="s">
        <v>70</v>
      </c>
      <c r="H6" s="85">
        <v>1634</v>
      </c>
      <c r="I6" s="87" t="s">
        <v>71</v>
      </c>
      <c r="J6" s="88"/>
      <c r="K6" s="87" t="s">
        <v>40</v>
      </c>
    </row>
    <row r="7" spans="1:10" s="87" customFormat="1" ht="12.75">
      <c r="A7" s="83" t="s">
        <v>72</v>
      </c>
      <c r="B7" s="84"/>
      <c r="C7" s="84"/>
      <c r="D7" s="85"/>
      <c r="E7" s="85"/>
      <c r="F7" s="86"/>
      <c r="G7" s="86"/>
      <c r="H7" s="85"/>
      <c r="J7" s="8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41</v>
      </c>
      <c r="E2" s="16"/>
      <c r="F2" s="16"/>
      <c r="G2" s="16"/>
      <c r="H2" s="16"/>
      <c r="I2" s="16"/>
      <c r="J2" s="17"/>
      <c r="K2" s="18">
        <v>2.5568436200000002E-05</v>
      </c>
      <c r="L2" s="18">
        <v>7.787117305840713E-08</v>
      </c>
      <c r="M2" s="18">
        <v>0.00015630492</v>
      </c>
      <c r="N2" s="19">
        <v>1.6930711326903734E-07</v>
      </c>
    </row>
    <row r="3" spans="1:14" ht="15" customHeight="1">
      <c r="A3" s="20" t="s">
        <v>4</v>
      </c>
      <c r="B3" s="21">
        <v>2</v>
      </c>
      <c r="D3" s="15" t="s">
        <v>42</v>
      </c>
      <c r="E3" s="16"/>
      <c r="F3" s="16"/>
      <c r="G3" s="16"/>
      <c r="H3" s="16"/>
      <c r="I3" s="16"/>
      <c r="J3" s="17"/>
      <c r="K3" s="18">
        <v>-3.1349789800000005E-05</v>
      </c>
      <c r="L3" s="18">
        <v>1.0832573503072668E-07</v>
      </c>
      <c r="M3" s="18">
        <v>1.5261520000000004E-05</v>
      </c>
      <c r="N3" s="19">
        <v>1.1156604590990868E-07</v>
      </c>
    </row>
    <row r="4" spans="1:14" ht="15" customHeight="1">
      <c r="A4" s="20" t="s">
        <v>5</v>
      </c>
      <c r="B4" s="21">
        <v>2</v>
      </c>
      <c r="D4" s="15" t="s">
        <v>43</v>
      </c>
      <c r="E4" s="16"/>
      <c r="F4" s="16"/>
      <c r="G4" s="16"/>
      <c r="H4" s="16"/>
      <c r="I4" s="16"/>
      <c r="J4" s="17"/>
      <c r="K4" s="18">
        <v>-0.0022492893878022185</v>
      </c>
      <c r="L4" s="18">
        <v>-2.833871999100341E-05</v>
      </c>
      <c r="M4" s="18">
        <v>5.7465989553044295E-08</v>
      </c>
      <c r="N4" s="19">
        <v>6.2991496</v>
      </c>
    </row>
    <row r="5" spans="1:14" ht="15" customHeight="1" thickBot="1">
      <c r="A5" t="s">
        <v>6</v>
      </c>
      <c r="B5" s="22">
        <v>37741.29394675926</v>
      </c>
      <c r="D5" s="23"/>
      <c r="E5" s="24" t="s">
        <v>44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1634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45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46</v>
      </c>
      <c r="E7" s="37" t="s">
        <v>47</v>
      </c>
      <c r="F7" s="38" t="s">
        <v>48</v>
      </c>
      <c r="G7" s="37" t="s">
        <v>49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-2.6593435</v>
      </c>
      <c r="E8" s="41">
        <v>0.014026819582564045</v>
      </c>
      <c r="F8" s="41">
        <v>1.7336177</v>
      </c>
      <c r="G8" s="41">
        <v>0.031432872691821746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-0.5314264000000001</v>
      </c>
      <c r="E9" s="43">
        <v>0.023241211901338904</v>
      </c>
      <c r="F9" s="43">
        <v>-0.7165588199999999</v>
      </c>
      <c r="G9" s="43">
        <v>0.028090249272705172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-0.31711378</v>
      </c>
      <c r="E10" s="43">
        <v>0.008713652393492139</v>
      </c>
      <c r="F10" s="47">
        <v>-2.5020811</v>
      </c>
      <c r="G10" s="43">
        <v>0.009289906643375609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1</v>
      </c>
      <c r="D11" s="40">
        <v>3.9281990999999996</v>
      </c>
      <c r="E11" s="41">
        <v>0.011070865270713154</v>
      </c>
      <c r="F11" s="41">
        <v>0.182368255</v>
      </c>
      <c r="G11" s="41">
        <v>0.006262637897951418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0.29693210999999997</v>
      </c>
      <c r="E12" s="43">
        <v>0.004962998623152683</v>
      </c>
      <c r="F12" s="43">
        <v>0.041322708</v>
      </c>
      <c r="G12" s="43">
        <v>0.009296920246384064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20.672608</v>
      </c>
      <c r="D13" s="46">
        <v>0.16999985</v>
      </c>
      <c r="E13" s="43">
        <v>0.005094660849578613</v>
      </c>
      <c r="F13" s="43">
        <v>0.08999573999999999</v>
      </c>
      <c r="G13" s="43">
        <v>0.004790041321054767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0.105764828</v>
      </c>
      <c r="E14" s="43">
        <v>0.004235498323624557</v>
      </c>
      <c r="F14" s="47">
        <v>0.5016706799999999</v>
      </c>
      <c r="G14" s="43">
        <v>0.002393108834470849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-0.44882022</v>
      </c>
      <c r="E15" s="41">
        <v>0.004696355241418396</v>
      </c>
      <c r="F15" s="41">
        <v>-0.013658000149999999</v>
      </c>
      <c r="G15" s="41">
        <v>0.003094902551173912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-0.0053190320000000004</v>
      </c>
      <c r="E16" s="43">
        <v>0.0012648547977756163</v>
      </c>
      <c r="F16" s="47">
        <v>-0.15853662000000002</v>
      </c>
      <c r="G16" s="43">
        <v>0.003516727862174187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-0.06199999898672104</v>
      </c>
      <c r="D17" s="50">
        <v>0.24851447</v>
      </c>
      <c r="E17" s="43">
        <v>0.0021903161878167807</v>
      </c>
      <c r="F17" s="43">
        <v>-0.04164496577</v>
      </c>
      <c r="G17" s="43">
        <v>0.002839280786415791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161.7429962158203</v>
      </c>
      <c r="D18" s="46">
        <v>0.029170512</v>
      </c>
      <c r="E18" s="43">
        <v>0.002193278406141387</v>
      </c>
      <c r="F18" s="47">
        <v>0.23116283</v>
      </c>
      <c r="G18" s="43">
        <v>0.0012433271418237429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-0.31299999356269836</v>
      </c>
      <c r="D19" s="50">
        <v>-0.18842781</v>
      </c>
      <c r="E19" s="43">
        <v>0.001363778797093186</v>
      </c>
      <c r="F19" s="43">
        <v>-0.004662023600000001</v>
      </c>
      <c r="G19" s="43">
        <v>0.002274766503180676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0.20807669999999998</v>
      </c>
      <c r="D20" s="52">
        <v>-0.0017571321600000002</v>
      </c>
      <c r="E20" s="53">
        <v>0.001357389338870688</v>
      </c>
      <c r="F20" s="53">
        <v>-0.0058911677</v>
      </c>
      <c r="G20" s="53">
        <v>0.0010529610408345907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1.1787284</v>
      </c>
      <c r="F21" s="56" t="s">
        <v>50</v>
      </c>
    </row>
    <row r="22" spans="1:6" ht="15" customHeight="1">
      <c r="A22" s="20" t="s">
        <v>31</v>
      </c>
      <c r="B22" s="35" t="s">
        <v>32</v>
      </c>
      <c r="F22" s="56" t="s">
        <v>51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52</v>
      </c>
      <c r="B24" s="60">
        <v>0.3609149914533723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53</v>
      </c>
      <c r="F25" s="66"/>
      <c r="G25" s="67"/>
      <c r="H25" s="68">
        <v>-2.2494678999999995</v>
      </c>
      <c r="I25" s="66" t="s">
        <v>54</v>
      </c>
      <c r="J25" s="67"/>
      <c r="K25" s="66"/>
      <c r="L25" s="69">
        <v>3.9324300819814395</v>
      </c>
    </row>
    <row r="26" spans="1:12" ht="18" customHeight="1" thickBot="1">
      <c r="A26" s="20" t="s">
        <v>36</v>
      </c>
      <c r="B26" s="21" t="s">
        <v>37</v>
      </c>
      <c r="E26" s="70" t="s">
        <v>55</v>
      </c>
      <c r="F26" s="71"/>
      <c r="G26" s="72"/>
      <c r="H26" s="73">
        <v>3.1745138495123215</v>
      </c>
      <c r="I26" s="71" t="s">
        <v>56</v>
      </c>
      <c r="J26" s="72"/>
      <c r="K26" s="71"/>
      <c r="L26" s="74">
        <v>0.4490279844830896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 t="s">
        <v>40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HCMQAP036_pos1ap2res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41</v>
      </c>
      <c r="E2" s="16"/>
      <c r="F2" s="16"/>
      <c r="G2" s="16"/>
      <c r="H2" s="16"/>
      <c r="I2" s="16"/>
      <c r="J2" s="17"/>
      <c r="K2" s="18">
        <v>6.595679E-05</v>
      </c>
      <c r="L2" s="18">
        <v>1.7793127993630965E-07</v>
      </c>
      <c r="M2" s="18">
        <v>0.0001965833</v>
      </c>
      <c r="N2" s="19">
        <v>1.6778336328190393E-07</v>
      </c>
    </row>
    <row r="3" spans="1:14" ht="15" customHeight="1">
      <c r="A3" s="20" t="s">
        <v>4</v>
      </c>
      <c r="B3" s="21">
        <v>2</v>
      </c>
      <c r="D3" s="15" t="s">
        <v>42</v>
      </c>
      <c r="E3" s="16"/>
      <c r="F3" s="16"/>
      <c r="G3" s="16"/>
      <c r="H3" s="16"/>
      <c r="I3" s="16"/>
      <c r="J3" s="17"/>
      <c r="K3" s="18">
        <v>-2.8937559999999996E-05</v>
      </c>
      <c r="L3" s="18">
        <v>1.154739464990965E-07</v>
      </c>
      <c r="M3" s="18">
        <v>1.3811320000000002E-05</v>
      </c>
      <c r="N3" s="19">
        <v>1.7549568256798026E-07</v>
      </c>
    </row>
    <row r="4" spans="1:14" ht="15" customHeight="1">
      <c r="A4" s="20" t="s">
        <v>5</v>
      </c>
      <c r="B4" s="21">
        <v>2</v>
      </c>
      <c r="D4" s="15" t="s">
        <v>43</v>
      </c>
      <c r="E4" s="16"/>
      <c r="F4" s="16"/>
      <c r="G4" s="16"/>
      <c r="H4" s="16"/>
      <c r="I4" s="16"/>
      <c r="J4" s="17"/>
      <c r="K4" s="18">
        <v>-0.0037612067990203135</v>
      </c>
      <c r="L4" s="18">
        <v>3.4703362852556683E-06</v>
      </c>
      <c r="M4" s="18">
        <v>3.5981096550159586E-08</v>
      </c>
      <c r="N4" s="19">
        <v>-0.46133269000000005</v>
      </c>
    </row>
    <row r="5" spans="1:14" ht="15" customHeight="1" thickBot="1">
      <c r="A5" t="s">
        <v>6</v>
      </c>
      <c r="B5" s="22">
        <v>37741.298634259256</v>
      </c>
      <c r="D5" s="23"/>
      <c r="E5" s="24" t="s">
        <v>61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1634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45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46</v>
      </c>
      <c r="E7" s="37" t="s">
        <v>47</v>
      </c>
      <c r="F7" s="38" t="s">
        <v>48</v>
      </c>
      <c r="G7" s="37" t="s">
        <v>49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0.39839936</v>
      </c>
      <c r="E8" s="41">
        <v>0.015254218456001</v>
      </c>
      <c r="F8" s="41">
        <v>3.0549968</v>
      </c>
      <c r="G8" s="41">
        <v>0.017237168783235394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0.04626941</v>
      </c>
      <c r="E9" s="43">
        <v>0.011493120749187319</v>
      </c>
      <c r="F9" s="43">
        <v>0.49762174000000003</v>
      </c>
      <c r="G9" s="43">
        <v>0.027643247229411763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-1.6524165</v>
      </c>
      <c r="E10" s="43">
        <v>0.002471525702804559</v>
      </c>
      <c r="F10" s="43">
        <v>-1.7428744999999999</v>
      </c>
      <c r="G10" s="43">
        <v>0.005526900351917872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2</v>
      </c>
      <c r="D11" s="40">
        <v>4.6364421</v>
      </c>
      <c r="E11" s="41">
        <v>0.004402027878089731</v>
      </c>
      <c r="F11" s="41">
        <v>-0.17652404000000002</v>
      </c>
      <c r="G11" s="41">
        <v>0.009058770765087085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0.14477055</v>
      </c>
      <c r="E12" s="43">
        <v>0.004651802176898594</v>
      </c>
      <c r="F12" s="43">
        <v>0.099033393</v>
      </c>
      <c r="G12" s="43">
        <v>0.002477240265475957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20.840455</v>
      </c>
      <c r="D13" s="46">
        <v>0.084819954</v>
      </c>
      <c r="E13" s="43">
        <v>0.00264510037121142</v>
      </c>
      <c r="F13" s="43">
        <v>0.11641678200000001</v>
      </c>
      <c r="G13" s="43">
        <v>0.0018891697635479321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0.04683825300000001</v>
      </c>
      <c r="E14" s="43">
        <v>0.002881751401069348</v>
      </c>
      <c r="F14" s="43">
        <v>0.061762825</v>
      </c>
      <c r="G14" s="43">
        <v>0.0034644540589780473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-0.05410637399999999</v>
      </c>
      <c r="E15" s="41">
        <v>0.003068680539219537</v>
      </c>
      <c r="F15" s="41">
        <v>0.048766657000000005</v>
      </c>
      <c r="G15" s="41">
        <v>0.0026475625070271815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-0.059631871</v>
      </c>
      <c r="E16" s="43">
        <v>0.0034005299275001494</v>
      </c>
      <c r="F16" s="43">
        <v>-0.037396818</v>
      </c>
      <c r="G16" s="43">
        <v>0.003718537826512707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0.4050000011920929</v>
      </c>
      <c r="D17" s="46">
        <v>0.11789366000000001</v>
      </c>
      <c r="E17" s="43">
        <v>0.0016175215965780288</v>
      </c>
      <c r="F17" s="43">
        <v>-0.08169806500000001</v>
      </c>
      <c r="G17" s="43">
        <v>0.002992069775369266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5.59499979019165</v>
      </c>
      <c r="D18" s="46">
        <v>0.05698608399999999</v>
      </c>
      <c r="E18" s="43">
        <v>0.0018781158766979164</v>
      </c>
      <c r="F18" s="47">
        <v>0.16381461000000003</v>
      </c>
      <c r="G18" s="43">
        <v>0.0010081394444198639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0.2879999876022339</v>
      </c>
      <c r="D19" s="50">
        <v>-0.17827799</v>
      </c>
      <c r="E19" s="43">
        <v>0.0008297255488417955</v>
      </c>
      <c r="F19" s="43">
        <v>0.0011836402999999998</v>
      </c>
      <c r="G19" s="43">
        <v>0.0014205765604158968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0.29731209999999997</v>
      </c>
      <c r="D20" s="52">
        <v>0.002110992002</v>
      </c>
      <c r="E20" s="53">
        <v>0.001095589350529179</v>
      </c>
      <c r="F20" s="53">
        <v>0.000826632338</v>
      </c>
      <c r="G20" s="53">
        <v>0.0012378933147783047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0.8887843</v>
      </c>
      <c r="F21" s="56" t="s">
        <v>50</v>
      </c>
    </row>
    <row r="22" spans="1:6" ht="15" customHeight="1">
      <c r="A22" s="20" t="s">
        <v>31</v>
      </c>
      <c r="B22" s="35" t="s">
        <v>32</v>
      </c>
      <c r="F22" s="56" t="s">
        <v>51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52</v>
      </c>
      <c r="B24" s="60">
        <v>-0.026432438414942753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53</v>
      </c>
      <c r="F25" s="66"/>
      <c r="G25" s="67"/>
      <c r="H25" s="68">
        <v>-3.7612084000000006</v>
      </c>
      <c r="I25" s="66" t="s">
        <v>54</v>
      </c>
      <c r="J25" s="67"/>
      <c r="K25" s="66"/>
      <c r="L25" s="69">
        <v>4.639801297830579</v>
      </c>
    </row>
    <row r="26" spans="1:12" ht="18" customHeight="1" thickBot="1">
      <c r="A26" s="20" t="s">
        <v>36</v>
      </c>
      <c r="B26" s="21" t="s">
        <v>37</v>
      </c>
      <c r="E26" s="70" t="s">
        <v>55</v>
      </c>
      <c r="F26" s="71"/>
      <c r="G26" s="72"/>
      <c r="H26" s="73">
        <v>3.080864732191053</v>
      </c>
      <c r="I26" s="71" t="s">
        <v>56</v>
      </c>
      <c r="J26" s="72"/>
      <c r="K26" s="71"/>
      <c r="L26" s="74">
        <v>0.07284014375592297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 t="s">
        <v>40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HCMQAP036_pos2ap2res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41</v>
      </c>
      <c r="E2" s="16"/>
      <c r="F2" s="16"/>
      <c r="G2" s="16"/>
      <c r="H2" s="16"/>
      <c r="I2" s="16"/>
      <c r="J2" s="17"/>
      <c r="K2" s="18">
        <v>3.2243870000000003E-06</v>
      </c>
      <c r="L2" s="18">
        <v>8.124096359597068E-08</v>
      </c>
      <c r="M2" s="18">
        <v>0.00017386558</v>
      </c>
      <c r="N2" s="19">
        <v>3.2880162650989684E-07</v>
      </c>
    </row>
    <row r="3" spans="1:14" ht="15" customHeight="1">
      <c r="A3" s="20" t="s">
        <v>4</v>
      </c>
      <c r="B3" s="21">
        <v>2</v>
      </c>
      <c r="D3" s="15" t="s">
        <v>42</v>
      </c>
      <c r="E3" s="16"/>
      <c r="F3" s="16"/>
      <c r="G3" s="16"/>
      <c r="H3" s="16"/>
      <c r="I3" s="16"/>
      <c r="J3" s="17"/>
      <c r="K3" s="18">
        <v>-2.7692019E-05</v>
      </c>
      <c r="L3" s="18">
        <v>6.692833222220193E-08</v>
      </c>
      <c r="M3" s="18">
        <v>1.099322E-05</v>
      </c>
      <c r="N3" s="19">
        <v>1.8758802093951144E-07</v>
      </c>
    </row>
    <row r="4" spans="1:14" ht="15" customHeight="1">
      <c r="A4" s="20" t="s">
        <v>5</v>
      </c>
      <c r="B4" s="21">
        <v>2</v>
      </c>
      <c r="D4" s="15" t="s">
        <v>43</v>
      </c>
      <c r="E4" s="16"/>
      <c r="F4" s="16"/>
      <c r="G4" s="16"/>
      <c r="H4" s="16"/>
      <c r="I4" s="16"/>
      <c r="J4" s="17"/>
      <c r="K4" s="18">
        <v>-0.0037603678050851306</v>
      </c>
      <c r="L4" s="18">
        <v>4.916532798498976E-05</v>
      </c>
      <c r="M4" s="18">
        <v>5.39153328680095E-08</v>
      </c>
      <c r="N4" s="19">
        <v>-6.5369306</v>
      </c>
    </row>
    <row r="5" spans="1:14" ht="15" customHeight="1" thickBot="1">
      <c r="A5" t="s">
        <v>6</v>
      </c>
      <c r="B5" s="22">
        <v>37741.3031712963</v>
      </c>
      <c r="D5" s="23"/>
      <c r="E5" s="24" t="s">
        <v>61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1634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45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46</v>
      </c>
      <c r="E7" s="37" t="s">
        <v>47</v>
      </c>
      <c r="F7" s="38" t="s">
        <v>48</v>
      </c>
      <c r="G7" s="37" t="s">
        <v>49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0.39064816</v>
      </c>
      <c r="E8" s="41">
        <v>0.01398785017089473</v>
      </c>
      <c r="F8" s="41">
        <v>1.8166964</v>
      </c>
      <c r="G8" s="41">
        <v>0.009203197446524827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0.0053167699999999984</v>
      </c>
      <c r="E9" s="43">
        <v>0.02788691168384553</v>
      </c>
      <c r="F9" s="43">
        <v>-0.8271615600000001</v>
      </c>
      <c r="G9" s="43">
        <v>0.01225062952812154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-0.9378169999999999</v>
      </c>
      <c r="E10" s="43">
        <v>0.004791713250505511</v>
      </c>
      <c r="F10" s="43">
        <v>-1.6838535000000001</v>
      </c>
      <c r="G10" s="43">
        <v>0.009126413841158029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3</v>
      </c>
      <c r="D11" s="40">
        <v>4.5222983999999995</v>
      </c>
      <c r="E11" s="41">
        <v>0.008375077978247962</v>
      </c>
      <c r="F11" s="41">
        <v>-0.15387321999999998</v>
      </c>
      <c r="G11" s="41">
        <v>0.004885483217513199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0.07530632000000001</v>
      </c>
      <c r="E12" s="43">
        <v>0.0031544460429222486</v>
      </c>
      <c r="F12" s="43">
        <v>0.117708496</v>
      </c>
      <c r="G12" s="43">
        <v>0.005331391920246176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21.044922</v>
      </c>
      <c r="D13" s="46">
        <v>0.06852741666</v>
      </c>
      <c r="E13" s="43">
        <v>0.0032799463442079327</v>
      </c>
      <c r="F13" s="43">
        <v>0.16775794000000002</v>
      </c>
      <c r="G13" s="43">
        <v>0.002734895473942784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-0.0069654396000000006</v>
      </c>
      <c r="E14" s="43">
        <v>0.0028186701381546116</v>
      </c>
      <c r="F14" s="43">
        <v>0.059552421999999994</v>
      </c>
      <c r="G14" s="43">
        <v>0.0049100207902336495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-0.031458479</v>
      </c>
      <c r="E15" s="41">
        <v>0.001910609357902312</v>
      </c>
      <c r="F15" s="41">
        <v>0.00586591511</v>
      </c>
      <c r="G15" s="41">
        <v>0.0008861177751504848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0.0001662709999999996</v>
      </c>
      <c r="E16" s="43">
        <v>0.0022232559683837577</v>
      </c>
      <c r="F16" s="43">
        <v>-0.020249631</v>
      </c>
      <c r="G16" s="43">
        <v>0.0016244552957018958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-0.19499999284744263</v>
      </c>
      <c r="D17" s="46">
        <v>0.10103104200000002</v>
      </c>
      <c r="E17" s="43">
        <v>0.0014930008716021134</v>
      </c>
      <c r="F17" s="43">
        <v>0.011559116999999999</v>
      </c>
      <c r="G17" s="43">
        <v>0.0019984195174089937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107.31999969482422</v>
      </c>
      <c r="D18" s="46">
        <v>0.016405393499999997</v>
      </c>
      <c r="E18" s="43">
        <v>0.0007857388684890597</v>
      </c>
      <c r="F18" s="43">
        <v>0.14434249</v>
      </c>
      <c r="G18" s="43">
        <v>0.0009803890775606904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-0.41999998688697815</v>
      </c>
      <c r="D19" s="50">
        <v>-0.1776847</v>
      </c>
      <c r="E19" s="43">
        <v>0.0019040069921077716</v>
      </c>
      <c r="F19" s="43">
        <v>0.0018962551000000002</v>
      </c>
      <c r="G19" s="43">
        <v>0.0011922828911531613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0.0043152</v>
      </c>
      <c r="D20" s="52">
        <v>0.00039375509000000005</v>
      </c>
      <c r="E20" s="53">
        <v>0.0006895280670941207</v>
      </c>
      <c r="F20" s="53">
        <v>0.00092668776</v>
      </c>
      <c r="G20" s="53">
        <v>0.0011148397358779036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0.7860759</v>
      </c>
      <c r="F21" s="56" t="s">
        <v>50</v>
      </c>
    </row>
    <row r="22" spans="1:6" ht="15" customHeight="1">
      <c r="A22" s="20" t="s">
        <v>31</v>
      </c>
      <c r="B22" s="35" t="s">
        <v>32</v>
      </c>
      <c r="F22" s="56" t="s">
        <v>51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52</v>
      </c>
      <c r="B24" s="60">
        <v>-0.37453885070935417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53</v>
      </c>
      <c r="F25" s="66"/>
      <c r="G25" s="67"/>
      <c r="H25" s="68">
        <v>-3.7606891999999994</v>
      </c>
      <c r="I25" s="66" t="s">
        <v>54</v>
      </c>
      <c r="J25" s="67"/>
      <c r="K25" s="66"/>
      <c r="L25" s="69">
        <v>4.524915445229416</v>
      </c>
    </row>
    <row r="26" spans="1:12" ht="18" customHeight="1" thickBot="1">
      <c r="A26" s="20" t="s">
        <v>36</v>
      </c>
      <c r="B26" s="21" t="s">
        <v>37</v>
      </c>
      <c r="E26" s="70" t="s">
        <v>55</v>
      </c>
      <c r="F26" s="71"/>
      <c r="G26" s="72"/>
      <c r="H26" s="73">
        <v>1.8582227516324155</v>
      </c>
      <c r="I26" s="71" t="s">
        <v>56</v>
      </c>
      <c r="J26" s="72"/>
      <c r="K26" s="71"/>
      <c r="L26" s="74">
        <v>0.03200070094656002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 t="s">
        <v>40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HCMQAP036_pos3ap2res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41</v>
      </c>
      <c r="E2" s="16"/>
      <c r="F2" s="16"/>
      <c r="G2" s="16"/>
      <c r="H2" s="16"/>
      <c r="I2" s="16"/>
      <c r="J2" s="17"/>
      <c r="K2" s="18">
        <v>5.359571E-05</v>
      </c>
      <c r="L2" s="18">
        <v>3.238065640319675E-07</v>
      </c>
      <c r="M2" s="18">
        <v>0.00019817934999999997</v>
      </c>
      <c r="N2" s="19">
        <v>3.040012911510058E-07</v>
      </c>
    </row>
    <row r="3" spans="1:14" ht="15" customHeight="1">
      <c r="A3" s="20" t="s">
        <v>4</v>
      </c>
      <c r="B3" s="21">
        <v>2</v>
      </c>
      <c r="D3" s="15" t="s">
        <v>42</v>
      </c>
      <c r="E3" s="16"/>
      <c r="F3" s="16"/>
      <c r="G3" s="16"/>
      <c r="H3" s="16"/>
      <c r="I3" s="16"/>
      <c r="J3" s="17"/>
      <c r="K3" s="18">
        <v>-2.7986866E-05</v>
      </c>
      <c r="L3" s="18">
        <v>1.8310706724170332E-07</v>
      </c>
      <c r="M3" s="18">
        <v>9.284450000000006E-06</v>
      </c>
      <c r="N3" s="19">
        <v>9.84141504053343E-08</v>
      </c>
    </row>
    <row r="4" spans="1:14" ht="15" customHeight="1">
      <c r="A4" s="20" t="s">
        <v>5</v>
      </c>
      <c r="B4" s="21">
        <v>2</v>
      </c>
      <c r="D4" s="15" t="s">
        <v>43</v>
      </c>
      <c r="E4" s="16"/>
      <c r="F4" s="16"/>
      <c r="G4" s="16"/>
      <c r="H4" s="16"/>
      <c r="I4" s="16"/>
      <c r="J4" s="17"/>
      <c r="K4" s="18">
        <v>-0.003759325955058811</v>
      </c>
      <c r="L4" s="18">
        <v>9.348725025583107E-05</v>
      </c>
      <c r="M4" s="18">
        <v>7.159513141143385E-08</v>
      </c>
      <c r="N4" s="19">
        <v>-12.431481999999999</v>
      </c>
    </row>
    <row r="5" spans="1:14" ht="15" customHeight="1" thickBot="1">
      <c r="A5" t="s">
        <v>6</v>
      </c>
      <c r="B5" s="22">
        <v>37741.30768518519</v>
      </c>
      <c r="D5" s="23"/>
      <c r="E5" s="24" t="s">
        <v>66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1634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45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46</v>
      </c>
      <c r="E7" s="37" t="s">
        <v>47</v>
      </c>
      <c r="F7" s="38" t="s">
        <v>48</v>
      </c>
      <c r="G7" s="37" t="s">
        <v>49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40">
        <v>-1.9855269</v>
      </c>
      <c r="E8" s="41">
        <v>0.013644847725024651</v>
      </c>
      <c r="F8" s="41">
        <v>1.5671706999999997</v>
      </c>
      <c r="G8" s="41">
        <v>0.012271293927727848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-0.45145737300000005</v>
      </c>
      <c r="E9" s="43">
        <v>0.016090764780244928</v>
      </c>
      <c r="F9" s="43">
        <v>-1.4816182</v>
      </c>
      <c r="G9" s="43">
        <v>0.02278852688876695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-0.3816097</v>
      </c>
      <c r="E10" s="43">
        <v>0.007808145868256588</v>
      </c>
      <c r="F10" s="43">
        <v>-2.1979334</v>
      </c>
      <c r="G10" s="43">
        <v>0.0041545156444610185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4</v>
      </c>
      <c r="D11" s="40">
        <v>4.4231774999999995</v>
      </c>
      <c r="E11" s="41">
        <v>0.005115585313689812</v>
      </c>
      <c r="F11" s="41">
        <v>0.37212513999999997</v>
      </c>
      <c r="G11" s="41">
        <v>0.006091217100909789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-0.24464904</v>
      </c>
      <c r="E12" s="43">
        <v>0.003252096940650883</v>
      </c>
      <c r="F12" s="43">
        <v>0.11058769399999999</v>
      </c>
      <c r="G12" s="43">
        <v>0.002202560207426019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21.252442</v>
      </c>
      <c r="D13" s="46">
        <v>0.031882444</v>
      </c>
      <c r="E13" s="43">
        <v>0.002886464998558585</v>
      </c>
      <c r="F13" s="43">
        <v>-0.16647065</v>
      </c>
      <c r="G13" s="43">
        <v>0.003078085681230397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0.054511254999999995</v>
      </c>
      <c r="E14" s="43">
        <v>0.003771170764504104</v>
      </c>
      <c r="F14" s="43">
        <v>0.067058435</v>
      </c>
      <c r="G14" s="43">
        <v>0.002725332456455893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-0.00464415475</v>
      </c>
      <c r="E15" s="41">
        <v>0.0027264881303376612</v>
      </c>
      <c r="F15" s="41">
        <v>0.03974720599999999</v>
      </c>
      <c r="G15" s="41">
        <v>0.001616682912331361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-0.10095612299999998</v>
      </c>
      <c r="E16" s="43">
        <v>0.0013495505135296198</v>
      </c>
      <c r="F16" s="43">
        <v>-0.030076985</v>
      </c>
      <c r="G16" s="43">
        <v>0.001242796486907562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0.3440000116825104</v>
      </c>
      <c r="D17" s="46">
        <v>0.1252162</v>
      </c>
      <c r="E17" s="43">
        <v>0.001941807313561137</v>
      </c>
      <c r="F17" s="43">
        <v>-0.09846215</v>
      </c>
      <c r="G17" s="43">
        <v>0.0011239600871214193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-4.068999767303467</v>
      </c>
      <c r="D18" s="46">
        <v>0.04917669499999999</v>
      </c>
      <c r="E18" s="43">
        <v>0.0016793669854950316</v>
      </c>
      <c r="F18" s="47">
        <v>0.16297297</v>
      </c>
      <c r="G18" s="43">
        <v>0.0021951961013993017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-0.05400000140070915</v>
      </c>
      <c r="D19" s="50">
        <v>-0.17500405</v>
      </c>
      <c r="E19" s="43">
        <v>0.001610130022388707</v>
      </c>
      <c r="F19" s="43">
        <v>0.0033193983509999998</v>
      </c>
      <c r="G19" s="43">
        <v>0.001187479785729076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0.2199344</v>
      </c>
      <c r="D20" s="52">
        <v>-0.00189731337</v>
      </c>
      <c r="E20" s="53">
        <v>0.0007565043068575263</v>
      </c>
      <c r="F20" s="53">
        <v>-0.000572018028</v>
      </c>
      <c r="G20" s="53">
        <v>0.001259286684344658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0.9016479000000001</v>
      </c>
      <c r="F21" s="56" t="s">
        <v>50</v>
      </c>
    </row>
    <row r="22" spans="1:6" ht="15" customHeight="1">
      <c r="A22" s="20" t="s">
        <v>31</v>
      </c>
      <c r="B22" s="35" t="s">
        <v>32</v>
      </c>
      <c r="F22" s="56" t="s">
        <v>51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52</v>
      </c>
      <c r="B24" s="60">
        <v>-0.7122720533233171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53</v>
      </c>
      <c r="F25" s="66"/>
      <c r="G25" s="67"/>
      <c r="H25" s="68">
        <v>-3.7604881999999997</v>
      </c>
      <c r="I25" s="66" t="s">
        <v>54</v>
      </c>
      <c r="J25" s="67"/>
      <c r="K25" s="66"/>
      <c r="L25" s="69">
        <v>4.4388034780024075</v>
      </c>
    </row>
    <row r="26" spans="1:12" ht="18" customHeight="1" thickBot="1">
      <c r="A26" s="20" t="s">
        <v>36</v>
      </c>
      <c r="B26" s="21" t="s">
        <v>37</v>
      </c>
      <c r="E26" s="70" t="s">
        <v>55</v>
      </c>
      <c r="F26" s="71"/>
      <c r="G26" s="72"/>
      <c r="H26" s="73">
        <v>2.529494232759209</v>
      </c>
      <c r="I26" s="71" t="s">
        <v>56</v>
      </c>
      <c r="J26" s="72"/>
      <c r="K26" s="71"/>
      <c r="L26" s="74">
        <v>0.04001760310348913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 t="s">
        <v>40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HCMQAP036_pos4ap2res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41</v>
      </c>
      <c r="E2" s="16"/>
      <c r="F2" s="16"/>
      <c r="G2" s="16"/>
      <c r="H2" s="16"/>
      <c r="I2" s="16"/>
      <c r="J2" s="17"/>
      <c r="K2" s="18">
        <v>-3.00570636054E-05</v>
      </c>
      <c r="L2" s="18">
        <v>9.25193217413268E-08</v>
      </c>
      <c r="M2" s="18">
        <v>0.00014580171999999998</v>
      </c>
      <c r="N2" s="19">
        <v>2.621347680096826E-07</v>
      </c>
    </row>
    <row r="3" spans="1:14" ht="15" customHeight="1">
      <c r="A3" s="20" t="s">
        <v>4</v>
      </c>
      <c r="B3" s="21">
        <v>2</v>
      </c>
      <c r="D3" s="15" t="s">
        <v>42</v>
      </c>
      <c r="E3" s="16"/>
      <c r="F3" s="16"/>
      <c r="G3" s="16"/>
      <c r="H3" s="16"/>
      <c r="I3" s="16"/>
      <c r="J3" s="17"/>
      <c r="K3" s="18">
        <v>-2.9954174394599996E-05</v>
      </c>
      <c r="L3" s="18">
        <v>9.098525794238946E-08</v>
      </c>
      <c r="M3" s="18">
        <v>8.19478E-06</v>
      </c>
      <c r="N3" s="19">
        <v>1.7278443969293237E-07</v>
      </c>
    </row>
    <row r="4" spans="1:14" ht="15" customHeight="1">
      <c r="A4" s="20" t="s">
        <v>5</v>
      </c>
      <c r="B4" s="21">
        <v>2</v>
      </c>
      <c r="D4" s="15" t="s">
        <v>43</v>
      </c>
      <c r="E4" s="16"/>
      <c r="F4" s="16"/>
      <c r="G4" s="16"/>
      <c r="H4" s="16"/>
      <c r="I4" s="16"/>
      <c r="J4" s="17"/>
      <c r="K4" s="18">
        <v>-0.0020968437535619014</v>
      </c>
      <c r="L4" s="18">
        <v>6.989048873543209E-05</v>
      </c>
      <c r="M4" s="18">
        <v>2.8847171780801282E-08</v>
      </c>
      <c r="N4" s="19">
        <v>-16.659473000000002</v>
      </c>
    </row>
    <row r="5" spans="1:14" ht="15" customHeight="1" thickBot="1">
      <c r="A5" t="s">
        <v>6</v>
      </c>
      <c r="B5" s="22">
        <v>37741.31219907408</v>
      </c>
      <c r="D5" s="23"/>
      <c r="E5" s="24" t="s">
        <v>69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1634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45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46</v>
      </c>
      <c r="E7" s="37" t="s">
        <v>47</v>
      </c>
      <c r="F7" s="38" t="s">
        <v>48</v>
      </c>
      <c r="G7" s="37" t="s">
        <v>49</v>
      </c>
      <c r="H7" s="39"/>
      <c r="I7" s="142" t="s">
        <v>12</v>
      </c>
      <c r="J7" s="143"/>
      <c r="K7" s="142" t="s">
        <v>13</v>
      </c>
      <c r="L7" s="143"/>
      <c r="M7" s="142" t="s">
        <v>14</v>
      </c>
      <c r="N7" s="144"/>
    </row>
    <row r="8" spans="1:14" ht="15" customHeight="1">
      <c r="A8" s="20" t="s">
        <v>15</v>
      </c>
      <c r="B8" s="35" t="s">
        <v>16</v>
      </c>
      <c r="D8" s="80">
        <v>-7.746335199999999</v>
      </c>
      <c r="E8" s="41">
        <v>0.010691032835038984</v>
      </c>
      <c r="F8" s="81">
        <v>7.680368199999999</v>
      </c>
      <c r="G8" s="41">
        <v>0.010954302728684294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50">
        <v>-3.9591883</v>
      </c>
      <c r="E9" s="43">
        <v>0.022697741093726076</v>
      </c>
      <c r="F9" s="47">
        <v>-4.4203936</v>
      </c>
      <c r="G9" s="43">
        <v>0.028921548558838137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50">
        <v>3.8577290000000004</v>
      </c>
      <c r="E10" s="43">
        <v>0.006168892874690763</v>
      </c>
      <c r="F10" s="47">
        <v>-10.971087</v>
      </c>
      <c r="G10" s="43">
        <v>0.01608878976232729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5</v>
      </c>
      <c r="D11" s="80">
        <v>14.720271</v>
      </c>
      <c r="E11" s="41">
        <v>0.009946353303268663</v>
      </c>
      <c r="F11" s="41">
        <v>1.2878992</v>
      </c>
      <c r="G11" s="41">
        <v>0.008819335295811994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-0.22837495999999996</v>
      </c>
      <c r="E12" s="43">
        <v>0.014413503760898089</v>
      </c>
      <c r="F12" s="43">
        <v>0.47225747</v>
      </c>
      <c r="G12" s="43">
        <v>0.006652944036860585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21.417237</v>
      </c>
      <c r="D13" s="46">
        <v>0.20664499999999997</v>
      </c>
      <c r="E13" s="43">
        <v>0.006384461233026292</v>
      </c>
      <c r="F13" s="43">
        <v>-0.18269464</v>
      </c>
      <c r="G13" s="43">
        <v>0.007584275888270322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0.22795666000000003</v>
      </c>
      <c r="E14" s="43">
        <v>0.0053677075689146005</v>
      </c>
      <c r="F14" s="47">
        <v>0.42690966999999996</v>
      </c>
      <c r="G14" s="43">
        <v>0.004378748295420189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-0.26838061</v>
      </c>
      <c r="E15" s="41">
        <v>0.003734070417035022</v>
      </c>
      <c r="F15" s="41">
        <v>0.17524039</v>
      </c>
      <c r="G15" s="41">
        <v>0.003265063109252298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12.505</v>
      </c>
      <c r="D16" s="46">
        <v>0.036540697600000005</v>
      </c>
      <c r="E16" s="43">
        <v>0.0020430867958719967</v>
      </c>
      <c r="F16" s="43">
        <v>-0.032094275</v>
      </c>
      <c r="G16" s="43">
        <v>0.0034692036376955645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-0.10700000077486038</v>
      </c>
      <c r="D17" s="46">
        <v>0.13065306</v>
      </c>
      <c r="E17" s="43">
        <v>0.0036674666146275046</v>
      </c>
      <c r="F17" s="43">
        <v>0.099743991</v>
      </c>
      <c r="G17" s="43">
        <v>0.001914493605606474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85.95800018310547</v>
      </c>
      <c r="D18" s="46">
        <v>-0.067992831</v>
      </c>
      <c r="E18" s="43">
        <v>0.0016044659818002754</v>
      </c>
      <c r="F18" s="82">
        <v>0.14920327</v>
      </c>
      <c r="G18" s="43">
        <v>0.001354562244268535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-0.37400001287460327</v>
      </c>
      <c r="D19" s="46">
        <v>-0.13691966</v>
      </c>
      <c r="E19" s="43">
        <v>0.0010608957292789236</v>
      </c>
      <c r="F19" s="43">
        <v>-0.021399948</v>
      </c>
      <c r="G19" s="43">
        <v>0.0018526930661947162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-0.2828892</v>
      </c>
      <c r="D20" s="52">
        <v>-0.0057614999</v>
      </c>
      <c r="E20" s="53">
        <v>0.0009484420078176306</v>
      </c>
      <c r="F20" s="53">
        <v>0.00290836878</v>
      </c>
      <c r="G20" s="53">
        <v>0.002418465484243295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1.1726268999999998</v>
      </c>
      <c r="F21" s="56" t="s">
        <v>50</v>
      </c>
    </row>
    <row r="22" spans="1:6" ht="15" customHeight="1">
      <c r="A22" s="20" t="s">
        <v>31</v>
      </c>
      <c r="B22" s="35" t="s">
        <v>32</v>
      </c>
      <c r="F22" s="56" t="s">
        <v>51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52</v>
      </c>
      <c r="B24" s="60">
        <v>-0.9545182980592631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53</v>
      </c>
      <c r="F25" s="66"/>
      <c r="G25" s="67"/>
      <c r="H25" s="68">
        <v>-2.0980082</v>
      </c>
      <c r="I25" s="66" t="s">
        <v>54</v>
      </c>
      <c r="J25" s="67"/>
      <c r="K25" s="66"/>
      <c r="L25" s="69">
        <v>14.776503736094057</v>
      </c>
    </row>
    <row r="26" spans="1:12" ht="18" customHeight="1" thickBot="1">
      <c r="A26" s="20" t="s">
        <v>36</v>
      </c>
      <c r="B26" s="21" t="s">
        <v>37</v>
      </c>
      <c r="E26" s="70" t="s">
        <v>55</v>
      </c>
      <c r="F26" s="71"/>
      <c r="G26" s="72"/>
      <c r="H26" s="73">
        <v>10.90842631722515</v>
      </c>
      <c r="I26" s="71" t="s">
        <v>56</v>
      </c>
      <c r="J26" s="72"/>
      <c r="K26" s="71"/>
      <c r="L26" s="74">
        <v>0.3205266698908598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 t="s">
        <v>40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HCMQAP036_pos5ap2res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12" t="s">
        <v>109</v>
      </c>
      <c r="B1" s="104" t="s">
        <v>57</v>
      </c>
      <c r="C1" s="94" t="s">
        <v>62</v>
      </c>
      <c r="D1" s="94" t="s">
        <v>64</v>
      </c>
      <c r="E1" s="94" t="s">
        <v>67</v>
      </c>
      <c r="F1" s="101" t="s">
        <v>70</v>
      </c>
      <c r="G1" s="137" t="s">
        <v>110</v>
      </c>
    </row>
    <row r="2" spans="1:7" ht="13.5" thickBot="1">
      <c r="A2" s="113" t="s">
        <v>79</v>
      </c>
      <c r="B2" s="105">
        <v>-2.2494678999999995</v>
      </c>
      <c r="C2" s="96">
        <v>-3.7612084000000006</v>
      </c>
      <c r="D2" s="96">
        <v>-3.7606891999999994</v>
      </c>
      <c r="E2" s="96">
        <v>-3.7604881999999997</v>
      </c>
      <c r="F2" s="102">
        <v>-2.0980082</v>
      </c>
      <c r="G2" s="138">
        <v>3.1165837562858383</v>
      </c>
    </row>
    <row r="3" spans="1:7" ht="14.25" thickBot="1" thickTop="1">
      <c r="A3" s="121" t="s">
        <v>78</v>
      </c>
      <c r="B3" s="122" t="s">
        <v>73</v>
      </c>
      <c r="C3" s="123" t="s">
        <v>74</v>
      </c>
      <c r="D3" s="123" t="s">
        <v>75</v>
      </c>
      <c r="E3" s="123" t="s">
        <v>76</v>
      </c>
      <c r="F3" s="124" t="s">
        <v>77</v>
      </c>
      <c r="G3" s="132" t="s">
        <v>111</v>
      </c>
    </row>
    <row r="4" spans="1:7" ht="12.75">
      <c r="A4" s="118" t="s">
        <v>80</v>
      </c>
      <c r="B4" s="119">
        <v>-2.6593435</v>
      </c>
      <c r="C4" s="120">
        <v>0.39839936</v>
      </c>
      <c r="D4" s="120">
        <v>0.39064816</v>
      </c>
      <c r="E4" s="120">
        <v>-1.9855269</v>
      </c>
      <c r="F4" s="125">
        <v>-7.746335199999999</v>
      </c>
      <c r="G4" s="133">
        <v>-1.7103774762338988</v>
      </c>
    </row>
    <row r="5" spans="1:7" ht="12.75">
      <c r="A5" s="113" t="s">
        <v>82</v>
      </c>
      <c r="B5" s="107">
        <v>-0.5314264000000001</v>
      </c>
      <c r="C5" s="91">
        <v>0.04626941</v>
      </c>
      <c r="D5" s="91">
        <v>0.0053167699999999984</v>
      </c>
      <c r="E5" s="91">
        <v>-0.45145737300000005</v>
      </c>
      <c r="F5" s="126">
        <v>-3.9591883</v>
      </c>
      <c r="G5" s="134">
        <v>-0.7041337107177634</v>
      </c>
    </row>
    <row r="6" spans="1:7" ht="12.75">
      <c r="A6" s="113" t="s">
        <v>84</v>
      </c>
      <c r="B6" s="107">
        <v>-0.31711378</v>
      </c>
      <c r="C6" s="91">
        <v>-1.6524165</v>
      </c>
      <c r="D6" s="91">
        <v>-0.9378169999999999</v>
      </c>
      <c r="E6" s="91">
        <v>-0.3816097</v>
      </c>
      <c r="F6" s="126">
        <v>3.8577290000000004</v>
      </c>
      <c r="G6" s="134">
        <v>-0.24291641699088848</v>
      </c>
    </row>
    <row r="7" spans="1:7" ht="12.75">
      <c r="A7" s="113" t="s">
        <v>86</v>
      </c>
      <c r="B7" s="106">
        <v>3.9281990999999996</v>
      </c>
      <c r="C7" s="90">
        <v>4.6364421</v>
      </c>
      <c r="D7" s="90">
        <v>4.5222983999999995</v>
      </c>
      <c r="E7" s="90">
        <v>4.4231774999999995</v>
      </c>
      <c r="F7" s="127">
        <v>14.720271</v>
      </c>
      <c r="G7" s="134">
        <v>5.80929621421847</v>
      </c>
    </row>
    <row r="8" spans="1:7" ht="12.75">
      <c r="A8" s="113" t="s">
        <v>88</v>
      </c>
      <c r="B8" s="107">
        <v>0.29693210999999997</v>
      </c>
      <c r="C8" s="91">
        <v>0.14477055</v>
      </c>
      <c r="D8" s="91">
        <v>0.07530632000000001</v>
      </c>
      <c r="E8" s="91">
        <v>-0.24464904</v>
      </c>
      <c r="F8" s="128">
        <v>-0.22837495999999996</v>
      </c>
      <c r="G8" s="134">
        <v>0.006175534804733813</v>
      </c>
    </row>
    <row r="9" spans="1:7" ht="12.75">
      <c r="A9" s="113" t="s">
        <v>90</v>
      </c>
      <c r="B9" s="107">
        <v>0.16999985</v>
      </c>
      <c r="C9" s="91">
        <v>0.084819954</v>
      </c>
      <c r="D9" s="91">
        <v>0.06852741666</v>
      </c>
      <c r="E9" s="91">
        <v>0.031882444</v>
      </c>
      <c r="F9" s="128">
        <v>0.20664499999999997</v>
      </c>
      <c r="G9" s="134">
        <v>0.09677510354250483</v>
      </c>
    </row>
    <row r="10" spans="1:7" ht="12.75">
      <c r="A10" s="113" t="s">
        <v>92</v>
      </c>
      <c r="B10" s="107">
        <v>0.105764828</v>
      </c>
      <c r="C10" s="91">
        <v>0.04683825300000001</v>
      </c>
      <c r="D10" s="91">
        <v>-0.0069654396000000006</v>
      </c>
      <c r="E10" s="91">
        <v>0.054511254999999995</v>
      </c>
      <c r="F10" s="128">
        <v>0.22795666000000003</v>
      </c>
      <c r="G10" s="134">
        <v>0.06853112603651841</v>
      </c>
    </row>
    <row r="11" spans="1:7" ht="12.75">
      <c r="A11" s="113" t="s">
        <v>94</v>
      </c>
      <c r="B11" s="106">
        <v>-0.44882022</v>
      </c>
      <c r="C11" s="90">
        <v>-0.05410637399999999</v>
      </c>
      <c r="D11" s="90">
        <v>-0.031458479</v>
      </c>
      <c r="E11" s="90">
        <v>-0.00464415475</v>
      </c>
      <c r="F11" s="129">
        <v>-0.26838061</v>
      </c>
      <c r="G11" s="134">
        <v>-0.12232651895691782</v>
      </c>
    </row>
    <row r="12" spans="1:7" ht="12.75">
      <c r="A12" s="113" t="s">
        <v>96</v>
      </c>
      <c r="B12" s="107">
        <v>-0.0053190320000000004</v>
      </c>
      <c r="C12" s="91">
        <v>-0.059631871</v>
      </c>
      <c r="D12" s="91">
        <v>0.0001662709999999996</v>
      </c>
      <c r="E12" s="91">
        <v>-0.10095612299999998</v>
      </c>
      <c r="F12" s="128">
        <v>0.036540697600000005</v>
      </c>
      <c r="G12" s="134">
        <v>-0.03446026726331755</v>
      </c>
    </row>
    <row r="13" spans="1:7" ht="12.75">
      <c r="A13" s="113" t="s">
        <v>98</v>
      </c>
      <c r="B13" s="108">
        <v>0.24851447</v>
      </c>
      <c r="C13" s="91">
        <v>0.11789366000000001</v>
      </c>
      <c r="D13" s="91">
        <v>0.10103104200000002</v>
      </c>
      <c r="E13" s="91">
        <v>0.1252162</v>
      </c>
      <c r="F13" s="128">
        <v>0.13065306</v>
      </c>
      <c r="G13" s="135">
        <v>0.13610993770503726</v>
      </c>
    </row>
    <row r="14" spans="1:7" ht="12.75">
      <c r="A14" s="113" t="s">
        <v>100</v>
      </c>
      <c r="B14" s="107">
        <v>0.029170512</v>
      </c>
      <c r="C14" s="91">
        <v>0.05698608399999999</v>
      </c>
      <c r="D14" s="91">
        <v>0.016405393499999997</v>
      </c>
      <c r="E14" s="91">
        <v>0.04917669499999999</v>
      </c>
      <c r="F14" s="128">
        <v>-0.067992831</v>
      </c>
      <c r="G14" s="134">
        <v>0.02456382027501825</v>
      </c>
    </row>
    <row r="15" spans="1:7" ht="12.75">
      <c r="A15" s="113" t="s">
        <v>102</v>
      </c>
      <c r="B15" s="108">
        <v>-0.18842781</v>
      </c>
      <c r="C15" s="92">
        <v>-0.17827799</v>
      </c>
      <c r="D15" s="92">
        <v>-0.1776847</v>
      </c>
      <c r="E15" s="92">
        <v>-0.17500405</v>
      </c>
      <c r="F15" s="128">
        <v>-0.13691966</v>
      </c>
      <c r="G15" s="134">
        <v>-0.17325675476883623</v>
      </c>
    </row>
    <row r="16" spans="1:7" ht="12.75">
      <c r="A16" s="113" t="s">
        <v>104</v>
      </c>
      <c r="B16" s="107">
        <v>-0.0017571321600000002</v>
      </c>
      <c r="C16" s="91">
        <v>0.002110992002</v>
      </c>
      <c r="D16" s="91">
        <v>0.00039375509000000005</v>
      </c>
      <c r="E16" s="91">
        <v>-0.00189731337</v>
      </c>
      <c r="F16" s="128">
        <v>-0.0057614999</v>
      </c>
      <c r="G16" s="134">
        <v>-0.0008800103089459051</v>
      </c>
    </row>
    <row r="17" spans="1:7" ht="12.75">
      <c r="A17" s="113" t="s">
        <v>81</v>
      </c>
      <c r="B17" s="106">
        <v>1.7336177</v>
      </c>
      <c r="C17" s="90">
        <v>3.0549968</v>
      </c>
      <c r="D17" s="90">
        <v>1.8166964</v>
      </c>
      <c r="E17" s="90">
        <v>1.5671706999999997</v>
      </c>
      <c r="F17" s="127">
        <v>7.680368199999999</v>
      </c>
      <c r="G17" s="134">
        <v>2.8297773962845323</v>
      </c>
    </row>
    <row r="18" spans="1:7" ht="12.75">
      <c r="A18" s="113" t="s">
        <v>83</v>
      </c>
      <c r="B18" s="107">
        <v>-0.7165588199999999</v>
      </c>
      <c r="C18" s="91">
        <v>0.49762174000000003</v>
      </c>
      <c r="D18" s="91">
        <v>-0.8271615600000001</v>
      </c>
      <c r="E18" s="91">
        <v>-1.4816182</v>
      </c>
      <c r="F18" s="126">
        <v>-4.4203936</v>
      </c>
      <c r="G18" s="134">
        <v>-1.132226530992009</v>
      </c>
    </row>
    <row r="19" spans="1:7" ht="12.75">
      <c r="A19" s="113" t="s">
        <v>85</v>
      </c>
      <c r="B19" s="108">
        <v>-2.5020811</v>
      </c>
      <c r="C19" s="91">
        <v>-1.7428744999999999</v>
      </c>
      <c r="D19" s="91">
        <v>-1.6838535000000001</v>
      </c>
      <c r="E19" s="91">
        <v>-2.1979334</v>
      </c>
      <c r="F19" s="126">
        <v>-10.971087</v>
      </c>
      <c r="G19" s="135">
        <v>-3.1861348757677743</v>
      </c>
    </row>
    <row r="20" spans="1:7" ht="12.75">
      <c r="A20" s="113" t="s">
        <v>87</v>
      </c>
      <c r="B20" s="106">
        <v>0.182368255</v>
      </c>
      <c r="C20" s="90">
        <v>-0.17652404000000002</v>
      </c>
      <c r="D20" s="90">
        <v>-0.15387321999999998</v>
      </c>
      <c r="E20" s="90">
        <v>0.37212513999999997</v>
      </c>
      <c r="F20" s="129">
        <v>1.2878992</v>
      </c>
      <c r="G20" s="134">
        <v>0.20915180045161771</v>
      </c>
    </row>
    <row r="21" spans="1:7" ht="12.75">
      <c r="A21" s="113" t="s">
        <v>89</v>
      </c>
      <c r="B21" s="107">
        <v>0.041322708</v>
      </c>
      <c r="C21" s="91">
        <v>0.099033393</v>
      </c>
      <c r="D21" s="91">
        <v>0.117708496</v>
      </c>
      <c r="E21" s="91">
        <v>0.11058769399999999</v>
      </c>
      <c r="F21" s="128">
        <v>0.47225747</v>
      </c>
      <c r="G21" s="134">
        <v>0.14809907996679628</v>
      </c>
    </row>
    <row r="22" spans="1:7" ht="12.75">
      <c r="A22" s="113" t="s">
        <v>91</v>
      </c>
      <c r="B22" s="107">
        <v>0.08999573999999999</v>
      </c>
      <c r="C22" s="91">
        <v>0.11641678200000001</v>
      </c>
      <c r="D22" s="91">
        <v>0.16775794000000002</v>
      </c>
      <c r="E22" s="91">
        <v>-0.16647065</v>
      </c>
      <c r="F22" s="128">
        <v>-0.18269464</v>
      </c>
      <c r="G22" s="134">
        <v>0.016755747023649955</v>
      </c>
    </row>
    <row r="23" spans="1:7" ht="12.75">
      <c r="A23" s="113" t="s">
        <v>93</v>
      </c>
      <c r="B23" s="108">
        <v>0.5016706799999999</v>
      </c>
      <c r="C23" s="91">
        <v>0.061762825</v>
      </c>
      <c r="D23" s="91">
        <v>0.059552421999999994</v>
      </c>
      <c r="E23" s="91">
        <v>0.067058435</v>
      </c>
      <c r="F23" s="126">
        <v>0.42690966999999996</v>
      </c>
      <c r="G23" s="134">
        <v>0.17483107380017254</v>
      </c>
    </row>
    <row r="24" spans="1:7" ht="12.75">
      <c r="A24" s="113" t="s">
        <v>95</v>
      </c>
      <c r="B24" s="106">
        <v>-0.013658000149999999</v>
      </c>
      <c r="C24" s="90">
        <v>0.048766657000000005</v>
      </c>
      <c r="D24" s="90">
        <v>0.00586591511</v>
      </c>
      <c r="E24" s="90">
        <v>0.03974720599999999</v>
      </c>
      <c r="F24" s="129">
        <v>0.17524039</v>
      </c>
      <c r="G24" s="134">
        <v>0.04426673053151926</v>
      </c>
    </row>
    <row r="25" spans="1:7" ht="12.75">
      <c r="A25" s="113" t="s">
        <v>97</v>
      </c>
      <c r="B25" s="108">
        <v>-0.15853662000000002</v>
      </c>
      <c r="C25" s="91">
        <v>-0.037396818</v>
      </c>
      <c r="D25" s="91">
        <v>-0.020249631</v>
      </c>
      <c r="E25" s="91">
        <v>-0.030076985</v>
      </c>
      <c r="F25" s="128">
        <v>-0.032094275</v>
      </c>
      <c r="G25" s="134">
        <v>-0.048232737844739776</v>
      </c>
    </row>
    <row r="26" spans="1:7" ht="12.75">
      <c r="A26" s="113" t="s">
        <v>99</v>
      </c>
      <c r="B26" s="107">
        <v>-0.04164496577</v>
      </c>
      <c r="C26" s="91">
        <v>-0.08169806500000001</v>
      </c>
      <c r="D26" s="91">
        <v>0.011559116999999999</v>
      </c>
      <c r="E26" s="91">
        <v>-0.09846215</v>
      </c>
      <c r="F26" s="128">
        <v>0.099743991</v>
      </c>
      <c r="G26" s="134">
        <v>-0.03317331023746455</v>
      </c>
    </row>
    <row r="27" spans="1:7" ht="12.75">
      <c r="A27" s="113" t="s">
        <v>101</v>
      </c>
      <c r="B27" s="108">
        <v>0.23116283</v>
      </c>
      <c r="C27" s="92">
        <v>0.16381461000000003</v>
      </c>
      <c r="D27" s="91">
        <v>0.14434249</v>
      </c>
      <c r="E27" s="92">
        <v>0.16297297</v>
      </c>
      <c r="F27" s="130">
        <v>0.14920327</v>
      </c>
      <c r="G27" s="135">
        <v>0.1666584853643369</v>
      </c>
    </row>
    <row r="28" spans="1:7" ht="12.75">
      <c r="A28" s="113" t="s">
        <v>103</v>
      </c>
      <c r="B28" s="107">
        <v>-0.004662023600000001</v>
      </c>
      <c r="C28" s="91">
        <v>0.0011836402999999998</v>
      </c>
      <c r="D28" s="91">
        <v>0.0018962551000000002</v>
      </c>
      <c r="E28" s="91">
        <v>0.0033193983509999998</v>
      </c>
      <c r="F28" s="128">
        <v>-0.021399948</v>
      </c>
      <c r="G28" s="134">
        <v>-0.002003769244872704</v>
      </c>
    </row>
    <row r="29" spans="1:7" ht="13.5" thickBot="1">
      <c r="A29" s="114" t="s">
        <v>105</v>
      </c>
      <c r="B29" s="109">
        <v>-0.0058911677</v>
      </c>
      <c r="C29" s="93">
        <v>0.000826632338</v>
      </c>
      <c r="D29" s="93">
        <v>0.00092668776</v>
      </c>
      <c r="E29" s="93">
        <v>-0.000572018028</v>
      </c>
      <c r="F29" s="131">
        <v>0.00290836878</v>
      </c>
      <c r="G29" s="136">
        <v>-0.00017320415261523628</v>
      </c>
    </row>
    <row r="30" spans="1:7" ht="13.5" thickTop="1">
      <c r="A30" s="115" t="s">
        <v>106</v>
      </c>
      <c r="B30" s="110">
        <v>0.3609149914533723</v>
      </c>
      <c r="C30" s="99">
        <v>-0.026432438414942753</v>
      </c>
      <c r="D30" s="99">
        <v>-0.37453885070935417</v>
      </c>
      <c r="E30" s="99">
        <v>-0.7122720533233171</v>
      </c>
      <c r="F30" s="95">
        <v>-0.9545182980592631</v>
      </c>
      <c r="G30" s="137" t="s">
        <v>117</v>
      </c>
    </row>
    <row r="31" spans="1:7" ht="13.5" thickBot="1">
      <c r="A31" s="116" t="s">
        <v>107</v>
      </c>
      <c r="B31" s="105">
        <v>20.672608</v>
      </c>
      <c r="C31" s="96">
        <v>20.840455</v>
      </c>
      <c r="D31" s="96">
        <v>21.044922</v>
      </c>
      <c r="E31" s="96">
        <v>21.252442</v>
      </c>
      <c r="F31" s="97">
        <v>21.417237</v>
      </c>
      <c r="G31" s="139">
        <v>-210.07</v>
      </c>
    </row>
    <row r="32" spans="1:7" ht="15.75" thickBot="1" thickTop="1">
      <c r="A32" s="117" t="s">
        <v>108</v>
      </c>
      <c r="B32" s="111">
        <v>-0.1874999962747097</v>
      </c>
      <c r="C32" s="100">
        <v>0.3464999943971634</v>
      </c>
      <c r="D32" s="100">
        <v>-0.3074999898672104</v>
      </c>
      <c r="E32" s="100">
        <v>0.1450000051409006</v>
      </c>
      <c r="F32" s="98">
        <v>-0.24050000682473183</v>
      </c>
      <c r="G32" s="103" t="s">
        <v>116</v>
      </c>
    </row>
    <row r="33" spans="1:7" ht="15" thickTop="1">
      <c r="A33" t="s">
        <v>112</v>
      </c>
      <c r="G33" s="6" t="s">
        <v>113</v>
      </c>
    </row>
    <row r="34" ht="14.25">
      <c r="A34" t="s">
        <v>114</v>
      </c>
    </row>
    <row r="35" spans="1:2" ht="12.75">
      <c r="A35" t="s">
        <v>115</v>
      </c>
      <c r="B35" t="s">
        <v>16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40" bestFit="1" customWidth="1"/>
    <col min="2" max="2" width="15.66015625" style="140" bestFit="1" customWidth="1"/>
    <col min="3" max="3" width="14.83203125" style="140" bestFit="1" customWidth="1"/>
    <col min="4" max="4" width="16" style="140" bestFit="1" customWidth="1"/>
    <col min="5" max="5" width="21.33203125" style="140" bestFit="1" customWidth="1"/>
    <col min="6" max="7" width="14.83203125" style="140" bestFit="1" customWidth="1"/>
    <col min="8" max="8" width="14.16015625" style="140" bestFit="1" customWidth="1"/>
    <col min="9" max="9" width="14.83203125" style="140" bestFit="1" customWidth="1"/>
    <col min="10" max="10" width="6.33203125" style="140" bestFit="1" customWidth="1"/>
    <col min="11" max="11" width="15" style="140" bestFit="1" customWidth="1"/>
    <col min="12" max="16384" width="10.66015625" style="140" customWidth="1"/>
  </cols>
  <sheetData>
    <row r="1" spans="1:5" ht="12.75">
      <c r="A1" s="140" t="s">
        <v>118</v>
      </c>
      <c r="B1" s="140" t="s">
        <v>119</v>
      </c>
      <c r="C1" s="140" t="s">
        <v>120</v>
      </c>
      <c r="D1" s="140" t="s">
        <v>121</v>
      </c>
      <c r="E1" s="140" t="s">
        <v>122</v>
      </c>
    </row>
    <row r="3" spans="1:7" ht="12.75">
      <c r="A3" s="140" t="s">
        <v>123</v>
      </c>
      <c r="B3" s="140" t="s">
        <v>73</v>
      </c>
      <c r="C3" s="140" t="s">
        <v>74</v>
      </c>
      <c r="D3" s="140" t="s">
        <v>75</v>
      </c>
      <c r="E3" s="140" t="s">
        <v>76</v>
      </c>
      <c r="F3" s="140" t="s">
        <v>77</v>
      </c>
      <c r="G3" s="140" t="s">
        <v>124</v>
      </c>
    </row>
    <row r="4" spans="1:7" ht="12.75">
      <c r="A4" s="140" t="s">
        <v>125</v>
      </c>
      <c r="B4" s="140">
        <v>0.002249</v>
      </c>
      <c r="C4" s="140">
        <v>0.00376</v>
      </c>
      <c r="D4" s="140">
        <v>0.003759</v>
      </c>
      <c r="E4" s="140">
        <v>0.003759</v>
      </c>
      <c r="F4" s="140">
        <v>0.002097</v>
      </c>
      <c r="G4" s="140">
        <v>0.011715</v>
      </c>
    </row>
    <row r="5" spans="1:7" ht="12.75">
      <c r="A5" s="140" t="s">
        <v>126</v>
      </c>
      <c r="B5" s="140">
        <v>12.25029</v>
      </c>
      <c r="C5" s="140">
        <v>5.646939</v>
      </c>
      <c r="D5" s="140">
        <v>-0.834309</v>
      </c>
      <c r="E5" s="140">
        <v>-6.179084</v>
      </c>
      <c r="F5" s="140">
        <v>-10.695551</v>
      </c>
      <c r="G5" s="140">
        <v>-6.024009</v>
      </c>
    </row>
    <row r="6" spans="1:7" ht="12.75">
      <c r="A6" s="140" t="s">
        <v>127</v>
      </c>
      <c r="B6" s="141">
        <v>-168.2554</v>
      </c>
      <c r="C6" s="141">
        <v>-238.2232</v>
      </c>
      <c r="D6" s="141">
        <v>-79.21229</v>
      </c>
      <c r="E6" s="141">
        <v>-218.481</v>
      </c>
      <c r="F6" s="141">
        <v>63.14781</v>
      </c>
      <c r="G6" s="141">
        <v>1115.23</v>
      </c>
    </row>
    <row r="7" spans="1:7" ht="12.75">
      <c r="A7" s="140" t="s">
        <v>128</v>
      </c>
      <c r="B7" s="141">
        <v>10000</v>
      </c>
      <c r="C7" s="141">
        <v>10000</v>
      </c>
      <c r="D7" s="141">
        <v>10000</v>
      </c>
      <c r="E7" s="141">
        <v>10000</v>
      </c>
      <c r="F7" s="141">
        <v>10000</v>
      </c>
      <c r="G7" s="141">
        <v>10000</v>
      </c>
    </row>
    <row r="8" spans="1:7" ht="12.75">
      <c r="A8" s="140" t="s">
        <v>80</v>
      </c>
      <c r="B8" s="141">
        <v>-2.682916</v>
      </c>
      <c r="C8" s="141">
        <v>0.3559931</v>
      </c>
      <c r="D8" s="141">
        <v>0.3819296</v>
      </c>
      <c r="E8" s="141">
        <v>-1.972553</v>
      </c>
      <c r="F8" s="141">
        <v>-7.050815</v>
      </c>
      <c r="G8" s="141">
        <v>2.868651</v>
      </c>
    </row>
    <row r="9" spans="1:7" ht="12.75">
      <c r="A9" s="140" t="s">
        <v>82</v>
      </c>
      <c r="B9" s="141">
        <v>-0.3705394</v>
      </c>
      <c r="C9" s="141">
        <v>-0.0565528</v>
      </c>
      <c r="D9" s="141">
        <v>-0.03975086</v>
      </c>
      <c r="E9" s="141">
        <v>-0.5270981</v>
      </c>
      <c r="F9" s="141">
        <v>-3.829258</v>
      </c>
      <c r="G9" s="141">
        <v>0.7172804</v>
      </c>
    </row>
    <row r="10" spans="1:7" ht="12.75">
      <c r="A10" s="140" t="s">
        <v>129</v>
      </c>
      <c r="B10" s="141">
        <v>-0.09063498</v>
      </c>
      <c r="C10" s="141">
        <v>-1.358287</v>
      </c>
      <c r="D10" s="141">
        <v>-1.106593</v>
      </c>
      <c r="E10" s="141">
        <v>-0.3131868</v>
      </c>
      <c r="F10" s="141">
        <v>1.515102</v>
      </c>
      <c r="G10" s="141">
        <v>3.136262</v>
      </c>
    </row>
    <row r="11" spans="1:7" ht="12.75">
      <c r="A11" s="140" t="s">
        <v>86</v>
      </c>
      <c r="B11" s="141">
        <v>3.908913</v>
      </c>
      <c r="C11" s="141">
        <v>4.652242</v>
      </c>
      <c r="D11" s="141">
        <v>4.526135</v>
      </c>
      <c r="E11" s="141">
        <v>4.429833</v>
      </c>
      <c r="F11" s="141">
        <v>14.76565</v>
      </c>
      <c r="G11" s="141">
        <v>5.818871</v>
      </c>
    </row>
    <row r="12" spans="1:7" ht="12.75">
      <c r="A12" s="140" t="s">
        <v>88</v>
      </c>
      <c r="B12" s="141">
        <v>0.2822442</v>
      </c>
      <c r="C12" s="141">
        <v>0.1488763</v>
      </c>
      <c r="D12" s="141">
        <v>0.08075981</v>
      </c>
      <c r="E12" s="141">
        <v>-0.2429138</v>
      </c>
      <c r="F12" s="141">
        <v>-0.2030904</v>
      </c>
      <c r="G12" s="141">
        <v>0.1665477</v>
      </c>
    </row>
    <row r="13" spans="1:7" ht="12.75">
      <c r="A13" s="140" t="s">
        <v>90</v>
      </c>
      <c r="B13" s="141">
        <v>0.108775</v>
      </c>
      <c r="C13" s="141">
        <v>0.08450865</v>
      </c>
      <c r="D13" s="141">
        <v>0.07393781</v>
      </c>
      <c r="E13" s="141">
        <v>0.02814561</v>
      </c>
      <c r="F13" s="141">
        <v>0.09807147</v>
      </c>
      <c r="G13" s="141">
        <v>-0.07371606</v>
      </c>
    </row>
    <row r="14" spans="1:7" ht="12.75">
      <c r="A14" s="140" t="s">
        <v>92</v>
      </c>
      <c r="B14" s="141">
        <v>0.03559713</v>
      </c>
      <c r="C14" s="141">
        <v>0.03975384</v>
      </c>
      <c r="D14" s="141">
        <v>-0.003166376</v>
      </c>
      <c r="E14" s="141">
        <v>0.05890685</v>
      </c>
      <c r="F14" s="141">
        <v>0.2946665</v>
      </c>
      <c r="G14" s="141">
        <v>-0.1580062</v>
      </c>
    </row>
    <row r="15" spans="1:7" ht="12.75">
      <c r="A15" s="140" t="s">
        <v>94</v>
      </c>
      <c r="B15" s="141">
        <v>-0.4287288</v>
      </c>
      <c r="C15" s="141">
        <v>-0.0648342</v>
      </c>
      <c r="D15" s="141">
        <v>-0.03512729</v>
      </c>
      <c r="E15" s="141">
        <v>-0.01014611</v>
      </c>
      <c r="F15" s="141">
        <v>-0.2491457</v>
      </c>
      <c r="G15" s="141">
        <v>-0.1216288</v>
      </c>
    </row>
    <row r="16" spans="1:7" ht="12.75">
      <c r="A16" s="140" t="s">
        <v>96</v>
      </c>
      <c r="B16" s="141">
        <v>0.02625515</v>
      </c>
      <c r="C16" s="141">
        <v>-0.04583092</v>
      </c>
      <c r="D16" s="141">
        <v>-0.007915662</v>
      </c>
      <c r="E16" s="141">
        <v>-0.0986099</v>
      </c>
      <c r="F16" s="141">
        <v>-0.01200263</v>
      </c>
      <c r="G16" s="141">
        <v>-0.05205211</v>
      </c>
    </row>
    <row r="17" spans="1:7" ht="12.75">
      <c r="A17" s="140" t="s">
        <v>130</v>
      </c>
      <c r="B17" s="141">
        <v>0.216055</v>
      </c>
      <c r="C17" s="141">
        <v>0.1355752</v>
      </c>
      <c r="D17" s="141">
        <v>0.1170113</v>
      </c>
      <c r="E17" s="141">
        <v>0.1270178</v>
      </c>
      <c r="F17" s="141">
        <v>0.1296612</v>
      </c>
      <c r="G17" s="141">
        <v>-0.1398364</v>
      </c>
    </row>
    <row r="18" spans="1:7" ht="12.75">
      <c r="A18" s="140" t="s">
        <v>131</v>
      </c>
      <c r="B18" s="141">
        <v>-0.009600559</v>
      </c>
      <c r="C18" s="141">
        <v>0.03712591</v>
      </c>
      <c r="D18" s="141">
        <v>0.02284428</v>
      </c>
      <c r="E18" s="141">
        <v>0.05840164</v>
      </c>
      <c r="F18" s="141">
        <v>-0.03333177</v>
      </c>
      <c r="G18" s="141">
        <v>-0.1680262</v>
      </c>
    </row>
    <row r="19" spans="1:7" ht="12.75">
      <c r="A19" s="140" t="s">
        <v>102</v>
      </c>
      <c r="B19" s="141">
        <v>-0.1847329</v>
      </c>
      <c r="C19" s="141">
        <v>-0.1779961</v>
      </c>
      <c r="D19" s="141">
        <v>-0.177841</v>
      </c>
      <c r="E19" s="141">
        <v>-0.1743288</v>
      </c>
      <c r="F19" s="141">
        <v>-0.1385617</v>
      </c>
      <c r="G19" s="141">
        <v>-0.1727528</v>
      </c>
    </row>
    <row r="20" spans="1:7" ht="12.75">
      <c r="A20" s="140" t="s">
        <v>104</v>
      </c>
      <c r="B20" s="141">
        <v>-0.0008457501</v>
      </c>
      <c r="C20" s="141">
        <v>0.002063262</v>
      </c>
      <c r="D20" s="141">
        <v>0.0004078234</v>
      </c>
      <c r="E20" s="141">
        <v>-0.001740874</v>
      </c>
      <c r="F20" s="141">
        <v>-0.004993229</v>
      </c>
      <c r="G20" s="141">
        <v>2.457797E-06</v>
      </c>
    </row>
    <row r="21" spans="1:7" ht="12.75">
      <c r="A21" s="140" t="s">
        <v>132</v>
      </c>
      <c r="B21" s="141">
        <v>-1255.127</v>
      </c>
      <c r="C21" s="141">
        <v>-1082.187</v>
      </c>
      <c r="D21" s="141">
        <v>-1019.871</v>
      </c>
      <c r="E21" s="141">
        <v>-1084.659</v>
      </c>
      <c r="F21" s="141">
        <v>-1250.253</v>
      </c>
      <c r="G21" s="141">
        <v>-144.6902</v>
      </c>
    </row>
    <row r="22" spans="1:7" ht="12.75">
      <c r="A22" s="140" t="s">
        <v>133</v>
      </c>
      <c r="B22" s="141">
        <v>245.0548</v>
      </c>
      <c r="C22" s="141">
        <v>112.9436</v>
      </c>
      <c r="D22" s="141">
        <v>-16.68621</v>
      </c>
      <c r="E22" s="141">
        <v>-123.588</v>
      </c>
      <c r="F22" s="141">
        <v>-213.9437</v>
      </c>
      <c r="G22" s="141">
        <v>0</v>
      </c>
    </row>
    <row r="23" spans="1:7" ht="12.75">
      <c r="A23" s="140" t="s">
        <v>81</v>
      </c>
      <c r="B23" s="141">
        <v>1.601128</v>
      </c>
      <c r="C23" s="141">
        <v>3.072956</v>
      </c>
      <c r="D23" s="141">
        <v>1.828932</v>
      </c>
      <c r="E23" s="141">
        <v>1.578702</v>
      </c>
      <c r="F23" s="141">
        <v>8.037512</v>
      </c>
      <c r="G23" s="141">
        <v>1.629461</v>
      </c>
    </row>
    <row r="24" spans="1:7" ht="12.75">
      <c r="A24" s="140" t="s">
        <v>83</v>
      </c>
      <c r="B24" s="141">
        <v>-0.7959002</v>
      </c>
      <c r="C24" s="141">
        <v>0.4455116</v>
      </c>
      <c r="D24" s="141">
        <v>-0.7365089</v>
      </c>
      <c r="E24" s="141">
        <v>-1.518034</v>
      </c>
      <c r="F24" s="141">
        <v>-3.101935</v>
      </c>
      <c r="G24" s="141">
        <v>0.9661294</v>
      </c>
    </row>
    <row r="25" spans="1:7" ht="12.75">
      <c r="A25" s="140" t="s">
        <v>85</v>
      </c>
      <c r="B25" s="141">
        <v>-2.232068</v>
      </c>
      <c r="C25" s="141">
        <v>-1.872376</v>
      </c>
      <c r="D25" s="141">
        <v>-1.887036</v>
      </c>
      <c r="E25" s="141">
        <v>-2.241821</v>
      </c>
      <c r="F25" s="141">
        <v>-10.21457</v>
      </c>
      <c r="G25" s="141">
        <v>-0.4781721</v>
      </c>
    </row>
    <row r="26" spans="1:7" ht="12.75">
      <c r="A26" s="140" t="s">
        <v>87</v>
      </c>
      <c r="B26" s="141">
        <v>0.4959682</v>
      </c>
      <c r="C26" s="141">
        <v>-0.0164375</v>
      </c>
      <c r="D26" s="141">
        <v>-0.1863643</v>
      </c>
      <c r="E26" s="141">
        <v>0.216316</v>
      </c>
      <c r="F26" s="141">
        <v>0.2566574</v>
      </c>
      <c r="G26" s="141">
        <v>0.1091031</v>
      </c>
    </row>
    <row r="27" spans="1:7" ht="12.75">
      <c r="A27" s="140" t="s">
        <v>89</v>
      </c>
      <c r="B27" s="141">
        <v>0.08824928</v>
      </c>
      <c r="C27" s="141">
        <v>0.1146936</v>
      </c>
      <c r="D27" s="141">
        <v>0.1075211</v>
      </c>
      <c r="E27" s="141">
        <v>0.1162332</v>
      </c>
      <c r="F27" s="141">
        <v>0.5394704</v>
      </c>
      <c r="G27" s="141">
        <v>-0.01016808</v>
      </c>
    </row>
    <row r="28" spans="1:7" ht="12.75">
      <c r="A28" s="140" t="s">
        <v>91</v>
      </c>
      <c r="B28" s="141">
        <v>0.1306621</v>
      </c>
      <c r="C28" s="141">
        <v>0.124595</v>
      </c>
      <c r="D28" s="141">
        <v>0.163663</v>
      </c>
      <c r="E28" s="141">
        <v>-0.1658603</v>
      </c>
      <c r="F28" s="141">
        <v>-0.2398349</v>
      </c>
      <c r="G28" s="141">
        <v>-0.01607155</v>
      </c>
    </row>
    <row r="29" spans="1:7" ht="12.75">
      <c r="A29" s="140" t="s">
        <v>93</v>
      </c>
      <c r="B29" s="141">
        <v>0.4553035</v>
      </c>
      <c r="C29" s="141">
        <v>0.07042013</v>
      </c>
      <c r="D29" s="141">
        <v>0.06211306</v>
      </c>
      <c r="E29" s="141">
        <v>0.06719998</v>
      </c>
      <c r="F29" s="141">
        <v>0.331011</v>
      </c>
      <c r="G29" s="141">
        <v>0.06764923</v>
      </c>
    </row>
    <row r="30" spans="1:7" ht="12.75">
      <c r="A30" s="140" t="s">
        <v>95</v>
      </c>
      <c r="B30" s="141">
        <v>-0.07155991</v>
      </c>
      <c r="C30" s="141">
        <v>0.04323471</v>
      </c>
      <c r="D30" s="141">
        <v>0.008673444</v>
      </c>
      <c r="E30" s="141">
        <v>0.04153093</v>
      </c>
      <c r="F30" s="141">
        <v>0.2127461</v>
      </c>
      <c r="G30" s="141">
        <v>0.04074089</v>
      </c>
    </row>
    <row r="31" spans="1:7" ht="12.75">
      <c r="A31" s="140" t="s">
        <v>97</v>
      </c>
      <c r="B31" s="141">
        <v>-0.1264862</v>
      </c>
      <c r="C31" s="141">
        <v>-0.05454606</v>
      </c>
      <c r="D31" s="141">
        <v>-0.03329742</v>
      </c>
      <c r="E31" s="141">
        <v>-0.03440533</v>
      </c>
      <c r="F31" s="141">
        <v>-0.03303612</v>
      </c>
      <c r="G31" s="141">
        <v>0.03449204</v>
      </c>
    </row>
    <row r="32" spans="1:7" ht="12.75">
      <c r="A32" s="140" t="s">
        <v>99</v>
      </c>
      <c r="B32" s="141">
        <v>0.00698239</v>
      </c>
      <c r="C32" s="141">
        <v>-0.05433502</v>
      </c>
      <c r="D32" s="141">
        <v>-0.003666253</v>
      </c>
      <c r="E32" s="141">
        <v>-0.09854393</v>
      </c>
      <c r="F32" s="141">
        <v>0.03196022</v>
      </c>
      <c r="G32" s="141">
        <v>0.0323712</v>
      </c>
    </row>
    <row r="33" spans="1:7" ht="12.75">
      <c r="A33" s="140" t="s">
        <v>101</v>
      </c>
      <c r="B33" s="141">
        <v>0.222408</v>
      </c>
      <c r="C33" s="141">
        <v>0.1696934</v>
      </c>
      <c r="D33" s="141">
        <v>0.1510131</v>
      </c>
      <c r="E33" s="141">
        <v>0.1610372</v>
      </c>
      <c r="F33" s="141">
        <v>0.149763</v>
      </c>
      <c r="G33" s="141">
        <v>0.02262493</v>
      </c>
    </row>
    <row r="34" spans="1:7" ht="12.75">
      <c r="A34" s="140" t="s">
        <v>103</v>
      </c>
      <c r="B34" s="141">
        <v>-0.03676527</v>
      </c>
      <c r="C34" s="141">
        <v>-0.01291711</v>
      </c>
      <c r="D34" s="141">
        <v>0.003944638</v>
      </c>
      <c r="E34" s="141">
        <v>0.01840591</v>
      </c>
      <c r="F34" s="141">
        <v>-0.0008764547</v>
      </c>
      <c r="G34" s="141">
        <v>-0.003141762</v>
      </c>
    </row>
    <row r="35" spans="1:7" ht="12.75">
      <c r="A35" s="140" t="s">
        <v>105</v>
      </c>
      <c r="B35" s="141">
        <v>-0.006132414</v>
      </c>
      <c r="C35" s="141">
        <v>0.001005053</v>
      </c>
      <c r="D35" s="141">
        <v>0.0009218319</v>
      </c>
      <c r="E35" s="141">
        <v>-0.0003759147</v>
      </c>
      <c r="F35" s="141">
        <v>0.003811818</v>
      </c>
      <c r="G35" s="141">
        <v>0.0006160888</v>
      </c>
    </row>
    <row r="36" spans="1:6" ht="12.75">
      <c r="A36" s="140" t="s">
        <v>134</v>
      </c>
      <c r="B36" s="141">
        <v>21.41724</v>
      </c>
      <c r="C36" s="141">
        <v>21.41419</v>
      </c>
      <c r="D36" s="141">
        <v>21.41419</v>
      </c>
      <c r="E36" s="141">
        <v>21.40808</v>
      </c>
      <c r="F36" s="141">
        <v>21.41113</v>
      </c>
    </row>
    <row r="37" spans="1:6" ht="12.75">
      <c r="A37" s="140" t="s">
        <v>135</v>
      </c>
      <c r="B37" s="141">
        <v>-0.2863566</v>
      </c>
      <c r="C37" s="141">
        <v>-0.2375285</v>
      </c>
      <c r="D37" s="141">
        <v>-0.2039592</v>
      </c>
      <c r="E37" s="141">
        <v>-0.189209</v>
      </c>
      <c r="F37" s="141">
        <v>-0.1703898</v>
      </c>
    </row>
    <row r="38" spans="1:7" ht="12.75">
      <c r="A38" s="140" t="s">
        <v>136</v>
      </c>
      <c r="B38" s="141">
        <v>0.0003381189</v>
      </c>
      <c r="C38" s="141">
        <v>0.0004257036</v>
      </c>
      <c r="D38" s="141">
        <v>0.0001317675</v>
      </c>
      <c r="E38" s="141">
        <v>0.0003485758</v>
      </c>
      <c r="F38" s="141">
        <v>-0.0001527536</v>
      </c>
      <c r="G38" s="141">
        <v>0.0001172738</v>
      </c>
    </row>
    <row r="39" spans="1:7" ht="12.75">
      <c r="A39" s="140" t="s">
        <v>137</v>
      </c>
      <c r="B39" s="141">
        <v>0.00212543</v>
      </c>
      <c r="C39" s="141">
        <v>0.00183491</v>
      </c>
      <c r="D39" s="141">
        <v>0.001734001</v>
      </c>
      <c r="E39" s="141">
        <v>0.001848227</v>
      </c>
      <c r="F39" s="141">
        <v>0.002122162</v>
      </c>
      <c r="G39" s="141">
        <v>0.0009486633</v>
      </c>
    </row>
    <row r="40" spans="2:5" ht="12.75">
      <c r="B40" s="140" t="s">
        <v>138</v>
      </c>
      <c r="C40" s="140">
        <v>0.003759</v>
      </c>
      <c r="D40" s="140" t="s">
        <v>139</v>
      </c>
      <c r="E40" s="140">
        <v>3.116588</v>
      </c>
    </row>
    <row r="42" ht="12.75">
      <c r="A42" s="140" t="s">
        <v>140</v>
      </c>
    </row>
    <row r="50" spans="1:7" ht="12.75">
      <c r="A50" s="140" t="s">
        <v>141</v>
      </c>
      <c r="B50" s="140">
        <f>-0.017/(B7*B7+B22*B22)*(B21*B22+B6*B7)</f>
        <v>0.0003381188656621866</v>
      </c>
      <c r="C50" s="140">
        <f>-0.017/(C7*C7+C22*C22)*(C21*C22+C6*C7)</f>
        <v>0.00042570357242022037</v>
      </c>
      <c r="D50" s="140">
        <f>-0.017/(D7*D7+D22*D22)*(D21*D22+D6*D7)</f>
        <v>0.00013176750323484762</v>
      </c>
      <c r="E50" s="140">
        <f>-0.017/(E7*E7+E22*E22)*(E21*E22+E6*E7)</f>
        <v>0.00034857581634797793</v>
      </c>
      <c r="F50" s="140">
        <f>-0.017/(F7*F7+F22*F22)*(F21*F22+F6*F7)</f>
        <v>-0.00015275359673465227</v>
      </c>
      <c r="G50" s="140">
        <f>(B50*B$4+C50*C$4+D50*D$4+E50*E$4+F50*F$4)/SUM(B$4:F$4)</f>
        <v>0.0002461828601595981</v>
      </c>
    </row>
    <row r="51" spans="1:7" ht="12.75">
      <c r="A51" s="140" t="s">
        <v>142</v>
      </c>
      <c r="B51" s="140">
        <f>-0.017/(B7*B7+B22*B22)*(B21*B7-B6*B22)</f>
        <v>0.0021254301348998927</v>
      </c>
      <c r="C51" s="140">
        <f>-0.017/(C7*C7+C22*C22)*(C21*C7-C6*C22)</f>
        <v>0.0018349098505997998</v>
      </c>
      <c r="D51" s="140">
        <f>-0.017/(D7*D7+D22*D22)*(D21*D7-D6*D22)</f>
        <v>0.0017340005700230154</v>
      </c>
      <c r="E51" s="140">
        <f>-0.017/(E7*E7+E22*E22)*(E21*E7-E6*E22)</f>
        <v>0.0018482282787990818</v>
      </c>
      <c r="F51" s="140">
        <f>-0.017/(F7*F7+F22*F22)*(F21*F7-F6*F22)</f>
        <v>0.002122162033032628</v>
      </c>
      <c r="G51" s="140">
        <f>(B51*B$4+C51*C$4+D51*D$4+E51*E$4+F51*F$4)/SUM(B$4:F$4)</f>
        <v>0.0018942092574012282</v>
      </c>
    </row>
    <row r="58" ht="12.75">
      <c r="A58" s="140" t="s">
        <v>144</v>
      </c>
    </row>
    <row r="60" spans="2:6" ht="12.75">
      <c r="B60" s="140" t="s">
        <v>73</v>
      </c>
      <c r="C60" s="140" t="s">
        <v>74</v>
      </c>
      <c r="D60" s="140" t="s">
        <v>75</v>
      </c>
      <c r="E60" s="140" t="s">
        <v>76</v>
      </c>
      <c r="F60" s="140" t="s">
        <v>77</v>
      </c>
    </row>
    <row r="61" spans="1:6" ht="12.75">
      <c r="A61" s="140" t="s">
        <v>146</v>
      </c>
      <c r="B61" s="140">
        <f>B6+(1/0.017)*(B7*B50-B22*B51)</f>
        <v>0</v>
      </c>
      <c r="C61" s="140">
        <f>C6+(1/0.017)*(C7*C50-C22*C51)</f>
        <v>0</v>
      </c>
      <c r="D61" s="140">
        <f>D6+(1/0.017)*(D7*D50-D22*D51)</f>
        <v>0</v>
      </c>
      <c r="E61" s="140">
        <f>E6+(1/0.017)*(E7*E50-E22*E51)</f>
        <v>0</v>
      </c>
      <c r="F61" s="140">
        <f>F6+(1/0.017)*(F7*F50-F22*F51)</f>
        <v>0</v>
      </c>
    </row>
    <row r="62" spans="1:6" ht="12.75">
      <c r="A62" s="140" t="s">
        <v>149</v>
      </c>
      <c r="B62" s="140">
        <f>B7+(2/0.017)*(B8*B50-B23*B51)</f>
        <v>9999.49291409228</v>
      </c>
      <c r="C62" s="140">
        <f>C7+(2/0.017)*(C8*C50-C23*C51)</f>
        <v>9999.354464741125</v>
      </c>
      <c r="D62" s="140">
        <f>D7+(2/0.017)*(D8*D50-D23*D51)</f>
        <v>9999.63281844462</v>
      </c>
      <c r="E62" s="140">
        <f>E7+(2/0.017)*(E8*E50-E23*E51)</f>
        <v>9999.57583694677</v>
      </c>
      <c r="F62" s="140">
        <f>F7+(2/0.017)*(F8*F50-F23*F51)</f>
        <v>9998.12001582879</v>
      </c>
    </row>
    <row r="63" spans="1:6" ht="12.75">
      <c r="A63" s="140" t="s">
        <v>150</v>
      </c>
      <c r="B63" s="140">
        <f>B8+(3/0.017)*(B9*B50-B24*B51)</f>
        <v>-2.4065023692044054</v>
      </c>
      <c r="C63" s="140">
        <f>C8+(3/0.017)*(C9*C50-C24*C51)</f>
        <v>0.20748456722585107</v>
      </c>
      <c r="D63" s="140">
        <f>D8+(3/0.017)*(D9*D50-D24*D51)</f>
        <v>0.6063770672094211</v>
      </c>
      <c r="E63" s="140">
        <f>E8+(3/0.017)*(E9*E50-E24*E51)</f>
        <v>-1.509857755916085</v>
      </c>
      <c r="F63" s="140">
        <f>F8+(3/0.017)*(F9*F50-F24*F51)</f>
        <v>-5.785919420307057</v>
      </c>
    </row>
    <row r="64" spans="1:6" ht="12.75">
      <c r="A64" s="140" t="s">
        <v>151</v>
      </c>
      <c r="B64" s="140">
        <f>B9+(4/0.017)*(B10*B50-B25*B51)</f>
        <v>0.7385098220514867</v>
      </c>
      <c r="C64" s="140">
        <f>C9+(4/0.017)*(C10*C50-C25*C51)</f>
        <v>0.6157797972128722</v>
      </c>
      <c r="D64" s="140">
        <f>D9+(4/0.017)*(D10*D50-D25*D51)</f>
        <v>0.6958511406933625</v>
      </c>
      <c r="E64" s="140">
        <f>E9+(4/0.017)*(E10*E50-E25*E51)</f>
        <v>0.4221319291120529</v>
      </c>
      <c r="F64" s="140">
        <f>F9+(4/0.017)*(F10*F50-F25*F51)</f>
        <v>1.2167503194904064</v>
      </c>
    </row>
    <row r="65" spans="1:6" ht="12.75">
      <c r="A65" s="140" t="s">
        <v>152</v>
      </c>
      <c r="B65" s="140">
        <f>B10+(5/0.017)*(B11*B50-B26*B51)</f>
        <v>-0.011949253147024136</v>
      </c>
      <c r="C65" s="140">
        <f>C10+(5/0.017)*(C11*C50-C26*C51)</f>
        <v>-0.7669230676962867</v>
      </c>
      <c r="D65" s="140">
        <f>D10+(5/0.017)*(D11*D50-D26*D51)</f>
        <v>-0.8361361439159419</v>
      </c>
      <c r="E65" s="140">
        <f>E10+(5/0.017)*(E11*E50-E26*E51)</f>
        <v>0.023381231148091264</v>
      </c>
      <c r="F65" s="140">
        <f>F10+(5/0.017)*(F11*F50-F26*F51)</f>
        <v>0.6915211954700332</v>
      </c>
    </row>
    <row r="66" spans="1:6" ht="12.75">
      <c r="A66" s="140" t="s">
        <v>153</v>
      </c>
      <c r="B66" s="140">
        <f>B11+(6/0.017)*(B12*B50-B27*B51)</f>
        <v>3.876394556346534</v>
      </c>
      <c r="C66" s="140">
        <f>C11+(6/0.017)*(C12*C50-C27*C51)</f>
        <v>4.60033309046516</v>
      </c>
      <c r="D66" s="140">
        <f>D11+(6/0.017)*(D12*D50-D27*D51)</f>
        <v>4.464087895236207</v>
      </c>
      <c r="E66" s="140">
        <f>E11+(6/0.017)*(E12*E50-E27*E51)</f>
        <v>4.324127342360295</v>
      </c>
      <c r="F66" s="140">
        <f>F11+(6/0.017)*(F12*F50-F27*F51)</f>
        <v>14.372536772319068</v>
      </c>
    </row>
    <row r="67" spans="1:6" ht="12.75">
      <c r="A67" s="140" t="s">
        <v>154</v>
      </c>
      <c r="B67" s="140">
        <f>B12+(7/0.017)*(B13*B50-B28*B51)</f>
        <v>0.1830359649106887</v>
      </c>
      <c r="C67" s="140">
        <f>C12+(7/0.017)*(C13*C50-C28*C51)</f>
        <v>0.06955190526997035</v>
      </c>
      <c r="D67" s="140">
        <f>D12+(7/0.017)*(D13*D50-D28*D51)</f>
        <v>-0.03208395133607467</v>
      </c>
      <c r="E67" s="140">
        <f>E12+(7/0.017)*(E13*E50-E28*E51)</f>
        <v>-0.11264850409369251</v>
      </c>
      <c r="F67" s="140">
        <f>F12+(7/0.017)*(F13*F50-F28*F51)</f>
        <v>0.00031632025743277836</v>
      </c>
    </row>
    <row r="68" spans="1:6" ht="12.75">
      <c r="A68" s="140" t="s">
        <v>155</v>
      </c>
      <c r="B68" s="140">
        <f>B13+(8/0.017)*(B14*B50-B29*B51)</f>
        <v>-0.34095663209833593</v>
      </c>
      <c r="C68" s="140">
        <f>C13+(8/0.017)*(C14*C50-C29*C51)</f>
        <v>0.0316657142296016</v>
      </c>
      <c r="D68" s="140">
        <f>D13+(8/0.017)*(D14*D50-D29*D51)</f>
        <v>0.0230571949855546</v>
      </c>
      <c r="E68" s="140">
        <f>E13+(8/0.017)*(E14*E50-E29*E51)</f>
        <v>-0.02063904884399758</v>
      </c>
      <c r="F68" s="140">
        <f>F13+(8/0.017)*(F14*F50-F29*F51)</f>
        <v>-0.2536792803192352</v>
      </c>
    </row>
    <row r="69" spans="1:6" ht="12.75">
      <c r="A69" s="140" t="s">
        <v>156</v>
      </c>
      <c r="B69" s="140">
        <f>B14+(9/0.017)*(B15*B50-B30*B51)</f>
        <v>0.03937410898165431</v>
      </c>
      <c r="C69" s="140">
        <f>C14+(9/0.017)*(C15*C50-C30*C51)</f>
        <v>-0.016857190140970264</v>
      </c>
      <c r="D69" s="140">
        <f>D14+(9/0.017)*(D15*D50-D30*D51)</f>
        <v>-0.01357905419111307</v>
      </c>
      <c r="E69" s="140">
        <f>E14+(9/0.017)*(E15*E50-E30*E51)</f>
        <v>0.016397558786971536</v>
      </c>
      <c r="F69" s="140">
        <f>F14+(9/0.017)*(F15*F50-F30*F51)</f>
        <v>0.07579507948305228</v>
      </c>
    </row>
    <row r="70" spans="1:6" ht="12.75">
      <c r="A70" s="140" t="s">
        <v>157</v>
      </c>
      <c r="B70" s="140">
        <f>B15+(10/0.017)*(B16*B50-B31*B51)</f>
        <v>-0.26536706902072627</v>
      </c>
      <c r="C70" s="140">
        <f>C15+(10/0.017)*(C16*C50-C31*C51)</f>
        <v>-0.01743613150935152</v>
      </c>
      <c r="D70" s="140">
        <f>D15+(10/0.017)*(D16*D50-D31*D51)</f>
        <v>-0.0017774557399383509</v>
      </c>
      <c r="E70" s="140">
        <f>E15+(10/0.017)*(E16*E50-E31*E51)</f>
        <v>0.007039700267601139</v>
      </c>
      <c r="F70" s="140">
        <f>F15+(10/0.017)*(F16*F50-F31*F51)</f>
        <v>-0.20682720324383227</v>
      </c>
    </row>
    <row r="71" spans="1:6" ht="12.75">
      <c r="A71" s="140" t="s">
        <v>158</v>
      </c>
      <c r="B71" s="140">
        <f>B16+(11/0.017)*(B17*B50-B32*B51)</f>
        <v>0.06392153725948357</v>
      </c>
      <c r="C71" s="140">
        <f>C16+(11/0.017)*(C17*C50-C32*C51)</f>
        <v>0.05602565731902075</v>
      </c>
      <c r="D71" s="140">
        <f>D16+(11/0.017)*(D17*D50-D32*D51)</f>
        <v>0.006174413769072674</v>
      </c>
      <c r="E71" s="140">
        <f>E16+(11/0.017)*(E17*E50-E32*E51)</f>
        <v>0.04788875447134913</v>
      </c>
      <c r="F71" s="140">
        <f>F16+(11/0.017)*(F17*F50-F32*F51)</f>
        <v>-0.06870502889360663</v>
      </c>
    </row>
    <row r="72" spans="1:6" ht="12.75">
      <c r="A72" s="140" t="s">
        <v>159</v>
      </c>
      <c r="B72" s="140">
        <f>B17+(12/0.017)*(B18*B50-B33*B51)</f>
        <v>-0.1199159145140834</v>
      </c>
      <c r="C72" s="140">
        <f>C17+(12/0.017)*(C18*C50-C33*C51)</f>
        <v>-0.07306065321794386</v>
      </c>
      <c r="D72" s="140">
        <f>D17+(12/0.017)*(D18*D50-D33*D51)</f>
        <v>-0.06570399487680813</v>
      </c>
      <c r="E72" s="140">
        <f>E17+(12/0.017)*(E18*E50-E33*E51)</f>
        <v>-0.06870651127498548</v>
      </c>
      <c r="F72" s="140">
        <f>F17+(12/0.017)*(F18*F50-F33*F51)</f>
        <v>-0.09108925044708233</v>
      </c>
    </row>
    <row r="73" spans="1:6" ht="12.75">
      <c r="A73" s="140" t="s">
        <v>160</v>
      </c>
      <c r="B73" s="140">
        <f>B18+(13/0.017)*(B19*B50-B34*B51)</f>
        <v>0.00239028478259898</v>
      </c>
      <c r="C73" s="140">
        <f>C18+(13/0.017)*(C19*C50-C34*C51)</f>
        <v>-0.0026937348509183945</v>
      </c>
      <c r="D73" s="140">
        <f>D18+(13/0.017)*(D19*D50-D34*D51)</f>
        <v>-0.0003061728284234552</v>
      </c>
      <c r="E73" s="140">
        <f>E18+(13/0.017)*(E19*E50-E34*E51)</f>
        <v>-0.01408110427740731</v>
      </c>
      <c r="F73" s="140">
        <f>F18+(13/0.017)*(F19*F50-F34*F51)</f>
        <v>-0.01572382293383227</v>
      </c>
    </row>
    <row r="74" spans="1:6" ht="12.75">
      <c r="A74" s="140" t="s">
        <v>161</v>
      </c>
      <c r="B74" s="140">
        <f>B19+(14/0.017)*(B20*B50-B35*B51)</f>
        <v>-0.17423450304048774</v>
      </c>
      <c r="C74" s="140">
        <f>C19+(14/0.017)*(C20*C50-C35*C51)</f>
        <v>-0.178791500649512</v>
      </c>
      <c r="D74" s="140">
        <f>D19+(14/0.017)*(D20*D50-D35*D51)</f>
        <v>-0.17911312166849488</v>
      </c>
      <c r="E74" s="140">
        <f>E19+(14/0.017)*(E20*E50-E35*E51)</f>
        <v>-0.1742563709149728</v>
      </c>
      <c r="F74" s="140">
        <f>F19+(14/0.017)*(F20*F50-F35*F51)</f>
        <v>-0.14459533908606167</v>
      </c>
    </row>
    <row r="75" spans="1:6" ht="12.75">
      <c r="A75" s="140" t="s">
        <v>162</v>
      </c>
      <c r="B75" s="141">
        <f>B20</f>
        <v>-0.0008457501</v>
      </c>
      <c r="C75" s="141">
        <f>C20</f>
        <v>0.002063262</v>
      </c>
      <c r="D75" s="141">
        <f>D20</f>
        <v>0.0004078234</v>
      </c>
      <c r="E75" s="141">
        <f>E20</f>
        <v>-0.001740874</v>
      </c>
      <c r="F75" s="141">
        <f>F20</f>
        <v>-0.004993229</v>
      </c>
    </row>
    <row r="78" ht="12.75">
      <c r="A78" s="140" t="s">
        <v>144</v>
      </c>
    </row>
    <row r="80" spans="2:6" ht="12.75">
      <c r="B80" s="140" t="s">
        <v>73</v>
      </c>
      <c r="C80" s="140" t="s">
        <v>74</v>
      </c>
      <c r="D80" s="140" t="s">
        <v>75</v>
      </c>
      <c r="E80" s="140" t="s">
        <v>76</v>
      </c>
      <c r="F80" s="140" t="s">
        <v>77</v>
      </c>
    </row>
    <row r="81" spans="1:6" ht="12.75">
      <c r="A81" s="140" t="s">
        <v>163</v>
      </c>
      <c r="B81" s="140">
        <f>B21+(1/0.017)*(B7*B51+B22*B50)</f>
        <v>0</v>
      </c>
      <c r="C81" s="140">
        <f>C21+(1/0.017)*(C7*C51+C22*C50)</f>
        <v>0</v>
      </c>
      <c r="D81" s="140">
        <f>D21+(1/0.017)*(D7*D51+D22*D50)</f>
        <v>0</v>
      </c>
      <c r="E81" s="140">
        <f>E21+(1/0.017)*(E7*E51+E22*E50)</f>
        <v>0</v>
      </c>
      <c r="F81" s="140">
        <f>F21+(1/0.017)*(F7*F51+F22*F50)</f>
        <v>0</v>
      </c>
    </row>
    <row r="82" spans="1:6" ht="12.75">
      <c r="A82" s="140" t="s">
        <v>164</v>
      </c>
      <c r="B82" s="140">
        <f>B22+(2/0.017)*(B8*B51+B23*B50)</f>
        <v>244.44762600792174</v>
      </c>
      <c r="C82" s="140">
        <f>C22+(2/0.017)*(C8*C51+C23*C50)</f>
        <v>113.1743510109442</v>
      </c>
      <c r="D82" s="140">
        <f>D22+(2/0.017)*(D8*D51+D23*D50)</f>
        <v>-16.579944123842942</v>
      </c>
      <c r="E82" s="140">
        <f>E22+(2/0.017)*(E8*E51+E23*E50)</f>
        <v>-123.95216834089526</v>
      </c>
      <c r="F82" s="140">
        <f>F22+(2/0.017)*(F8*F51+F23*F50)</f>
        <v>-215.84849185432176</v>
      </c>
    </row>
    <row r="83" spans="1:6" ht="12.75">
      <c r="A83" s="140" t="s">
        <v>165</v>
      </c>
      <c r="B83" s="140">
        <f>B23+(3/0.017)*(B9*B51+B24*B50)</f>
        <v>1.4146577976943473</v>
      </c>
      <c r="C83" s="140">
        <f>C23+(3/0.017)*(C9*C51+C24*C50)</f>
        <v>3.088112457036879</v>
      </c>
      <c r="D83" s="140">
        <f>D23+(3/0.017)*(D9*D51+D24*D50)</f>
        <v>1.79964212598315</v>
      </c>
      <c r="E83" s="140">
        <f>E23+(3/0.017)*(E9*E51+E24*E50)</f>
        <v>1.3134053726620143</v>
      </c>
      <c r="F83" s="140">
        <f>F23+(3/0.017)*(F9*F51+F24*F50)</f>
        <v>6.68707537396482</v>
      </c>
    </row>
    <row r="84" spans="1:6" ht="12.75">
      <c r="A84" s="140" t="s">
        <v>166</v>
      </c>
      <c r="B84" s="140">
        <f>B24+(4/0.017)*(B10*B51+B25*B50)</f>
        <v>-1.0188043454138622</v>
      </c>
      <c r="C84" s="140">
        <f>C24+(4/0.017)*(C10*C51+C25*C50)</f>
        <v>-0.3284675407895371</v>
      </c>
      <c r="D84" s="140">
        <f>D24+(4/0.017)*(D10*D51+D25*D50)</f>
        <v>-1.2465048800041771</v>
      </c>
      <c r="E84" s="140">
        <f>E24+(4/0.017)*(E10*E51+E25*E50)</f>
        <v>-1.83810112599709</v>
      </c>
      <c r="F84" s="140">
        <f>F24+(4/0.017)*(F10*F51+F25*F50)</f>
        <v>-1.9782634124306642</v>
      </c>
    </row>
    <row r="85" spans="1:6" ht="12.75">
      <c r="A85" s="140" t="s">
        <v>167</v>
      </c>
      <c r="B85" s="140">
        <f>B25+(5/0.017)*(B11*B51+B26*B50)</f>
        <v>0.260819555908959</v>
      </c>
      <c r="C85" s="140">
        <f>C25+(5/0.017)*(C11*C51+C26*C50)</f>
        <v>0.6362849325595459</v>
      </c>
      <c r="D85" s="140">
        <f>D25+(5/0.017)*(D11*D51+D26*D50)</f>
        <v>0.41407103279353286</v>
      </c>
      <c r="E85" s="140">
        <f>E25+(5/0.017)*(E11*E51+E26*E50)</f>
        <v>0.18839816095485418</v>
      </c>
      <c r="F85" s="140">
        <f>F25+(5/0.017)*(F11*F51+F26*F50)</f>
        <v>-1.0098945640971575</v>
      </c>
    </row>
    <row r="86" spans="1:6" ht="12.75">
      <c r="A86" s="140" t="s">
        <v>168</v>
      </c>
      <c r="B86" s="140">
        <f>B26+(6/0.017)*(B12*B51+B27*B50)</f>
        <v>0.7182255204222884</v>
      </c>
      <c r="C86" s="140">
        <f>C26+(6/0.017)*(C12*C51+C27*C50)</f>
        <v>0.09720958163926591</v>
      </c>
      <c r="D86" s="140">
        <f>D26+(6/0.017)*(D12*D51+D27*D50)</f>
        <v>-0.13193888465870066</v>
      </c>
      <c r="E86" s="140">
        <f>E26+(6/0.017)*(E12*E51+E27*E50)</f>
        <v>0.0721592687433624</v>
      </c>
      <c r="F86" s="140">
        <f>F26+(6/0.017)*(F12*F51+F27*F50)</f>
        <v>0.07545853644048542</v>
      </c>
    </row>
    <row r="87" spans="1:6" ht="12.75">
      <c r="A87" s="140" t="s">
        <v>169</v>
      </c>
      <c r="B87" s="140">
        <f>B27+(7/0.017)*(B13*B51+B28*B50)</f>
        <v>0.20163815574855443</v>
      </c>
      <c r="C87" s="140">
        <f>C27+(7/0.017)*(C13*C51+C28*C50)</f>
        <v>0.20038442568594805</v>
      </c>
      <c r="D87" s="140">
        <f>D27+(7/0.017)*(D13*D51+D28*D50)</f>
        <v>0.16919261099866165</v>
      </c>
      <c r="E87" s="140">
        <f>E27+(7/0.017)*(E13*E51+E28*E50)</f>
        <v>0.11384686823392988</v>
      </c>
      <c r="F87" s="140">
        <f>F27+(7/0.017)*(F13*F51+F28*F50)</f>
        <v>0.6402535974286093</v>
      </c>
    </row>
    <row r="88" spans="1:6" ht="12.75">
      <c r="A88" s="140" t="s">
        <v>170</v>
      </c>
      <c r="B88" s="140">
        <f>B28+(8/0.017)*(B14*B51+B29*B50)</f>
        <v>0.23871194271528112</v>
      </c>
      <c r="C88" s="140">
        <f>C28+(8/0.017)*(C14*C51+C29*C50)</f>
        <v>0.17302926518892453</v>
      </c>
      <c r="D88" s="140">
        <f>D28+(8/0.017)*(D14*D51+D29*D50)</f>
        <v>0.1649307576685031</v>
      </c>
      <c r="E88" s="140">
        <f>E28+(8/0.017)*(E14*E51+E29*E50)</f>
        <v>-0.10360260876609718</v>
      </c>
      <c r="F88" s="140">
        <f>F28+(8/0.017)*(F14*F51+F29*F50)</f>
        <v>0.030643659010764684</v>
      </c>
    </row>
    <row r="89" spans="1:6" ht="12.75">
      <c r="A89" s="140" t="s">
        <v>171</v>
      </c>
      <c r="B89" s="140">
        <f>B29+(9/0.017)*(B15*B51+B30*B50)</f>
        <v>-0.03992354713764795</v>
      </c>
      <c r="C89" s="140">
        <f>C29+(9/0.017)*(C15*C51+C30*C50)</f>
        <v>0.017182619669067783</v>
      </c>
      <c r="D89" s="140">
        <f>D29+(9/0.017)*(D15*D51+D30*D50)</f>
        <v>0.030471250270157152</v>
      </c>
      <c r="E89" s="140">
        <f>E29+(9/0.017)*(E15*E51+E30*E50)</f>
        <v>0.06493640080351243</v>
      </c>
      <c r="F89" s="140">
        <f>F29+(9/0.017)*(F15*F51+F30*F50)</f>
        <v>0.03389173560020792</v>
      </c>
    </row>
    <row r="90" spans="1:6" ht="12.75">
      <c r="A90" s="140" t="s">
        <v>172</v>
      </c>
      <c r="B90" s="140">
        <f>B30+(10/0.017)*(B16*B51+B31*B50)</f>
        <v>-0.06389160615270797</v>
      </c>
      <c r="C90" s="140">
        <f>C30+(10/0.017)*(C16*C51+C31*C50)</f>
        <v>-0.019892383631470036</v>
      </c>
      <c r="D90" s="140">
        <f>D30+(10/0.017)*(D16*D51+D31*D50)</f>
        <v>-0.001981426775100943</v>
      </c>
      <c r="E90" s="140">
        <f>E30+(10/0.017)*(E16*E51+E31*E50)</f>
        <v>-0.0727317004358948</v>
      </c>
      <c r="F90" s="140">
        <f>F30+(10/0.017)*(F16*F51+F31*F50)</f>
        <v>0.20073131204095246</v>
      </c>
    </row>
    <row r="91" spans="1:6" ht="12.75">
      <c r="A91" s="140" t="s">
        <v>173</v>
      </c>
      <c r="B91" s="140">
        <f>B31+(11/0.017)*(B17*B51+B32*B50)</f>
        <v>0.1721771847884871</v>
      </c>
      <c r="C91" s="140">
        <f>C31+(11/0.017)*(C17*C51+C32*C50)</f>
        <v>0.0914547774359207</v>
      </c>
      <c r="D91" s="140">
        <f>D31+(11/0.017)*(D17*D51+D32*D50)</f>
        <v>0.09767671216741558</v>
      </c>
      <c r="E91" s="140">
        <f>E31+(11/0.017)*(E17*E51+E32*E50)</f>
        <v>0.09527034348673753</v>
      </c>
      <c r="F91" s="140">
        <f>F31+(11/0.017)*(F17*F51+F32*F50)</f>
        <v>0.14185096292001254</v>
      </c>
    </row>
    <row r="92" spans="1:6" ht="12.75">
      <c r="A92" s="140" t="s">
        <v>174</v>
      </c>
      <c r="B92" s="140">
        <f>B32+(12/0.017)*(B18*B51+B33*B50)</f>
        <v>0.045661229950854976</v>
      </c>
      <c r="C92" s="140">
        <f>C32+(12/0.017)*(C18*C51+C33*C50)</f>
        <v>0.0447438867536106</v>
      </c>
      <c r="D92" s="140">
        <f>D32+(12/0.017)*(D18*D51+D33*D50)</f>
        <v>0.03834123901260217</v>
      </c>
      <c r="E92" s="140">
        <f>E32+(12/0.017)*(E18*E51+E33*E50)</f>
        <v>0.017272471902566713</v>
      </c>
      <c r="F92" s="140">
        <f>F32+(12/0.017)*(F18*F51+F33*F50)</f>
        <v>-0.03411901790273954</v>
      </c>
    </row>
    <row r="93" spans="1:6" ht="12.75">
      <c r="A93" s="140" t="s">
        <v>175</v>
      </c>
      <c r="B93" s="140">
        <f>B33+(13/0.017)*(B19*B51+B34*B50)</f>
        <v>-0.08734980890723298</v>
      </c>
      <c r="C93" s="140">
        <f>C33+(13/0.017)*(C19*C51+C34*C50)</f>
        <v>-0.08426974957052918</v>
      </c>
      <c r="D93" s="140">
        <f>D33+(13/0.017)*(D19*D51+D34*D50)</f>
        <v>-0.0844066684440877</v>
      </c>
      <c r="E93" s="140">
        <f>E33+(13/0.017)*(E19*E51+E34*E50)</f>
        <v>-0.08044434807341264</v>
      </c>
      <c r="F93" s="140">
        <f>F33+(13/0.017)*(F19*F51+F34*F50)</f>
        <v>-0.07499667445532607</v>
      </c>
    </row>
    <row r="94" spans="1:6" ht="12.75">
      <c r="A94" s="140" t="s">
        <v>176</v>
      </c>
      <c r="B94" s="140">
        <f>B34+(14/0.017)*(B20*B51+B35*B50)</f>
        <v>-0.03995320803554101</v>
      </c>
      <c r="C94" s="140">
        <f>C34+(14/0.017)*(C20*C51+C35*C50)</f>
        <v>-0.009446959300567138</v>
      </c>
      <c r="D94" s="140">
        <f>D34+(14/0.017)*(D20*D51+D35*D50)</f>
        <v>0.004627042055475026</v>
      </c>
      <c r="E94" s="140">
        <f>E34+(14/0.017)*(E20*E51+E35*E50)</f>
        <v>0.015648266316424655</v>
      </c>
      <c r="F94" s="140">
        <f>F34+(14/0.017)*(F20*F51+F35*F50)</f>
        <v>-0.010082451101111478</v>
      </c>
    </row>
    <row r="95" spans="1:6" ht="12.75">
      <c r="A95" s="140" t="s">
        <v>177</v>
      </c>
      <c r="B95" s="141">
        <f>B35</f>
        <v>-0.006132414</v>
      </c>
      <c r="C95" s="141">
        <f>C35</f>
        <v>0.001005053</v>
      </c>
      <c r="D95" s="141">
        <f>D35</f>
        <v>0.0009218319</v>
      </c>
      <c r="E95" s="141">
        <f>E35</f>
        <v>-0.0003759147</v>
      </c>
      <c r="F95" s="141">
        <f>F35</f>
        <v>0.003811818</v>
      </c>
    </row>
    <row r="98" ht="12.75">
      <c r="A98" s="140" t="s">
        <v>145</v>
      </c>
    </row>
    <row r="100" spans="2:11" ht="12.75">
      <c r="B100" s="140" t="s">
        <v>73</v>
      </c>
      <c r="C100" s="140" t="s">
        <v>74</v>
      </c>
      <c r="D100" s="140" t="s">
        <v>75</v>
      </c>
      <c r="E100" s="140" t="s">
        <v>76</v>
      </c>
      <c r="F100" s="140" t="s">
        <v>77</v>
      </c>
      <c r="G100" s="140" t="s">
        <v>147</v>
      </c>
      <c r="H100" s="140" t="s">
        <v>148</v>
      </c>
      <c r="I100" s="140" t="s">
        <v>143</v>
      </c>
      <c r="K100" s="140" t="s">
        <v>178</v>
      </c>
    </row>
    <row r="101" spans="1:9" ht="12.75">
      <c r="A101" s="140" t="s">
        <v>146</v>
      </c>
      <c r="B101" s="140">
        <f>B61*10000/B62</f>
        <v>0</v>
      </c>
      <c r="C101" s="140">
        <f>C61*10000/C62</f>
        <v>0</v>
      </c>
      <c r="D101" s="140">
        <f>D61*10000/D62</f>
        <v>0</v>
      </c>
      <c r="E101" s="140">
        <f>E61*10000/E62</f>
        <v>0</v>
      </c>
      <c r="F101" s="140">
        <f>F61*10000/F62</f>
        <v>0</v>
      </c>
      <c r="G101" s="140">
        <f>AVERAGE(C101:E101)</f>
        <v>0</v>
      </c>
      <c r="H101" s="140">
        <f>STDEV(C101:E101)</f>
        <v>0</v>
      </c>
      <c r="I101" s="140">
        <f>(B101*B4+C101*C4+D101*D4+E101*E4+F101*F4)/SUM(B4:F4)</f>
        <v>0</v>
      </c>
    </row>
    <row r="102" spans="1:9" ht="12.75">
      <c r="A102" s="140" t="s">
        <v>149</v>
      </c>
      <c r="B102" s="140">
        <f>B62*10000/B62</f>
        <v>10000</v>
      </c>
      <c r="C102" s="140">
        <f>C62*10000/C62</f>
        <v>10000</v>
      </c>
      <c r="D102" s="140">
        <f>D62*10000/D62</f>
        <v>10000</v>
      </c>
      <c r="E102" s="140">
        <f>E62*10000/E62</f>
        <v>10000</v>
      </c>
      <c r="F102" s="140">
        <f>F62*10000/F62</f>
        <v>10000</v>
      </c>
      <c r="G102" s="140">
        <f>AVERAGE(C102:E102)</f>
        <v>10000</v>
      </c>
      <c r="H102" s="140">
        <f>STDEV(C102:E102)</f>
        <v>0</v>
      </c>
      <c r="I102" s="140">
        <f>(B102*B4+C102*C4+D102*D4+E102*E4+F102*F4)/SUM(B4:F4)</f>
        <v>10000</v>
      </c>
    </row>
    <row r="103" spans="1:11" ht="12.75">
      <c r="A103" s="140" t="s">
        <v>150</v>
      </c>
      <c r="B103" s="140">
        <f>B63*10000/B62</f>
        <v>-2.406624405736538</v>
      </c>
      <c r="C103" s="140">
        <f>C63*10000/C62</f>
        <v>0.20749796195090944</v>
      </c>
      <c r="D103" s="140">
        <f>D63*10000/D62</f>
        <v>0.606399333074451</v>
      </c>
      <c r="E103" s="140">
        <f>E63*10000/E62</f>
        <v>-1.5099218012202196</v>
      </c>
      <c r="F103" s="140">
        <f>F63*10000/F62</f>
        <v>-5.787007368532209</v>
      </c>
      <c r="G103" s="140">
        <f>AVERAGE(C103:E103)</f>
        <v>-0.2320081687316197</v>
      </c>
      <c r="H103" s="140">
        <f>STDEV(C103:E103)</f>
        <v>1.1245345770789872</v>
      </c>
      <c r="I103" s="140">
        <f>(B103*B4+C103*C4+D103*D4+E103*E4+F103*F4)/SUM(B4:F4)</f>
        <v>-1.29057868414862</v>
      </c>
      <c r="K103" s="140">
        <f>(LN(H103)+LN(H123))/2-LN(K114*K115^3)</f>
        <v>-3.8631057827630793</v>
      </c>
    </row>
    <row r="104" spans="1:11" ht="12.75">
      <c r="A104" s="140" t="s">
        <v>151</v>
      </c>
      <c r="B104" s="140">
        <f>B64*10000/B62</f>
        <v>0.7385472727429061</v>
      </c>
      <c r="C104" s="140">
        <f>C64*10000/C62</f>
        <v>0.6158195505361698</v>
      </c>
      <c r="D104" s="140">
        <f>D64*10000/D62</f>
        <v>0.6958766920019748</v>
      </c>
      <c r="E104" s="140">
        <f>E64*10000/E62</f>
        <v>0.4221498351483526</v>
      </c>
      <c r="F104" s="140">
        <f>F64*10000/F62</f>
        <v>1.2169791096366873</v>
      </c>
      <c r="G104" s="140">
        <f>AVERAGE(C104:E104)</f>
        <v>0.5779486925621657</v>
      </c>
      <c r="H104" s="140">
        <f>STDEV(C104:E104)</f>
        <v>0.1407382302485938</v>
      </c>
      <c r="I104" s="140">
        <f>(B104*B4+C104*C4+D104*D4+E104*E4+F104*F4)/SUM(B4:F4)</f>
        <v>0.6868369966001668</v>
      </c>
      <c r="K104" s="140">
        <f>(LN(H104)+LN(H124))/2-LN(K114*K115^4)</f>
        <v>-4.404419736602037</v>
      </c>
    </row>
    <row r="105" spans="1:11" ht="12.75">
      <c r="A105" s="140" t="s">
        <v>152</v>
      </c>
      <c r="B105" s="140">
        <f>B65*10000/B62</f>
        <v>-0.011949859107539405</v>
      </c>
      <c r="C105" s="140">
        <f>C65*10000/C62</f>
        <v>-0.7669725784804866</v>
      </c>
      <c r="D105" s="140">
        <f>D65*10000/D62</f>
        <v>-0.8361668464202646</v>
      </c>
      <c r="E105" s="140">
        <f>E65*10000/E62</f>
        <v>0.02338222293559843</v>
      </c>
      <c r="F105" s="140">
        <f>F65*10000/F62</f>
        <v>0.6916512248054965</v>
      </c>
      <c r="G105" s="140">
        <f>AVERAGE(C105:E105)</f>
        <v>-0.5265857339883843</v>
      </c>
      <c r="H105" s="140">
        <f>STDEV(C105:E105)</f>
        <v>0.4775411258847612</v>
      </c>
      <c r="I105" s="140">
        <f>(B105*B4+C105*C4+D105*D4+E105*E4+F105*F4)/SUM(B4:F4)</f>
        <v>-0.2890141391117012</v>
      </c>
      <c r="K105" s="140">
        <f>(LN(H105)+LN(H125))/2-LN(K114*K115^5)</f>
        <v>-3.8136164551870158</v>
      </c>
    </row>
    <row r="106" spans="1:11" ht="12.75">
      <c r="A106" s="140" t="s">
        <v>153</v>
      </c>
      <c r="B106" s="140">
        <f>B66*10000/B62</f>
        <v>3.876591132819879</v>
      </c>
      <c r="C106" s="140">
        <f>C66*10000/C62</f>
        <v>4.600630077357957</v>
      </c>
      <c r="D106" s="140">
        <f>D66*10000/D62</f>
        <v>4.464251814328687</v>
      </c>
      <c r="E106" s="140">
        <f>E66*10000/E62</f>
        <v>4.324310763645957</v>
      </c>
      <c r="F106" s="140">
        <f>F66*10000/F62</f>
        <v>14.375239294552177</v>
      </c>
      <c r="G106" s="140">
        <f>AVERAGE(C106:E106)</f>
        <v>4.4630642184442</v>
      </c>
      <c r="H106" s="140">
        <f>STDEV(C106:E106)</f>
        <v>0.13816348493927358</v>
      </c>
      <c r="I106" s="140">
        <f>(B106*B4+C106*C4+D106*D4+E106*E4+F106*F4)/SUM(B4:F4)</f>
        <v>5.709031367118563</v>
      </c>
      <c r="K106" s="140">
        <f>(LN(H106)+LN(H126))/2-LN(K114*K115^6)</f>
        <v>-4.13120423298285</v>
      </c>
    </row>
    <row r="107" spans="1:11" ht="12.75">
      <c r="A107" s="140" t="s">
        <v>154</v>
      </c>
      <c r="B107" s="140">
        <f>B67*10000/B62</f>
        <v>0.18304524687720533</v>
      </c>
      <c r="C107" s="140">
        <f>C67*10000/C62</f>
        <v>0.06955639538054019</v>
      </c>
      <c r="D107" s="140">
        <f>D67*10000/D62</f>
        <v>-0.032085129442848005</v>
      </c>
      <c r="E107" s="140">
        <f>E67*10000/E62</f>
        <v>-0.11265328242971569</v>
      </c>
      <c r="F107" s="140">
        <f>F67*10000/F62</f>
        <v>0.0003163797363224161</v>
      </c>
      <c r="G107" s="140">
        <f>AVERAGE(C107:E107)</f>
        <v>-0.02506067216400783</v>
      </c>
      <c r="H107" s="140">
        <f>STDEV(C107:E107)</f>
        <v>0.09130771556651716</v>
      </c>
      <c r="I107" s="140">
        <f>(B107*B4+C107*C4+D107*D4+E107*E4+F107*F4)/SUM(B4:F4)</f>
        <v>0.008307255820261587</v>
      </c>
      <c r="K107" s="140">
        <f>(LN(H107)+LN(H127))/2-LN(K114*K115^7)</f>
        <v>-4.273768934521365</v>
      </c>
    </row>
    <row r="108" spans="1:9" ht="12.75">
      <c r="A108" s="140" t="s">
        <v>155</v>
      </c>
      <c r="B108" s="140">
        <f>B68*10000/B62</f>
        <v>-0.3409739224054311</v>
      </c>
      <c r="C108" s="140">
        <f>C68*10000/C62</f>
        <v>0.031667758495069406</v>
      </c>
      <c r="D108" s="140">
        <f>D68*10000/D62</f>
        <v>0.02305804163431373</v>
      </c>
      <c r="E108" s="140">
        <f>E68*10000/E62</f>
        <v>-0.0206399243133291</v>
      </c>
      <c r="F108" s="140">
        <f>F68*10000/F62</f>
        <v>-0.253726980589967</v>
      </c>
      <c r="G108" s="140">
        <f>AVERAGE(C108:E108)</f>
        <v>0.011361958605351344</v>
      </c>
      <c r="H108" s="140">
        <f>STDEV(C108:E108)</f>
        <v>0.028046785713541106</v>
      </c>
      <c r="I108" s="140">
        <f>(B108*B4+C108*C4+D108*D4+E108*E4+F108*F4)/SUM(B4:F4)</f>
        <v>-0.07493313843035926</v>
      </c>
    </row>
    <row r="109" spans="1:9" ht="12.75">
      <c r="A109" s="140" t="s">
        <v>156</v>
      </c>
      <c r="B109" s="140">
        <f>B69*10000/B62</f>
        <v>0.03937610568848387</v>
      </c>
      <c r="C109" s="140">
        <f>C69*10000/C62</f>
        <v>-0.01685827840228152</v>
      </c>
      <c r="D109" s="140">
        <f>D69*10000/D62</f>
        <v>-0.013579552807245184</v>
      </c>
      <c r="E109" s="140">
        <f>E69*10000/E62</f>
        <v>0.0163982543403344</v>
      </c>
      <c r="F109" s="140">
        <f>F69*10000/F62</f>
        <v>0.07580933151738055</v>
      </c>
      <c r="G109" s="140">
        <f>AVERAGE(C109:E109)</f>
        <v>-0.0046798589563974355</v>
      </c>
      <c r="H109" s="140">
        <f>STDEV(C109:E109)</f>
        <v>0.018327647298392778</v>
      </c>
      <c r="I109" s="140">
        <f>(B109*B4+C109*C4+D109*D4+E109*E4+F109*F4)/SUM(B4:F4)</f>
        <v>0.012463991433413407</v>
      </c>
    </row>
    <row r="110" spans="1:11" ht="12.75">
      <c r="A110" s="140" t="s">
        <v>157</v>
      </c>
      <c r="B110" s="140">
        <f>B70*10000/B62</f>
        <v>-0.2653805260932228</v>
      </c>
      <c r="C110" s="140">
        <f>C70*10000/C62</f>
        <v>-0.017437257145782085</v>
      </c>
      <c r="D110" s="140">
        <f>D70*10000/D62</f>
        <v>-0.0017775210072311664</v>
      </c>
      <c r="E110" s="140">
        <f>E70*10000/E62</f>
        <v>0.007039998878343036</v>
      </c>
      <c r="F110" s="140">
        <f>F70*10000/F62</f>
        <v>-0.20686609374201176</v>
      </c>
      <c r="G110" s="140">
        <f>AVERAGE(C110:E110)</f>
        <v>-0.004058259758223406</v>
      </c>
      <c r="H110" s="140">
        <f>STDEV(C110:E110)</f>
        <v>0.012396989253659561</v>
      </c>
      <c r="I110" s="140">
        <f>(B110*B4+C110*C4+D110*D4+E110*E4+F110*F4)/SUM(B4:F4)</f>
        <v>-0.06889538110031285</v>
      </c>
      <c r="K110" s="140">
        <f>EXP(AVERAGE(K103:K107))</f>
        <v>0.016618761210375612</v>
      </c>
    </row>
    <row r="111" spans="1:9" ht="12.75">
      <c r="A111" s="140" t="s">
        <v>158</v>
      </c>
      <c r="B111" s="140">
        <f>B71*10000/B62</f>
        <v>0.06392477879493168</v>
      </c>
      <c r="C111" s="140">
        <f>C71*10000/C62</f>
        <v>0.05602927420622368</v>
      </c>
      <c r="D111" s="140">
        <f>D71*10000/D62</f>
        <v>0.006174640490482595</v>
      </c>
      <c r="E111" s="140">
        <f>E71*10000/E62</f>
        <v>0.0478907858215427</v>
      </c>
      <c r="F111" s="140">
        <f>F71*10000/F62</f>
        <v>-0.06871794775901313</v>
      </c>
      <c r="G111" s="140">
        <f>AVERAGE(C111:E111)</f>
        <v>0.03669823350608299</v>
      </c>
      <c r="H111" s="140">
        <f>STDEV(C111:E111)</f>
        <v>0.02674557993825155</v>
      </c>
      <c r="I111" s="140">
        <f>(B111*B4+C111*C4+D111*D4+E111*E4+F111*F4)/SUM(B4:F4)</f>
        <v>0.02647000125329333</v>
      </c>
    </row>
    <row r="112" spans="1:9" ht="12.75">
      <c r="A112" s="140" t="s">
        <v>159</v>
      </c>
      <c r="B112" s="140">
        <f>B72*10000/B62</f>
        <v>-0.11992199558948231</v>
      </c>
      <c r="C112" s="140">
        <f>C72*10000/C62</f>
        <v>-0.07306536984518765</v>
      </c>
      <c r="D112" s="140">
        <f>D72*10000/D62</f>
        <v>-0.06570640749489838</v>
      </c>
      <c r="E112" s="140">
        <f>E72*10000/E62</f>
        <v>-0.06870942567496348</v>
      </c>
      <c r="F112" s="140">
        <f>F72*10000/F62</f>
        <v>-0.09110637830199272</v>
      </c>
      <c r="G112" s="140">
        <f>AVERAGE(C112:E112)</f>
        <v>-0.06916040100501651</v>
      </c>
      <c r="H112" s="140">
        <f>STDEV(C112:E112)</f>
        <v>0.0037001507779388116</v>
      </c>
      <c r="I112" s="140">
        <f>(B112*B4+C112*C4+D112*D4+E112*E4+F112*F4)/SUM(B4:F4)</f>
        <v>-0.0794130536919765</v>
      </c>
    </row>
    <row r="113" spans="1:9" ht="12.75">
      <c r="A113" s="140" t="s">
        <v>160</v>
      </c>
      <c r="B113" s="140">
        <f>B73*10000/B62</f>
        <v>0.0023904059967184465</v>
      </c>
      <c r="C113" s="140">
        <f>C73*10000/C62</f>
        <v>-0.0026939087522267697</v>
      </c>
      <c r="D113" s="140">
        <f>D73*10000/D62</f>
        <v>-0.0003061840709377952</v>
      </c>
      <c r="E113" s="140">
        <f>E73*10000/E62</f>
        <v>-0.014081701571160619</v>
      </c>
      <c r="F113" s="140">
        <f>F73*10000/F62</f>
        <v>-0.015726779543492858</v>
      </c>
      <c r="G113" s="140">
        <f>AVERAGE(C113:E113)</f>
        <v>-0.0056939314647750615</v>
      </c>
      <c r="H113" s="140">
        <f>STDEV(C113:E113)</f>
        <v>0.0073614755862252594</v>
      </c>
      <c r="I113" s="140">
        <f>(B113*B4+C113*C4+D113*D4+E113*E4+F113*F4)/SUM(B4:F4)</f>
        <v>-0.005876612432994452</v>
      </c>
    </row>
    <row r="114" spans="1:11" ht="12.75">
      <c r="A114" s="140" t="s">
        <v>161</v>
      </c>
      <c r="B114" s="140">
        <f>B74*10000/B62</f>
        <v>-0.17424333867464334</v>
      </c>
      <c r="C114" s="140">
        <f>C74*10000/C62</f>
        <v>-0.17880304301637812</v>
      </c>
      <c r="D114" s="140">
        <f>D74*10000/D62</f>
        <v>-0.1791196986134485</v>
      </c>
      <c r="E114" s="140">
        <f>E74*10000/E62</f>
        <v>-0.17426376253993145</v>
      </c>
      <c r="F114" s="140">
        <f>F74*10000/F62</f>
        <v>-0.14462252789238547</v>
      </c>
      <c r="G114" s="140">
        <f>AVERAGE(C114:E114)</f>
        <v>-0.17739550138991936</v>
      </c>
      <c r="H114" s="140">
        <f>STDEV(C114:E114)</f>
        <v>0.0027167828143171394</v>
      </c>
      <c r="I114" s="140">
        <f>(B114*B4+C114*C4+D114*D4+E114*E4+F114*F4)/SUM(B4:F4)</f>
        <v>-0.17254317600401575</v>
      </c>
      <c r="J114" s="140" t="s">
        <v>179</v>
      </c>
      <c r="K114" s="140">
        <v>285</v>
      </c>
    </row>
    <row r="115" spans="1:11" ht="12.75">
      <c r="A115" s="140" t="s">
        <v>162</v>
      </c>
      <c r="B115" s="140">
        <f>B75*10000/B62</f>
        <v>-0.0008457929889705555</v>
      </c>
      <c r="C115" s="140">
        <f>C75*10000/C62</f>
        <v>0.002063395199435423</v>
      </c>
      <c r="D115" s="140">
        <f>D75*10000/D62</f>
        <v>0.00040783837507289033</v>
      </c>
      <c r="E115" s="140">
        <f>E75*10000/E62</f>
        <v>-0.0017409478445753268</v>
      </c>
      <c r="F115" s="140">
        <f>F75*10000/F62</f>
        <v>-0.00499416789565922</v>
      </c>
      <c r="G115" s="140">
        <f>AVERAGE(C115:E115)</f>
        <v>0.0002434285766443289</v>
      </c>
      <c r="H115" s="140">
        <f>STDEV(C115:E115)</f>
        <v>0.0019074929712826559</v>
      </c>
      <c r="I115" s="140">
        <f>(B115*B4+C115*C4+D115*D4+E115*E4+F115*F4)/SUM(B4:F4)</f>
        <v>-0.000616215505336318</v>
      </c>
      <c r="J115" s="140" t="s">
        <v>180</v>
      </c>
      <c r="K115" s="140">
        <v>0.5536</v>
      </c>
    </row>
    <row r="118" ht="12.75">
      <c r="A118" s="140" t="s">
        <v>145</v>
      </c>
    </row>
    <row r="120" spans="2:9" ht="12.75">
      <c r="B120" s="140" t="s">
        <v>73</v>
      </c>
      <c r="C120" s="140" t="s">
        <v>74</v>
      </c>
      <c r="D120" s="140" t="s">
        <v>75</v>
      </c>
      <c r="E120" s="140" t="s">
        <v>76</v>
      </c>
      <c r="F120" s="140" t="s">
        <v>77</v>
      </c>
      <c r="G120" s="140" t="s">
        <v>147</v>
      </c>
      <c r="H120" s="140" t="s">
        <v>148</v>
      </c>
      <c r="I120" s="140" t="s">
        <v>143</v>
      </c>
    </row>
    <row r="121" spans="1:9" ht="12.75">
      <c r="A121" s="140" t="s">
        <v>163</v>
      </c>
      <c r="B121" s="140">
        <f>B81*10000/B62</f>
        <v>0</v>
      </c>
      <c r="C121" s="140">
        <f>C81*10000/C62</f>
        <v>0</v>
      </c>
      <c r="D121" s="140">
        <f>D81*10000/D62</f>
        <v>0</v>
      </c>
      <c r="E121" s="140">
        <f>E81*10000/E62</f>
        <v>0</v>
      </c>
      <c r="F121" s="140">
        <f>F81*10000/F62</f>
        <v>0</v>
      </c>
      <c r="G121" s="140">
        <f>AVERAGE(C121:E121)</f>
        <v>0</v>
      </c>
      <c r="H121" s="140">
        <f>STDEV(C121:E121)</f>
        <v>0</v>
      </c>
      <c r="I121" s="140">
        <f>(B121*B4+C121*C4+D121*D4+E121*E4+F121*F4)/SUM(B4:F4)</f>
        <v>0</v>
      </c>
    </row>
    <row r="122" spans="1:9" ht="12.75">
      <c r="A122" s="140" t="s">
        <v>164</v>
      </c>
      <c r="B122" s="140">
        <f>B82*10000/B62</f>
        <v>244.4600222311492</v>
      </c>
      <c r="C122" s="140">
        <f>C82*10000/C62</f>
        <v>113.1816572859878</v>
      </c>
      <c r="D122" s="140">
        <f>D82*10000/D62</f>
        <v>-16.580552931164377</v>
      </c>
      <c r="E122" s="140">
        <f>E82*10000/E62</f>
        <v>-123.95742615693018</v>
      </c>
      <c r="F122" s="140">
        <f>F82*10000/F62</f>
        <v>-215.88907865938344</v>
      </c>
      <c r="G122" s="140">
        <f>AVERAGE(C122:E122)</f>
        <v>-9.118773934035588</v>
      </c>
      <c r="H122" s="140">
        <f>STDEV(C122:E122)</f>
        <v>118.74550447654134</v>
      </c>
      <c r="I122" s="140">
        <f>(B122*B4+C122*C4+D122*D4+E122*E4+F122*F4)/SUM(B4:F4)</f>
        <v>-0.3614976925054984</v>
      </c>
    </row>
    <row r="123" spans="1:9" ht="12.75">
      <c r="A123" s="140" t="s">
        <v>165</v>
      </c>
      <c r="B123" s="140">
        <f>B83*10000/B62</f>
        <v>1.4147295366354735</v>
      </c>
      <c r="C123" s="140">
        <f>C83*10000/C62</f>
        <v>3.0883118184538003</v>
      </c>
      <c r="D123" s="140">
        <f>D83*10000/D62</f>
        <v>1.799708207949053</v>
      </c>
      <c r="E123" s="140">
        <f>E83*10000/E62</f>
        <v>1.3134610848284183</v>
      </c>
      <c r="F123" s="140">
        <f>F83*10000/F62</f>
        <v>6.688332769938747</v>
      </c>
      <c r="G123" s="140">
        <f>AVERAGE(C123:E123)</f>
        <v>2.067160370410424</v>
      </c>
      <c r="H123" s="140">
        <f>STDEV(C123:E123)</f>
        <v>0.9171541724631618</v>
      </c>
      <c r="I123" s="140">
        <f>(B123*B4+C123*C4+D123*D4+E123*E4+F123*F4)/SUM(B4:F4)</f>
        <v>2.5935494339088283</v>
      </c>
    </row>
    <row r="124" spans="1:9" ht="12.75">
      <c r="A124" s="140" t="s">
        <v>166</v>
      </c>
      <c r="B124" s="140">
        <f>B84*10000/B62</f>
        <v>-1.0188560101663373</v>
      </c>
      <c r="C124" s="140">
        <f>C84*10000/C62</f>
        <v>-0.32848874589629906</v>
      </c>
      <c r="D124" s="140">
        <f>D84*10000/D62</f>
        <v>-1.2465506510448683</v>
      </c>
      <c r="E124" s="140">
        <f>E84*10000/E62</f>
        <v>-1.8381790947628118</v>
      </c>
      <c r="F124" s="140">
        <f>F84*10000/F62</f>
        <v>-1.9786353927525613</v>
      </c>
      <c r="G124" s="140">
        <f>AVERAGE(C124:E124)</f>
        <v>-1.1377394972346597</v>
      </c>
      <c r="H124" s="140">
        <f>STDEV(C124:E124)</f>
        <v>0.7607043694894257</v>
      </c>
      <c r="I124" s="140">
        <f>(B124*B4+C124*C4+D124*D4+E124*E4+F124*F4)/SUM(B4:F4)</f>
        <v>-1.2334371725887974</v>
      </c>
    </row>
    <row r="125" spans="1:9" ht="12.75">
      <c r="A125" s="140" t="s">
        <v>167</v>
      </c>
      <c r="B125" s="140">
        <f>B85*10000/B62</f>
        <v>0.2608327823717802</v>
      </c>
      <c r="C125" s="140">
        <f>C85*10000/C62</f>
        <v>0.6363260096470825</v>
      </c>
      <c r="D125" s="140">
        <f>D85*10000/D62</f>
        <v>0.41408623727639937</v>
      </c>
      <c r="E125" s="140">
        <f>E85*10000/E62</f>
        <v>0.18840615244774114</v>
      </c>
      <c r="F125" s="140">
        <f>F85*10000/F62</f>
        <v>-1.0100844583764907</v>
      </c>
      <c r="G125" s="140">
        <f>AVERAGE(C125:E125)</f>
        <v>0.4129394664570743</v>
      </c>
      <c r="H125" s="140">
        <f>STDEV(C125:E125)</f>
        <v>0.22396213057312545</v>
      </c>
      <c r="I125" s="140">
        <f>(B125*B4+C125*C4+D125*D4+E125*E4+F125*F4)/SUM(B4:F4)</f>
        <v>0.2000653166656878</v>
      </c>
    </row>
    <row r="126" spans="1:9" ht="12.75">
      <c r="A126" s="140" t="s">
        <v>168</v>
      </c>
      <c r="B126" s="140">
        <f>B86*10000/B62</f>
        <v>0.7182619424731964</v>
      </c>
      <c r="C126" s="140">
        <f>C86*10000/C62</f>
        <v>0.09721585726562458</v>
      </c>
      <c r="D126" s="140">
        <f>D86*10000/D62</f>
        <v>-0.13194372938907864</v>
      </c>
      <c r="E126" s="140">
        <f>E86*10000/E62</f>
        <v>0.07216232960276765</v>
      </c>
      <c r="F126" s="140">
        <f>F86*10000/F62</f>
        <v>0.07547272519335758</v>
      </c>
      <c r="G126" s="140">
        <f>AVERAGE(C126:E126)</f>
        <v>0.01247815249310453</v>
      </c>
      <c r="H126" s="140">
        <f>STDEV(C126:E126)</f>
        <v>0.12569876605154814</v>
      </c>
      <c r="I126" s="140">
        <f>(B126*B4+C126*C4+D126*D4+E126*E4+F126*F4)/SUM(B4:F4)</f>
        <v>0.12253269040416634</v>
      </c>
    </row>
    <row r="127" spans="1:9" ht="12.75">
      <c r="A127" s="140" t="s">
        <v>169</v>
      </c>
      <c r="B127" s="140">
        <f>B87*10000/B62</f>
        <v>0.20164838105378913</v>
      </c>
      <c r="C127" s="140">
        <f>C87*10000/C62</f>
        <v>0.20039736204224642</v>
      </c>
      <c r="D127" s="140">
        <f>D87*10000/D62</f>
        <v>0.16919882366738592</v>
      </c>
      <c r="E127" s="140">
        <f>E87*10000/E62</f>
        <v>0.11385169740228844</v>
      </c>
      <c r="F127" s="140">
        <f>F87*10000/F62</f>
        <v>0.640373986724479</v>
      </c>
      <c r="G127" s="140">
        <f>AVERAGE(C127:E127)</f>
        <v>0.16114929437064027</v>
      </c>
      <c r="H127" s="140">
        <f>STDEV(C127:E127)</f>
        <v>0.04383074501325965</v>
      </c>
      <c r="I127" s="140">
        <f>(B127*B4+C127*C4+D127*D4+E127*E4+F127*F4)/SUM(B4:F4)</f>
        <v>0.2313013600314232</v>
      </c>
    </row>
    <row r="128" spans="1:9" ht="12.75">
      <c r="A128" s="140" t="s">
        <v>170</v>
      </c>
      <c r="B128" s="140">
        <f>B88*10000/B62</f>
        <v>0.23872404807534242</v>
      </c>
      <c r="C128" s="140">
        <f>C88*10000/C62</f>
        <v>0.17304043555916096</v>
      </c>
      <c r="D128" s="140">
        <f>D88*10000/D62</f>
        <v>0.16493681384408776</v>
      </c>
      <c r="E128" s="140">
        <f>E88*10000/E62</f>
        <v>-0.10360700339238668</v>
      </c>
      <c r="F128" s="140">
        <f>F88*10000/F62</f>
        <v>0.0306494210534084</v>
      </c>
      <c r="G128" s="140">
        <f>AVERAGE(C128:E128)</f>
        <v>0.07812341533695401</v>
      </c>
      <c r="H128" s="140">
        <f>STDEV(C128:E128)</f>
        <v>0.1574353073166289</v>
      </c>
      <c r="I128" s="140">
        <f>(B128*B4+C128*C4+D128*D4+E128*E4+F128*F4)/SUM(B4:F4)</f>
        <v>0.09487538500133333</v>
      </c>
    </row>
    <row r="129" spans="1:9" ht="12.75">
      <c r="A129" s="140" t="s">
        <v>171</v>
      </c>
      <c r="B129" s="140">
        <f>B89*10000/B62</f>
        <v>-0.039925571707124984</v>
      </c>
      <c r="C129" s="140">
        <f>C89*10000/C62</f>
        <v>0.017183728939358715</v>
      </c>
      <c r="D129" s="140">
        <f>D89*10000/D62</f>
        <v>0.03047236915934756</v>
      </c>
      <c r="E129" s="140">
        <f>E89*10000/E62</f>
        <v>0.06493915528255031</v>
      </c>
      <c r="F129" s="140">
        <f>F89*10000/F62</f>
        <v>0.033898108390928806</v>
      </c>
      <c r="G129" s="140">
        <f>AVERAGE(C129:E129)</f>
        <v>0.03753175112708553</v>
      </c>
      <c r="H129" s="140">
        <f>STDEV(C129:E129)</f>
        <v>0.024647948020673393</v>
      </c>
      <c r="I129" s="140">
        <f>(B129*B4+C129*C4+D129*D4+E129*E4+F129*F4)/SUM(B4:F4)</f>
        <v>0.02589314283893603</v>
      </c>
    </row>
    <row r="130" spans="1:9" ht="12.75">
      <c r="A130" s="140" t="s">
        <v>172</v>
      </c>
      <c r="B130" s="140">
        <f>B90*10000/B62</f>
        <v>-0.06389484617031486</v>
      </c>
      <c r="C130" s="140">
        <f>C90*10000/C62</f>
        <v>-0.019893667837871807</v>
      </c>
      <c r="D130" s="140">
        <f>D90*10000/D62</f>
        <v>-0.0019814995321089618</v>
      </c>
      <c r="E130" s="140">
        <f>E90*10000/E62</f>
        <v>-0.07273478557676744</v>
      </c>
      <c r="F130" s="140">
        <f>F90*10000/F62</f>
        <v>0.20076905630574482</v>
      </c>
      <c r="G130" s="140">
        <f>AVERAGE(C130:E130)</f>
        <v>-0.0315366509822494</v>
      </c>
      <c r="H130" s="140">
        <f>STDEV(C130:E130)</f>
        <v>0.03678554286543168</v>
      </c>
      <c r="I130" s="140">
        <f>(B130*B4+C130*C4+D130*D4+E130*E4+F130*F4)/SUM(B4:F4)</f>
        <v>-0.005014433228274171</v>
      </c>
    </row>
    <row r="131" spans="1:9" ht="12.75">
      <c r="A131" s="140" t="s">
        <v>173</v>
      </c>
      <c r="B131" s="140">
        <f>B91*10000/B62</f>
        <v>0.172185916093643</v>
      </c>
      <c r="C131" s="140">
        <f>C91*10000/C62</f>
        <v>0.09146068154539452</v>
      </c>
      <c r="D131" s="140">
        <f>D91*10000/D62</f>
        <v>0.09768029880782021</v>
      </c>
      <c r="E131" s="140">
        <f>E91*10000/E62</f>
        <v>0.09527438467412734</v>
      </c>
      <c r="F131" s="140">
        <f>F91*10000/F62</f>
        <v>0.1418776356909473</v>
      </c>
      <c r="G131" s="140">
        <f>AVERAGE(C131:E131)</f>
        <v>0.0948051216757807</v>
      </c>
      <c r="H131" s="140">
        <f>STDEV(C131:E131)</f>
        <v>0.003136250236186107</v>
      </c>
      <c r="I131" s="140">
        <f>(B131*B4+C131*C4+D131*D4+E131*E4+F131*F4)/SUM(B4:F4)</f>
        <v>0.11226141482065054</v>
      </c>
    </row>
    <row r="132" spans="1:9" ht="12.75">
      <c r="A132" s="140" t="s">
        <v>174</v>
      </c>
      <c r="B132" s="140">
        <f>B92*10000/B62</f>
        <v>0.04566354548489617</v>
      </c>
      <c r="C132" s="140">
        <f>C92*10000/C62</f>
        <v>0.04474677531572932</v>
      </c>
      <c r="D132" s="140">
        <f>D92*10000/D62</f>
        <v>0.0383426468838742</v>
      </c>
      <c r="E132" s="140">
        <f>E92*10000/E62</f>
        <v>0.01727320456808558</v>
      </c>
      <c r="F132" s="140">
        <f>F92*10000/F62</f>
        <v>-0.034125433430207984</v>
      </c>
      <c r="G132" s="140">
        <f>AVERAGE(C132:E132)</f>
        <v>0.03345420892256303</v>
      </c>
      <c r="H132" s="140">
        <f>STDEV(C132:E132)</f>
        <v>0.014374348391584127</v>
      </c>
      <c r="I132" s="140">
        <f>(B132*B4+C132*C4+D132*D4+E132*E4+F132*F4)/SUM(B4:F4)</f>
        <v>0.026142098098274728</v>
      </c>
    </row>
    <row r="133" spans="1:9" ht="12.75">
      <c r="A133" s="140" t="s">
        <v>175</v>
      </c>
      <c r="B133" s="140">
        <f>B93*10000/B62</f>
        <v>-0.08735423851756619</v>
      </c>
      <c r="C133" s="140">
        <f>C93*10000/C62</f>
        <v>-0.08427518983117763</v>
      </c>
      <c r="D133" s="140">
        <f>D93*10000/D62</f>
        <v>-0.08440976781507127</v>
      </c>
      <c r="E133" s="140">
        <f>E93*10000/E62</f>
        <v>-0.08044776037017906</v>
      </c>
      <c r="F133" s="140">
        <f>F93*10000/F62</f>
        <v>-0.07501077636254924</v>
      </c>
      <c r="G133" s="140">
        <f>AVERAGE(C133:E133)</f>
        <v>-0.08304423933880932</v>
      </c>
      <c r="H133" s="140">
        <f>STDEV(C133:E133)</f>
        <v>0.0022496233205451634</v>
      </c>
      <c r="I133" s="140">
        <f>(B133*B4+C133*C4+D133*D4+E133*E4+F133*F4)/SUM(B4:F4)</f>
        <v>-0.08258649786686226</v>
      </c>
    </row>
    <row r="134" spans="1:9" ht="12.75">
      <c r="A134" s="140" t="s">
        <v>176</v>
      </c>
      <c r="B134" s="140">
        <f>B94*10000/B62</f>
        <v>-0.039955234109156655</v>
      </c>
      <c r="C134" s="140">
        <f>C94*10000/C62</f>
        <v>-0.009447569174468417</v>
      </c>
      <c r="D134" s="140">
        <f>D94*10000/D62</f>
        <v>0.004627211958163413</v>
      </c>
      <c r="E134" s="140">
        <f>E94*10000/E62</f>
        <v>0.01564893008622117</v>
      </c>
      <c r="F134" s="140">
        <f>F94*10000/F62</f>
        <v>-0.010084346942374343</v>
      </c>
      <c r="G134" s="140">
        <f>AVERAGE(C134:E134)</f>
        <v>0.003609524289972056</v>
      </c>
      <c r="H134" s="140">
        <f>STDEV(C134:E134)</f>
        <v>0.012579162727619825</v>
      </c>
      <c r="I134" s="140">
        <f>(B134*B4+C134*C4+D134*D4+E134*E4+F134*F4)/SUM(B4:F4)</f>
        <v>-0.004500194521301324</v>
      </c>
    </row>
    <row r="135" spans="1:9" ht="12.75">
      <c r="A135" s="140" t="s">
        <v>177</v>
      </c>
      <c r="B135" s="140">
        <f>B95*10000/B62</f>
        <v>-0.0061327249818414215</v>
      </c>
      <c r="C135" s="140">
        <f>C95*10000/C62</f>
        <v>0.0010051178839033384</v>
      </c>
      <c r="D135" s="140">
        <f>D95*10000/D62</f>
        <v>0.0009218657492099647</v>
      </c>
      <c r="E135" s="140">
        <f>E95*10000/E62</f>
        <v>-0.0003759306455890436</v>
      </c>
      <c r="F135" s="140">
        <f>F95*10000/F62</f>
        <v>0.0038125347504983117</v>
      </c>
      <c r="G135" s="140">
        <f>AVERAGE(C135:E135)</f>
        <v>0.0005170176625080865</v>
      </c>
      <c r="H135" s="140">
        <f>STDEV(C135:E135)</f>
        <v>0.0007744354331917519</v>
      </c>
      <c r="I135" s="140">
        <f>(B135*B4+C135*C4+D135*D4+E135*E4+F135*F4)/SUM(B4:F4)</f>
        <v>2.16335033417787E-06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touet</dc:creator>
  <cp:keywords/>
  <dc:description/>
  <cp:lastModifiedBy>hagen</cp:lastModifiedBy>
  <cp:lastPrinted>2003-04-30T06:28:53Z</cp:lastPrinted>
  <dcterms:created xsi:type="dcterms:W3CDTF">2002-03-14T07:46:46Z</dcterms:created>
  <dcterms:modified xsi:type="dcterms:W3CDTF">2003-09-26T12:41:06Z</dcterms:modified>
  <cp:category/>
  <cp:version/>
  <cp:contentType/>
  <cp:contentStatus/>
</cp:coreProperties>
</file>