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7"/>
  </bookViews>
  <sheets>
    <sheet name="Sommaire" sheetId="1" r:id="rId1"/>
    <sheet name="HCMQAP043_A_pos5ap2" sheetId="2" r:id="rId2"/>
    <sheet name="HCMQAP043_A_pos2ap2" sheetId="3" r:id="rId3"/>
    <sheet name="HCMQAP043_A_pos3ap2" sheetId="4" r:id="rId4"/>
    <sheet name="HCMQAP043_A_pos4ap2" sheetId="5" r:id="rId5"/>
    <sheet name="HCMQAP043_A_pos1ap2" sheetId="6" r:id="rId6"/>
    <sheet name="Lmag_hcmqap" sheetId="7" r:id="rId7"/>
    <sheet name="Result_HCMQAP" sheetId="8" r:id="rId8"/>
  </sheets>
  <definedNames>
    <definedName name="_xlnm.Print_Area" localSheetId="5">'HCMQAP043_A_pos1ap2'!$A$1:$N$28</definedName>
    <definedName name="_xlnm.Print_Area" localSheetId="2">'HCMQAP043_A_pos2ap2'!$A$1:$N$28</definedName>
    <definedName name="_xlnm.Print_Area" localSheetId="3">'HCMQAP043_A_pos3ap2'!$A$1:$N$28</definedName>
    <definedName name="_xlnm.Print_Area" localSheetId="4">'HCMQAP043_A_pos4ap2'!$A$1:$N$28</definedName>
    <definedName name="_xlnm.Print_Area" localSheetId="1">'HCMQAP043_A_pos5ap2'!$A$1:$N$28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<sst xmlns="http://schemas.openxmlformats.org/spreadsheetml/2006/main" count="510" uniqueCount="195">
  <si>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</si>
  <si>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</si>
  <si>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</si>
  <si>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</si>
  <si>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</si>
  <si>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</si>
  <si>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</si>
  <si>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</si>
  <si>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</si>
  <si>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</si>
  <si>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</si>
  <si>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</si>
  <si>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</si>
  <si>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</si>
  <si>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</si>
  <si>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hcmqap043_a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</si>
  <si>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</si>
  <si>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</si>
  <si>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</si>
  <si>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</si>
  <si>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</si>
  <si>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</si>
  <si>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</si>
  <si>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</si>
  <si>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</si>
  <si>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</si>
  <si>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</si>
  <si>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</si>
  <si>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</si>
  <si>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</si>
  <si>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</si>
  <si>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</si>
  <si>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</si>
  <si>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</si>
  <si>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</si>
  <si>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</si>
  <si>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</si>
  <si>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</si>
  <si>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</si>
  <si>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</si>
  <si>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</si>
  <si>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</si>
  <si>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</si>
  <si>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</si>
  <si>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</si>
  <si>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</si>
  <si>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</si>
  <si>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</si>
  <si>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</si>
  <si>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</si>
  <si>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</si>
  <si>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</si>
  <si>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</si>
  <si>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</si>
  <si>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</si>
  <si>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-2.092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</si>
  <si>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</si>
  <si>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</si>
  <si>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</si>
  <si>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</si>
  <si>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</si>
  <si>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</si>
  <si>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</si>
  <si>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</si>
  <si>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</si>
  <si>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</si>
  <si>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</si>
  <si>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</si>
  <si>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HCMQAP043_A_pos5ap2</t>
  </si>
  <si>
    <t>13/05/2003</t>
  </si>
  <si>
    <t>±12.5</t>
  </si>
  <si>
    <t>THCMQAP043_A_pos5ap2.xls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</si>
  <si>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-3.766 mT)</t>
    </r>
  </si>
  <si>
    <t>HCMQAP043_A_pos2ap2</t>
  </si>
  <si>
    <t>THCMQAP043_A_pos2ap2.xls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</si>
  <si>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-3.765 mT)</t>
    </r>
  </si>
  <si>
    <t>HCMQAP043_A_pos3ap2</t>
  </si>
  <si>
    <t>THCMQAP043_A_pos3ap2.xls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</si>
  <si>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-3.764 mT)</t>
    </r>
  </si>
  <si>
    <t>HCMQAP043_A_pos4ap2</t>
  </si>
  <si>
    <t>THCMQAP043_A_pos4ap2.xls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</si>
  <si>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-2.256 mT)</t>
    </r>
  </si>
  <si>
    <t>HCMQAP043_A_pos1ap2</t>
  </si>
  <si>
    <t>THCMQAP043_A_pos1ap2.xls</t>
  </si>
  <si>
    <t>Sommaire : Valeurs intégrales calculées avec les fichiers: HCMQAP043_A_pos5ap2+HCMQAP043_A_pos2ap2+HCMQAP043_A_pos3ap2+HCMQAP043_A_pos4ap2+HCMQAP043_A_pos1ap2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</si>
  <si>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</si>
  <si>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</si>
  <si>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</si>
  <si>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</si>
  <si>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</si>
  <si>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</si>
  <si>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</si>
  <si>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</si>
  <si>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</si>
  <si>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</si>
  <si>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</si>
  <si>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</si>
  <si>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</si>
  <si>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</si>
  <si>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</si>
  <si>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</si>
  <si>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</si>
  <si>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</si>
  <si>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</si>
  <si>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</si>
  <si>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</si>
  <si>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</si>
  <si>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</si>
  <si>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</si>
  <si>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</si>
  <si>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</si>
  <si>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</si>
  <si>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</si>
  <si>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</si>
  <si>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</si>
  <si>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</si>
  <si>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</si>
  <si>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</si>
  <si>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</si>
  <si>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</si>
  <si>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</si>
  <si>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</si>
  <si>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</si>
  <si>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</si>
  <si>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</si>
  <si>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</si>
  <si>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</si>
  <si>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</si>
  <si>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=-3.765</t>
    </r>
  </si>
  <si>
    <t>Gradient (T/m)</t>
  </si>
  <si>
    <t xml:space="preserve"> Tue 13/05/2003       10:05:08</t>
  </si>
  <si>
    <t>LISSNER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</si>
  <si>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</si>
  <si>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</si>
  <si>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</si>
  <si>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</si>
  <si>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</si>
  <si>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</si>
  <si>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</si>
  <si>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</si>
  <si>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</si>
  <si>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</si>
  <si>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</si>
  <si>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b14*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</si>
  <si>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</si>
  <si>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</si>
  <si>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</si>
  <si>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</si>
  <si>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</si>
  <si>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</si>
  <si>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</si>
  <si>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</si>
  <si>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</si>
  <si>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</si>
  <si>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</si>
  <si>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</si>
  <si>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</si>
  <si>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</si>
  <si>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</si>
  <si>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</si>
  <si>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</si>
  <si>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</si>
  <si>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</si>
  <si>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</si>
  <si>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</si>
  <si>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</si>
  <si>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</si>
  <si>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</si>
  <si>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</si>
  <si>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</si>
  <si>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</si>
  <si>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</si>
  <si>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</si>
  <si>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</si>
  <si>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</si>
  <si>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</si>
  <si>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</si>
  <si>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</si>
  <si>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</si>
  <si>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</si>
  <si>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</si>
  <si>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</si>
  <si>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</si>
  <si>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</si>
  <si>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</si>
  <si>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</si>
  <si>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</si>
  <si>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</si>
  <si>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</si>
  <si>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</si>
  <si>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</si>
  <si>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</si>
  <si>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</si>
  <si>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HCMQAP043_pos1ap2</t>
  </si>
  <si>
    <t>HCMQAP043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</si>
</sst>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\ h:mm:ss"/>
    <numFmt numFmtId="181" formatCode="0.0##"/>
    <numFmt numFmtId="182" formatCode="0.00E+0"/>
    <numFmt numFmtId="183" formatCode="0.0###"/>
    <numFmt numFmtId="184" formatCode="dd/mm/yy\ h:mm"/>
    <numFmt numFmtId="185" formatCode="0.0#"/>
    <numFmt numFmtId="186" formatCode="0.#"/>
    <numFmt numFmtId="187" formatCode="0.000"/>
    <numFmt numFmtId="188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8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81" fontId="3" fillId="0" borderId="2" xfId="0" applyNumberFormat="1" applyFont="1" applyFill="1" applyBorder="1" applyAlignment="1">
      <alignment horizontal="left" vertical="top" wrapText="1"/>
    </xf>
    <xf numFmtId="181" fontId="3" fillId="0" borderId="3" xfId="0" applyNumberFormat="1" applyFont="1" applyFill="1" applyBorder="1" applyAlignment="1">
      <alignment horizontal="left"/>
    </xf>
    <xf numFmtId="181" fontId="3" fillId="0" borderId="3" xfId="0" applyNumberFormat="1" applyFont="1" applyFill="1" applyBorder="1" applyAlignment="1">
      <alignment horizontal="center"/>
    </xf>
    <xf numFmtId="181" fontId="3" fillId="0" borderId="3" xfId="0" applyNumberFormat="1" applyFont="1" applyFill="1" applyBorder="1" applyAlignment="1">
      <alignment horizontal="right"/>
    </xf>
    <xf numFmtId="181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right" vertical="top" wrapText="1"/>
    </xf>
    <xf numFmtId="181" fontId="2" fillId="0" borderId="3" xfId="0" applyNumberFormat="1" applyFont="1" applyFill="1" applyBorder="1" applyAlignment="1">
      <alignment horizontal="right" vertical="center"/>
    </xf>
    <xf numFmtId="186" fontId="3" fillId="0" borderId="2" xfId="0" applyNumberFormat="1" applyFont="1" applyFill="1" applyBorder="1" applyAlignment="1">
      <alignment horizontal="center" vertical="top" wrapText="1"/>
    </xf>
    <xf numFmtId="186" fontId="3" fillId="0" borderId="3" xfId="0" applyNumberFormat="1" applyFont="1" applyFill="1" applyBorder="1" applyAlignment="1">
      <alignment horizontal="center"/>
    </xf>
    <xf numFmtId="186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86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left"/>
    </xf>
    <xf numFmtId="181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81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left"/>
    </xf>
    <xf numFmtId="181" fontId="2" fillId="2" borderId="3" xfId="0" applyNumberFormat="1" applyFont="1" applyFill="1" applyBorder="1" applyAlignment="1">
      <alignment horizontal="right"/>
    </xf>
    <xf numFmtId="181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8" fontId="3" fillId="0" borderId="2" xfId="0" applyNumberFormat="1" applyFont="1" applyFill="1" applyBorder="1" applyAlignment="1">
      <alignment horizontal="left" vertical="top"/>
    </xf>
    <xf numFmtId="188" fontId="3" fillId="2" borderId="3" xfId="0" applyNumberFormat="1" applyFont="1" applyFill="1" applyBorder="1" applyAlignment="1">
      <alignment horizontal="left"/>
    </xf>
    <xf numFmtId="188" fontId="4" fillId="2" borderId="3" xfId="0" applyNumberFormat="1" applyFont="1" applyFill="1" applyBorder="1" applyAlignment="1">
      <alignment horizontal="left"/>
    </xf>
    <xf numFmtId="188" fontId="2" fillId="0" borderId="3" xfId="0" applyNumberFormat="1" applyFont="1" applyFill="1" applyBorder="1" applyAlignment="1">
      <alignment horizontal="left" vertical="center"/>
    </xf>
    <xf numFmtId="188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81" fontId="3" fillId="0" borderId="7" xfId="0" applyNumberFormat="1" applyFont="1" applyFill="1" applyBorder="1" applyAlignment="1">
      <alignment horizontal="left"/>
    </xf>
    <xf numFmtId="181" fontId="3" fillId="0" borderId="8" xfId="0" applyNumberFormat="1" applyFont="1" applyFill="1" applyBorder="1" applyAlignment="1">
      <alignment horizontal="center"/>
    </xf>
    <xf numFmtId="181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 horizontal="left"/>
    </xf>
    <xf numFmtId="181" fontId="3" fillId="0" borderId="13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182" fontId="3" fillId="0" borderId="15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84" fontId="3" fillId="0" borderId="11" xfId="0" applyNumberFormat="1" applyFont="1" applyFill="1" applyBorder="1" applyAlignment="1">
      <alignment horizontal="left"/>
    </xf>
    <xf numFmtId="181" fontId="3" fillId="0" borderId="16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center"/>
    </xf>
    <xf numFmtId="181" fontId="3" fillId="0" borderId="18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left"/>
    </xf>
    <xf numFmtId="181" fontId="5" fillId="0" borderId="13" xfId="0" applyNumberFormat="1" applyFont="1" applyFill="1" applyBorder="1" applyAlignment="1">
      <alignment horizontal="center"/>
    </xf>
    <xf numFmtId="181" fontId="5" fillId="0" borderId="14" xfId="0" applyNumberFormat="1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5" fillId="0" borderId="20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left"/>
    </xf>
    <xf numFmtId="181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81" fontId="3" fillId="0" borderId="22" xfId="0" applyNumberFormat="1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 horizontal="center"/>
    </xf>
    <xf numFmtId="181" fontId="3" fillId="0" borderId="23" xfId="0" applyNumberFormat="1" applyFont="1" applyFill="1" applyBorder="1" applyAlignment="1">
      <alignment horizontal="center"/>
    </xf>
    <xf numFmtId="181" fontId="3" fillId="0" borderId="24" xfId="0" applyNumberFormat="1" applyFont="1" applyFill="1" applyBorder="1" applyAlignment="1">
      <alignment horizontal="center"/>
    </xf>
    <xf numFmtId="181" fontId="5" fillId="3" borderId="10" xfId="0" applyNumberFormat="1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horizontal="center"/>
    </xf>
    <xf numFmtId="181" fontId="5" fillId="3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left"/>
    </xf>
    <xf numFmtId="181" fontId="3" fillId="3" borderId="10" xfId="0" applyNumberFormat="1" applyFont="1" applyFill="1" applyBorder="1" applyAlignment="1">
      <alignment horizontal="center"/>
    </xf>
    <xf numFmtId="181" fontId="3" fillId="3" borderId="15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181" fontId="5" fillId="0" borderId="11" xfId="0" applyNumberFormat="1" applyFont="1" applyFill="1" applyBorder="1" applyAlignment="1">
      <alignment horizontal="left"/>
    </xf>
    <xf numFmtId="181" fontId="5" fillId="0" borderId="10" xfId="0" applyNumberFormat="1" applyFont="1" applyFill="1" applyBorder="1" applyAlignment="1">
      <alignment horizontal="center"/>
    </xf>
    <xf numFmtId="185" fontId="3" fillId="0" borderId="11" xfId="0" applyNumberFormat="1" applyFont="1" applyFill="1" applyBorder="1" applyAlignment="1">
      <alignment horizontal="left"/>
    </xf>
    <xf numFmtId="181" fontId="3" fillId="0" borderId="25" xfId="0" applyNumberFormat="1" applyFont="1" applyFill="1" applyBorder="1" applyAlignment="1">
      <alignment horizontal="center"/>
    </xf>
    <xf numFmtId="181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81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81" fontId="2" fillId="0" borderId="28" xfId="0" applyNumberFormat="1" applyFont="1" applyFill="1" applyBorder="1" applyAlignment="1">
      <alignment horizontal="left"/>
    </xf>
    <xf numFmtId="181" fontId="2" fillId="0" borderId="29" xfId="0" applyNumberFormat="1" applyFont="1" applyFill="1" applyBorder="1" applyAlignment="1">
      <alignment horizontal="left"/>
    </xf>
    <xf numFmtId="181" fontId="7" fillId="0" borderId="29" xfId="0" applyNumberFormat="1" applyFont="1" applyFill="1" applyBorder="1" applyAlignment="1">
      <alignment horizontal="left"/>
    </xf>
    <xf numFmtId="181" fontId="2" fillId="0" borderId="30" xfId="0" applyNumberFormat="1" applyFont="1" applyFill="1" applyBorder="1" applyAlignment="1">
      <alignment horizontal="left"/>
    </xf>
    <xf numFmtId="181" fontId="2" fillId="0" borderId="31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center"/>
    </xf>
    <xf numFmtId="181" fontId="2" fillId="0" borderId="33" xfId="0" applyNumberFormat="1" applyFont="1" applyFill="1" applyBorder="1" applyAlignment="1">
      <alignment horizontal="left"/>
    </xf>
    <xf numFmtId="181" fontId="2" fillId="0" borderId="34" xfId="0" applyNumberFormat="1" applyFont="1" applyFill="1" applyBorder="1" applyAlignment="1">
      <alignment horizontal="left"/>
    </xf>
    <xf numFmtId="181" fontId="2" fillId="0" borderId="35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center"/>
    </xf>
    <xf numFmtId="181" fontId="2" fillId="0" borderId="37" xfId="0" applyNumberFormat="1" applyFont="1" applyFill="1" applyBorder="1" applyAlignment="1">
      <alignment horizontal="left"/>
    </xf>
    <xf numFmtId="181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81" fontId="2" fillId="0" borderId="40" xfId="0" applyNumberFormat="1" applyFont="1" applyFill="1" applyBorder="1" applyAlignment="1">
      <alignment horizontal="left" vertical="center"/>
    </xf>
    <xf numFmtId="181" fontId="2" fillId="0" borderId="4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87" fontId="5" fillId="0" borderId="15" xfId="0" applyNumberFormat="1" applyFont="1" applyFill="1" applyBorder="1" applyAlignment="1">
      <alignment horizontal="center"/>
    </xf>
    <xf numFmtId="187" fontId="3" fillId="0" borderId="15" xfId="0" applyNumberFormat="1" applyFont="1" applyFill="1" applyBorder="1" applyAlignment="1">
      <alignment horizontal="center"/>
    </xf>
    <xf numFmtId="187" fontId="3" fillId="3" borderId="15" xfId="0" applyNumberFormat="1" applyFont="1" applyFill="1" applyBorder="1" applyAlignment="1">
      <alignment horizontal="center"/>
    </xf>
    <xf numFmtId="187" fontId="3" fillId="0" borderId="42" xfId="0" applyNumberFormat="1" applyFont="1" applyFill="1" applyBorder="1" applyAlignment="1">
      <alignment horizontal="center"/>
    </xf>
    <xf numFmtId="187" fontId="0" fillId="0" borderId="43" xfId="0" applyNumberFormat="1" applyBorder="1" applyAlignment="1">
      <alignment horizontal="left"/>
    </xf>
    <xf numFmtId="187" fontId="0" fillId="0" borderId="44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187" fontId="0" fillId="0" borderId="45" xfId="0" applyNumberFormat="1" applyBorder="1" applyAlignment="1">
      <alignment horizontal="center"/>
    </xf>
    <xf numFmtId="187" fontId="0" fillId="0" borderId="46" xfId="0" applyNumberFormat="1" applyBorder="1" applyAlignment="1">
      <alignment horizontal="center"/>
    </xf>
    <xf numFmtId="187" fontId="0" fillId="0" borderId="43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47" xfId="0" applyNumberFormat="1" applyBorder="1" applyAlignment="1">
      <alignment horizontal="left"/>
    </xf>
    <xf numFmtId="187" fontId="0" fillId="0" borderId="20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7" fontId="0" fillId="0" borderId="49" xfId="0" applyNumberFormat="1" applyBorder="1" applyAlignment="1">
      <alignment horizontal="left"/>
    </xf>
    <xf numFmtId="187" fontId="0" fillId="0" borderId="14" xfId="0" applyNumberFormat="1" applyBorder="1" applyAlignment="1">
      <alignment horizontal="center"/>
    </xf>
    <xf numFmtId="187" fontId="5" fillId="0" borderId="14" xfId="0" applyNumberFormat="1" applyFont="1" applyFill="1" applyBorder="1" applyAlignment="1">
      <alignment horizontal="center"/>
    </xf>
    <xf numFmtId="187" fontId="3" fillId="0" borderId="14" xfId="0" applyNumberFormat="1" applyFont="1" applyFill="1" applyBorder="1" applyAlignment="1">
      <alignment horizontal="center"/>
    </xf>
    <xf numFmtId="187" fontId="3" fillId="3" borderId="14" xfId="0" applyNumberFormat="1" applyFont="1" applyFill="1" applyBorder="1" applyAlignment="1">
      <alignment horizontal="center"/>
    </xf>
    <xf numFmtId="187" fontId="3" fillId="0" borderId="50" xfId="0" applyNumberFormat="1" applyFont="1" applyFill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87" fontId="5" fillId="0" borderId="55" xfId="0" applyNumberFormat="1" applyFont="1" applyFill="1" applyBorder="1" applyAlignment="1">
      <alignment horizontal="center"/>
    </xf>
    <xf numFmtId="187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3" xfId="0" applyNumberFormat="1" applyBorder="1" applyAlignment="1">
      <alignment horizontal="center"/>
    </xf>
    <xf numFmtId="187" fontId="0" fillId="0" borderId="59" xfId="0" applyNumberFormat="1" applyBorder="1" applyAlignment="1">
      <alignment horizontal="center"/>
    </xf>
    <xf numFmtId="187" fontId="5" fillId="3" borderId="60" xfId="0" applyNumberFormat="1" applyFont="1" applyFill="1" applyBorder="1" applyAlignment="1">
      <alignment horizontal="center"/>
    </xf>
    <xf numFmtId="187" fontId="3" fillId="3" borderId="20" xfId="0" applyNumberFormat="1" applyFont="1" applyFill="1" applyBorder="1" applyAlignment="1">
      <alignment horizontal="center"/>
    </xf>
    <xf numFmtId="187" fontId="5" fillId="3" borderId="20" xfId="0" applyNumberFormat="1" applyFont="1" applyFill="1" applyBorder="1" applyAlignment="1">
      <alignment horizontal="center"/>
    </xf>
    <xf numFmtId="187" fontId="3" fillId="0" borderId="20" xfId="0" applyNumberFormat="1" applyFont="1" applyFill="1" applyBorder="1" applyAlignment="1">
      <alignment horizontal="center"/>
    </xf>
    <xf numFmtId="187" fontId="5" fillId="0" borderId="20" xfId="0" applyNumberFormat="1" applyFont="1" applyFill="1" applyBorder="1" applyAlignment="1">
      <alignment horizontal="center"/>
    </xf>
    <xf numFmtId="187" fontId="3" fillId="0" borderId="61" xfId="0" applyNumberFormat="1" applyFont="1" applyFill="1" applyBorder="1" applyAlignment="1">
      <alignment horizontal="center"/>
    </xf>
    <xf numFmtId="187" fontId="0" fillId="0" borderId="62" xfId="0" applyNumberFormat="1" applyBorder="1" applyAlignment="1">
      <alignment horizontal="center"/>
    </xf>
    <xf numFmtId="187" fontId="0" fillId="0" borderId="63" xfId="0" applyNumberFormat="1" applyBorder="1" applyAlignment="1">
      <alignment horizontal="center"/>
    </xf>
    <xf numFmtId="187" fontId="0" fillId="0" borderId="64" xfId="0" applyNumberFormat="1" applyBorder="1" applyAlignment="1">
      <alignment horizontal="center"/>
    </xf>
    <xf numFmtId="187" fontId="10" fillId="0" borderId="64" xfId="0" applyNumberFormat="1" applyFont="1" applyBorder="1" applyAlignment="1">
      <alignment horizontal="center"/>
    </xf>
    <xf numFmtId="187" fontId="0" fillId="0" borderId="65" xfId="0" applyNumberFormat="1" applyBorder="1" applyAlignment="1">
      <alignment horizontal="center"/>
    </xf>
    <xf numFmtId="187" fontId="11" fillId="0" borderId="66" xfId="0" applyNumberFormat="1" applyFont="1" applyBorder="1" applyAlignment="1">
      <alignment horizontal="center"/>
    </xf>
    <xf numFmtId="187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0" fontId="1" fillId="0" borderId="0" xfId="19" applyFont="1">
      <alignment/>
      <protection/>
    </xf>
    <xf numFmtId="181" fontId="3" fillId="0" borderId="59" xfId="0" applyNumberFormat="1" applyFont="1" applyFill="1" applyBorder="1" applyAlignment="1">
      <alignment horizontal="center"/>
    </xf>
    <xf numFmtId="181" fontId="3" fillId="0" borderId="58" xfId="0" applyNumberFormat="1" applyFont="1" applyFill="1" applyBorder="1" applyAlignment="1">
      <alignment horizontal="center"/>
    </xf>
    <xf numFmtId="181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43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3.0852107</c:v>
                </c:pt>
                <c:pt idx="1">
                  <c:v>0.20807735119999998</c:v>
                </c:pt>
                <c:pt idx="2">
                  <c:v>1.7600329000000001</c:v>
                </c:pt>
                <c:pt idx="3">
                  <c:v>0.5307058899999999</c:v>
                </c:pt>
                <c:pt idx="4">
                  <c:v>-5.6820692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1.4776042</c:v>
                </c:pt>
                <c:pt idx="1">
                  <c:v>0.04089764</c:v>
                </c:pt>
                <c:pt idx="2">
                  <c:v>-2.2047692</c:v>
                </c:pt>
                <c:pt idx="3">
                  <c:v>-1.16442689</c:v>
                </c:pt>
                <c:pt idx="4">
                  <c:v>5.170503399999999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3.1466547</c:v>
                </c:pt>
                <c:pt idx="1">
                  <c:v>4.7066937</c:v>
                </c:pt>
                <c:pt idx="2">
                  <c:v>4.6111551</c:v>
                </c:pt>
                <c:pt idx="3">
                  <c:v>4.3695466</c:v>
                </c:pt>
                <c:pt idx="4">
                  <c:v>14.338258000000002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0.36798081</c:v>
                </c:pt>
                <c:pt idx="1">
                  <c:v>0.078963087</c:v>
                </c:pt>
                <c:pt idx="2">
                  <c:v>0.19104933</c:v>
                </c:pt>
                <c:pt idx="3">
                  <c:v>0.29509679999999994</c:v>
                </c:pt>
                <c:pt idx="4">
                  <c:v>2.0931368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-0.38447747000000004</c:v>
                </c:pt>
                <c:pt idx="1">
                  <c:v>-0.07708437500000001</c:v>
                </c:pt>
                <c:pt idx="2">
                  <c:v>-0.039443859000000005</c:v>
                </c:pt>
                <c:pt idx="3">
                  <c:v>-0.075300429</c:v>
                </c:pt>
                <c:pt idx="4">
                  <c:v>-0.30479856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-0.0007576589999999997</c:v>
                </c:pt>
                <c:pt idx="1">
                  <c:v>0.10368608400000001</c:v>
                </c:pt>
                <c:pt idx="2">
                  <c:v>-0.003956589</c:v>
                </c:pt>
                <c:pt idx="3">
                  <c:v>-0.013156879200000002</c:v>
                </c:pt>
                <c:pt idx="4">
                  <c:v>0.17001595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Lmag_hcmqap!$B$6:$F$6</c:f>
              <c:numCache>
                <c:ptCount val="5"/>
                <c:pt idx="0">
                  <c:v>-0.188610421</c:v>
                </c:pt>
                <c:pt idx="1">
                  <c:v>-0.10390563000000001</c:v>
                </c:pt>
                <c:pt idx="2">
                  <c:v>0.49661967999999995</c:v>
                </c:pt>
                <c:pt idx="3">
                  <c:v>0.34646952500000006</c:v>
                </c:pt>
                <c:pt idx="4">
                  <c:v>3.8067111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Lmag_hcmqap!$B$19:$F$19</c:f>
              <c:numCache>
                <c:ptCount val="5"/>
                <c:pt idx="0">
                  <c:v>-2.1205461999999997</c:v>
                </c:pt>
                <c:pt idx="1">
                  <c:v>-2.1329351</c:v>
                </c:pt>
                <c:pt idx="2">
                  <c:v>-2.6907893</c:v>
                </c:pt>
                <c:pt idx="3">
                  <c:v>-2.1524236</c:v>
                </c:pt>
                <c:pt idx="4">
                  <c:v>-10.340767</c:v>
                </c:pt>
              </c:numCache>
            </c:numRef>
          </c:val>
          <c:smooth val="0"/>
        </c:ser>
        <c:marker val="1"/>
        <c:axId val="42699776"/>
        <c:axId val="48495617"/>
      </c:lineChart>
      <c:catAx>
        <c:axId val="426997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8495617"/>
        <c:crosses val="autoZero"/>
        <c:auto val="1"/>
        <c:lblOffset val="100"/>
        <c:noMultiLvlLbl val="0"/>
      </c:catAx>
      <c:valAx>
        <c:axId val="48495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269977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104775</xdr:rowOff>
    </xdr:from>
    <xdr:to>
      <xdr:col>7</xdr:col>
      <xdr:colOff>19050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171450" y="5924550"/>
        <a:ext cx="5381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5</v>
      </c>
      <c r="F2" s="26"/>
      <c r="G2" s="26" t="s">
        <v>68</v>
      </c>
      <c r="H2" s="25">
        <v>1685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1685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1685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79</v>
      </c>
      <c r="H5" s="25">
        <v>1685</v>
      </c>
      <c r="I5" s="27" t="s">
        <v>80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1</v>
      </c>
      <c r="F6" s="26"/>
      <c r="G6" s="26" t="s">
        <v>82</v>
      </c>
      <c r="H6" s="25">
        <v>1685</v>
      </c>
      <c r="I6" s="27" t="s">
        <v>83</v>
      </c>
      <c r="J6" s="30"/>
      <c r="K6" s="28"/>
      <c r="L6" s="28"/>
      <c r="M6" s="28"/>
      <c r="N6" s="28"/>
    </row>
    <row r="7" spans="1:14" s="29" customFormat="1" ht="15" customHeight="1">
      <c r="A7" s="40" t="s">
        <v>84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-2.72739469E-05</v>
      </c>
      <c r="L2" s="54">
        <v>2.9705219346299646E-07</v>
      </c>
      <c r="M2" s="54">
        <v>0.00014404514000000002</v>
      </c>
      <c r="N2" s="55">
        <v>2.65057558643737E-07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-3.03209451E-05</v>
      </c>
      <c r="L3" s="54">
        <v>1.5357618846906373E-07</v>
      </c>
      <c r="M3" s="54">
        <v>1.0142439999999994E-05</v>
      </c>
      <c r="N3" s="55">
        <v>1.6722905070590232E-07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-0.0020918180348191828</v>
      </c>
      <c r="L4" s="54">
        <v>3.173849181440768E-05</v>
      </c>
      <c r="M4" s="54">
        <v>5.9138483908410604E-08</v>
      </c>
      <c r="N4" s="55">
        <v>-7.585759400000001</v>
      </c>
    </row>
    <row r="5" spans="1:14" ht="15" customHeight="1" thickBot="1">
      <c r="A5" t="s">
        <v>18</v>
      </c>
      <c r="B5" s="58">
        <v>37754.41670138889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1685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6" t="s">
        <v>27</v>
      </c>
      <c r="B8" s="71" t="s">
        <v>28</v>
      </c>
      <c r="D8" s="76">
        <v>-5.6820692</v>
      </c>
      <c r="E8" s="77">
        <v>0.014145510296896781</v>
      </c>
      <c r="F8" s="78">
        <v>5.170503399999999</v>
      </c>
      <c r="G8" s="77">
        <v>0.025925293460948583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-3.6942605</v>
      </c>
      <c r="E9" s="80">
        <v>0.01482959732421763</v>
      </c>
      <c r="F9" s="84">
        <v>-3.1861623000000003</v>
      </c>
      <c r="G9" s="80">
        <v>0.05783391712272795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3.8067111</v>
      </c>
      <c r="E10" s="80">
        <v>0.022589610685942958</v>
      </c>
      <c r="F10" s="84">
        <v>-10.340767</v>
      </c>
      <c r="G10" s="80">
        <v>0.020972310697948308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76">
        <v>14.338258000000002</v>
      </c>
      <c r="E11" s="77">
        <v>0.004812395034380378</v>
      </c>
      <c r="F11" s="78">
        <v>2.0931368</v>
      </c>
      <c r="G11" s="77">
        <v>0.004336376628033263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6">
        <v>-0.26187838</v>
      </c>
      <c r="E12" s="80">
        <v>0.005759484089012764</v>
      </c>
      <c r="F12" s="80">
        <v>0.29201691</v>
      </c>
      <c r="G12" s="80">
        <v>0.004236560584174652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22.103882</v>
      </c>
      <c r="D13" s="86">
        <v>0.31842088</v>
      </c>
      <c r="E13" s="80">
        <v>0.006184439828195922</v>
      </c>
      <c r="F13" s="80">
        <v>-0.101857898</v>
      </c>
      <c r="G13" s="80">
        <v>0.007574737851199606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6">
        <v>0.21892589</v>
      </c>
      <c r="E14" s="80">
        <v>0.007546173119959003</v>
      </c>
      <c r="F14" s="84">
        <v>0.4799938</v>
      </c>
      <c r="G14" s="80">
        <v>0.005661634109338375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-0.30479856</v>
      </c>
      <c r="E15" s="77">
        <v>0.0025000582939967548</v>
      </c>
      <c r="F15" s="77">
        <v>0.17001595</v>
      </c>
      <c r="G15" s="77">
        <v>0.004030120593233329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6">
        <v>0.062077098</v>
      </c>
      <c r="E16" s="80">
        <v>0.004596412945320161</v>
      </c>
      <c r="F16" s="80">
        <v>-0.0069140660999999996</v>
      </c>
      <c r="G16" s="80">
        <v>0.002046020840077843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0.25600001215934753</v>
      </c>
      <c r="D17" s="86">
        <v>0.12747177</v>
      </c>
      <c r="E17" s="80">
        <v>0.003392528475429242</v>
      </c>
      <c r="F17" s="80">
        <v>0.097076762</v>
      </c>
      <c r="G17" s="80">
        <v>0.0010090709484516425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208.53700256347656</v>
      </c>
      <c r="D18" s="86">
        <v>-0.075361022</v>
      </c>
      <c r="E18" s="80">
        <v>0.0016931192266870165</v>
      </c>
      <c r="F18" s="80">
        <v>0.13961793</v>
      </c>
      <c r="G18" s="80">
        <v>0.001667329850870153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-0.25999999046325684</v>
      </c>
      <c r="D19" s="86">
        <v>-0.13323636999999997</v>
      </c>
      <c r="E19" s="80">
        <v>0.0009262630774285634</v>
      </c>
      <c r="F19" s="80">
        <v>-0.031045226000000002</v>
      </c>
      <c r="G19" s="80">
        <v>0.0017824256022241061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-0.23942859999999996</v>
      </c>
      <c r="D20" s="90">
        <v>-0.0045046581850000005</v>
      </c>
      <c r="E20" s="91">
        <v>0.0018370615653657929</v>
      </c>
      <c r="F20" s="91">
        <v>0.00408500305</v>
      </c>
      <c r="G20" s="91">
        <v>0.0013014939835843862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1.1669963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-0.4346323651399451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-2.0920588</v>
      </c>
      <c r="I25" s="103" t="s">
        <v>65</v>
      </c>
      <c r="J25" s="104"/>
      <c r="K25" s="103"/>
      <c r="L25" s="106">
        <v>14.490233405231205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7.682448555180841</v>
      </c>
      <c r="I26" s="108" t="s">
        <v>67</v>
      </c>
      <c r="J26" s="109"/>
      <c r="K26" s="108"/>
      <c r="L26" s="111">
        <v>0.34900943458949085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HCMQAP043_A_pos5ap2res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3.4632068799999995E-05</v>
      </c>
      <c r="L2" s="54">
        <v>6.769497234876696E-07</v>
      </c>
      <c r="M2" s="54">
        <v>0.00018704582000000003</v>
      </c>
      <c r="N2" s="55">
        <v>1.1950365096899533E-07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-2.85456632E-05</v>
      </c>
      <c r="L3" s="54">
        <v>7.908896730418241E-08</v>
      </c>
      <c r="M3" s="54">
        <v>1.2720679999999999E-05</v>
      </c>
      <c r="N3" s="55">
        <v>2.2440831669075935E-07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-0.00376589986636971</v>
      </c>
      <c r="L4" s="54">
        <v>1.171889005871612E-05</v>
      </c>
      <c r="M4" s="54">
        <v>7.203847841410344E-08</v>
      </c>
      <c r="N4" s="55">
        <v>-1.5559166000000002</v>
      </c>
    </row>
    <row r="5" spans="1:14" ht="15" customHeight="1" thickBot="1">
      <c r="A5" t="s">
        <v>18</v>
      </c>
      <c r="B5" s="58">
        <v>37754.403287037036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1685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6" t="s">
        <v>27</v>
      </c>
      <c r="B8" s="71" t="s">
        <v>28</v>
      </c>
      <c r="D8" s="88">
        <v>0.20807735119999998</v>
      </c>
      <c r="E8" s="77">
        <v>0.007345524946992832</v>
      </c>
      <c r="F8" s="77">
        <v>0.04089764</v>
      </c>
      <c r="G8" s="77">
        <v>0.007669236284233254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6">
        <v>-0.48433647999999996</v>
      </c>
      <c r="E9" s="80">
        <v>0.015499652141309024</v>
      </c>
      <c r="F9" s="80">
        <v>-0.27297247</v>
      </c>
      <c r="G9" s="80">
        <v>0.021787256206268587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6">
        <v>-0.10390563000000001</v>
      </c>
      <c r="E10" s="80">
        <v>0.014266838827736</v>
      </c>
      <c r="F10" s="80">
        <v>-2.1329351</v>
      </c>
      <c r="G10" s="80">
        <v>0.003347827928535583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88">
        <v>4.7066937</v>
      </c>
      <c r="E11" s="77">
        <v>0.00604996536877264</v>
      </c>
      <c r="F11" s="77">
        <v>0.078963087</v>
      </c>
      <c r="G11" s="77">
        <v>0.005186109064311756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6">
        <v>0.021785850000000002</v>
      </c>
      <c r="E12" s="80">
        <v>0.004821665917473954</v>
      </c>
      <c r="F12" s="80">
        <v>-0.011055893</v>
      </c>
      <c r="G12" s="80">
        <v>0.003499856241834229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21.331788</v>
      </c>
      <c r="D13" s="86">
        <v>0.054297068999999996</v>
      </c>
      <c r="E13" s="80">
        <v>0.005454321533100534</v>
      </c>
      <c r="F13" s="80">
        <v>-0.21480681000000001</v>
      </c>
      <c r="G13" s="80">
        <v>0.0019506896384071562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6">
        <v>0.094569364</v>
      </c>
      <c r="E14" s="80">
        <v>0.002103527150512697</v>
      </c>
      <c r="F14" s="80">
        <v>-0.0097306172</v>
      </c>
      <c r="G14" s="80">
        <v>0.003918127691094953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-0.07708437500000001</v>
      </c>
      <c r="E15" s="77">
        <v>0.0016803311468184857</v>
      </c>
      <c r="F15" s="77">
        <v>0.10368608400000001</v>
      </c>
      <c r="G15" s="77">
        <v>0.002867634675901258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6">
        <v>-0.0273757393</v>
      </c>
      <c r="E16" s="80">
        <v>0.0015722214510230843</v>
      </c>
      <c r="F16" s="80">
        <v>-0.048305177</v>
      </c>
      <c r="G16" s="80">
        <v>0.0015454969564305256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0.3009999990463257</v>
      </c>
      <c r="D17" s="86">
        <v>0.111574561</v>
      </c>
      <c r="E17" s="80">
        <v>0.0003556021249135349</v>
      </c>
      <c r="F17" s="80">
        <v>-0.063437728</v>
      </c>
      <c r="G17" s="80">
        <v>0.002474575049148009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-9.154999732971191</v>
      </c>
      <c r="D18" s="86">
        <v>0.025856606000000004</v>
      </c>
      <c r="E18" s="80">
        <v>0.00174974952698774</v>
      </c>
      <c r="F18" s="84">
        <v>0.16251869000000002</v>
      </c>
      <c r="G18" s="80">
        <v>0.0011345831099569212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-0.13899999856948853</v>
      </c>
      <c r="D19" s="83">
        <v>-0.19483618</v>
      </c>
      <c r="E19" s="80">
        <v>0.001005088587437227</v>
      </c>
      <c r="F19" s="80">
        <v>0.012641929200000002</v>
      </c>
      <c r="G19" s="80">
        <v>0.0008994243917764417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0.1537193</v>
      </c>
      <c r="D20" s="90">
        <v>-0.0029046638999999995</v>
      </c>
      <c r="E20" s="91">
        <v>0.0011403879383937482</v>
      </c>
      <c r="F20" s="91">
        <v>-0.00035082400000000007</v>
      </c>
      <c r="G20" s="91">
        <v>0.0008106086787392547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0.8448321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-0.08914752975404175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-3.7659181</v>
      </c>
      <c r="I25" s="103" t="s">
        <v>65</v>
      </c>
      <c r="J25" s="104"/>
      <c r="K25" s="103"/>
      <c r="L25" s="106">
        <v>4.707356025916062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0.21205848495162305</v>
      </c>
      <c r="I26" s="108" t="s">
        <v>67</v>
      </c>
      <c r="J26" s="109"/>
      <c r="K26" s="108"/>
      <c r="L26" s="111">
        <v>0.1292006380959308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HCMQAP043_A_pos2ap2res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-1.7322786E-05</v>
      </c>
      <c r="L2" s="54">
        <v>1.5840063893152877E-07</v>
      </c>
      <c r="M2" s="54">
        <v>0.00017193403</v>
      </c>
      <c r="N2" s="55">
        <v>3.874299867042915E-07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-2.8589094E-05</v>
      </c>
      <c r="L3" s="54">
        <v>3.559660713522079E-07</v>
      </c>
      <c r="M3" s="54">
        <v>1.1283690000000001E-05</v>
      </c>
      <c r="N3" s="55">
        <v>1.7848216549557323E-07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-0.0037649067741405977</v>
      </c>
      <c r="L4" s="54">
        <v>2.7703665929399185E-05</v>
      </c>
      <c r="M4" s="54">
        <v>7.130539481173641E-08</v>
      </c>
      <c r="N4" s="55">
        <v>-3.6791304000000005</v>
      </c>
    </row>
    <row r="5" spans="1:14" ht="15" customHeight="1" thickBot="1">
      <c r="A5" t="s">
        <v>18</v>
      </c>
      <c r="B5" s="58">
        <v>37754.40773148148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1685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6" t="s">
        <v>27</v>
      </c>
      <c r="B8" s="71" t="s">
        <v>28</v>
      </c>
      <c r="D8" s="88">
        <v>1.7600329000000001</v>
      </c>
      <c r="E8" s="77">
        <v>0.006710716112272752</v>
      </c>
      <c r="F8" s="77">
        <v>-2.2047692</v>
      </c>
      <c r="G8" s="77">
        <v>0.0142031373808966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6">
        <v>-0.71438758</v>
      </c>
      <c r="E9" s="80">
        <v>0.03425992008650466</v>
      </c>
      <c r="F9" s="80">
        <v>1.4124944999999998</v>
      </c>
      <c r="G9" s="80">
        <v>0.014087894086796277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6">
        <v>0.49661967999999995</v>
      </c>
      <c r="E10" s="80">
        <v>0.004230856315056775</v>
      </c>
      <c r="F10" s="84">
        <v>-2.6907893</v>
      </c>
      <c r="G10" s="80">
        <v>0.010008859868103027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88">
        <v>4.6111551</v>
      </c>
      <c r="E11" s="77">
        <v>0.0027840069208586575</v>
      </c>
      <c r="F11" s="77">
        <v>0.19104933</v>
      </c>
      <c r="G11" s="77">
        <v>0.004830637162797359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6">
        <v>0.086703956</v>
      </c>
      <c r="E12" s="80">
        <v>0.005469794856518098</v>
      </c>
      <c r="F12" s="80">
        <v>-0.20324656000000002</v>
      </c>
      <c r="G12" s="80">
        <v>0.0034015806971759944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21.594239</v>
      </c>
      <c r="D13" s="86">
        <v>0.045580999100000005</v>
      </c>
      <c r="E13" s="80">
        <v>0.003162991111002793</v>
      </c>
      <c r="F13" s="80">
        <v>-0.14379652</v>
      </c>
      <c r="G13" s="80">
        <v>0.003329505605731928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6">
        <v>-0.025981854999999998</v>
      </c>
      <c r="E14" s="80">
        <v>0.002163775871350837</v>
      </c>
      <c r="F14" s="80">
        <v>-0.08661123100000001</v>
      </c>
      <c r="G14" s="80">
        <v>0.002362003072286704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-0.039443859000000005</v>
      </c>
      <c r="E15" s="77">
        <v>0.0021298364720474896</v>
      </c>
      <c r="F15" s="77">
        <v>-0.003956589</v>
      </c>
      <c r="G15" s="77">
        <v>0.001584618887850956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6">
        <v>-0.002142527</v>
      </c>
      <c r="E16" s="80">
        <v>0.002079346914996629</v>
      </c>
      <c r="F16" s="80">
        <v>-0.04527155000000001</v>
      </c>
      <c r="G16" s="80">
        <v>0.0014528586962605505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0.1459999978542328</v>
      </c>
      <c r="D17" s="86">
        <v>0.10176104500000001</v>
      </c>
      <c r="E17" s="80">
        <v>0.001018151928102509</v>
      </c>
      <c r="F17" s="80">
        <v>-0.010069777500000002</v>
      </c>
      <c r="G17" s="80">
        <v>0.002310680239785585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216.6750030517578</v>
      </c>
      <c r="D18" s="86">
        <v>-0.024753216</v>
      </c>
      <c r="E18" s="80">
        <v>0.002004385386010871</v>
      </c>
      <c r="F18" s="80">
        <v>0.14657953999999998</v>
      </c>
      <c r="G18" s="80">
        <v>0.0008834928502308286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-0.36800000071525574</v>
      </c>
      <c r="D19" s="83">
        <v>-0.19433714</v>
      </c>
      <c r="E19" s="80">
        <v>0.000917925358297419</v>
      </c>
      <c r="F19" s="80">
        <v>0.0019278770000000001</v>
      </c>
      <c r="G19" s="80">
        <v>0.0011183490783554567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-0.0838966</v>
      </c>
      <c r="D20" s="90">
        <v>0.00010485497000000006</v>
      </c>
      <c r="E20" s="91">
        <v>0.0005532918116433981</v>
      </c>
      <c r="F20" s="91">
        <v>-0.001899927496</v>
      </c>
      <c r="G20" s="91">
        <v>0.0009150846040708282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0.7757373999999999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-0.21079882225242635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-3.7650087</v>
      </c>
      <c r="I25" s="103" t="s">
        <v>65</v>
      </c>
      <c r="J25" s="104"/>
      <c r="K25" s="103"/>
      <c r="L25" s="106">
        <v>4.615111179890411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2.821120882619362</v>
      </c>
      <c r="I26" s="108" t="s">
        <v>67</v>
      </c>
      <c r="J26" s="109"/>
      <c r="K26" s="108"/>
      <c r="L26" s="111">
        <v>0.03964180381020523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HCMQAP043_A_pos3ap2res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2.5304074400000003E-05</v>
      </c>
      <c r="L2" s="54">
        <v>1.7608793307953896E-07</v>
      </c>
      <c r="M2" s="54">
        <v>0.00020836396999999998</v>
      </c>
      <c r="N2" s="55">
        <v>2.894554363168877E-07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-2.8136041599999998E-05</v>
      </c>
      <c r="L3" s="54">
        <v>1.9888548124772222E-07</v>
      </c>
      <c r="M3" s="54">
        <v>1.0665370000000001E-05</v>
      </c>
      <c r="N3" s="55">
        <v>2.0180142120412699E-07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-0.003763515446732824</v>
      </c>
      <c r="L4" s="54">
        <v>3.7553281231751555E-05</v>
      </c>
      <c r="M4" s="54">
        <v>3.987806466851355E-08</v>
      </c>
      <c r="N4" s="55">
        <v>-4.9889572</v>
      </c>
    </row>
    <row r="5" spans="1:14" ht="15" customHeight="1" thickBot="1">
      <c r="A5" t="s">
        <v>18</v>
      </c>
      <c r="B5" s="58">
        <v>37754.41216435185</v>
      </c>
      <c r="D5" s="59"/>
      <c r="E5" s="60" t="s">
        <v>78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1685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6" t="s">
        <v>27</v>
      </c>
      <c r="B8" s="71" t="s">
        <v>28</v>
      </c>
      <c r="D8" s="88">
        <v>0.5307058899999999</v>
      </c>
      <c r="E8" s="77">
        <v>0.025444154057316724</v>
      </c>
      <c r="F8" s="77">
        <v>-1.16442689</v>
      </c>
      <c r="G8" s="77">
        <v>0.01205939808018666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6">
        <v>-0.8387909499999999</v>
      </c>
      <c r="E9" s="80">
        <v>0.01710203629428772</v>
      </c>
      <c r="F9" s="80">
        <v>0.1103819453</v>
      </c>
      <c r="G9" s="80">
        <v>0.02073460603475207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6">
        <v>0.34646952500000006</v>
      </c>
      <c r="E10" s="80">
        <v>0.004225631972335377</v>
      </c>
      <c r="F10" s="80">
        <v>-2.1524236</v>
      </c>
      <c r="G10" s="80">
        <v>0.00826667688610328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88">
        <v>4.3695466</v>
      </c>
      <c r="E11" s="77">
        <v>0.0030526092187273795</v>
      </c>
      <c r="F11" s="77">
        <v>0.29509679999999994</v>
      </c>
      <c r="G11" s="77">
        <v>0.005215931916351338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6">
        <v>0.126335967</v>
      </c>
      <c r="E12" s="80">
        <v>0.0038055782928906796</v>
      </c>
      <c r="F12" s="80">
        <v>0.21734487000000002</v>
      </c>
      <c r="G12" s="80">
        <v>0.00250003201751387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21.847535</v>
      </c>
      <c r="D13" s="86">
        <v>-0.16785466</v>
      </c>
      <c r="E13" s="80">
        <v>0.002664153670192289</v>
      </c>
      <c r="F13" s="80">
        <v>0.047703026</v>
      </c>
      <c r="G13" s="80">
        <v>0.0028972400814592583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6">
        <v>-0.005410835000000001</v>
      </c>
      <c r="E14" s="80">
        <v>0.0026777135319428803</v>
      </c>
      <c r="F14" s="80">
        <v>0.0263433466</v>
      </c>
      <c r="G14" s="80">
        <v>0.0039003377852522897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-0.075300429</v>
      </c>
      <c r="E15" s="77">
        <v>0.002509112210058244</v>
      </c>
      <c r="F15" s="77">
        <v>-0.013156879200000002</v>
      </c>
      <c r="G15" s="77">
        <v>0.004897726655281662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6">
        <v>-0.004695763</v>
      </c>
      <c r="E16" s="80">
        <v>0.002106309297336455</v>
      </c>
      <c r="F16" s="80">
        <v>-0.075947735</v>
      </c>
      <c r="G16" s="80">
        <v>0.0026908091010120405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0.2720000147819519</v>
      </c>
      <c r="D17" s="83">
        <v>0.16549701</v>
      </c>
      <c r="E17" s="80">
        <v>0.0013403790543738221</v>
      </c>
      <c r="F17" s="80">
        <v>-0.035449981000000005</v>
      </c>
      <c r="G17" s="80">
        <v>0.0013935666677249291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23.39699935913086</v>
      </c>
      <c r="D18" s="86">
        <v>0.020268632999999998</v>
      </c>
      <c r="E18" s="80">
        <v>0.001514288972206458</v>
      </c>
      <c r="F18" s="84">
        <v>0.168329</v>
      </c>
      <c r="G18" s="80">
        <v>0.0015215859144340628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-0.20900000631809235</v>
      </c>
      <c r="D19" s="83">
        <v>-0.17863935</v>
      </c>
      <c r="E19" s="80">
        <v>0.0011353488556385923</v>
      </c>
      <c r="F19" s="80">
        <v>0.0034699323000000003</v>
      </c>
      <c r="G19" s="80">
        <v>0.000798831398064421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0.10491530000000002</v>
      </c>
      <c r="D20" s="90">
        <v>-0.0021769526300000003</v>
      </c>
      <c r="E20" s="91">
        <v>0.0007900462356760061</v>
      </c>
      <c r="F20" s="91">
        <v>-0.003190978057</v>
      </c>
      <c r="G20" s="91">
        <v>0.0007489387787044822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0.9422283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-0.2858464331755576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-3.7637028</v>
      </c>
      <c r="I25" s="103" t="s">
        <v>65</v>
      </c>
      <c r="J25" s="104"/>
      <c r="K25" s="103"/>
      <c r="L25" s="106">
        <v>4.379499927039821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1.2796635197721955</v>
      </c>
      <c r="I26" s="108" t="s">
        <v>67</v>
      </c>
      <c r="J26" s="109"/>
      <c r="K26" s="108"/>
      <c r="L26" s="111">
        <v>0.07644120667459034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HCMQAP043_A_pos4ap2res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1.3151305000000001E-05</v>
      </c>
      <c r="L2" s="54">
        <v>4.6352428248151047E-07</v>
      </c>
      <c r="M2" s="54">
        <v>0.00014954046</v>
      </c>
      <c r="N2" s="55">
        <v>2.9309126803693877E-07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-3.1375407E-05</v>
      </c>
      <c r="L3" s="54">
        <v>1.551278706939357E-07</v>
      </c>
      <c r="M3" s="54">
        <v>1.4116979999999999E-05</v>
      </c>
      <c r="N3" s="55">
        <v>1.4836932499681842E-07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-0.002256379760753126</v>
      </c>
      <c r="L4" s="54">
        <v>4.2084641506440995E-07</v>
      </c>
      <c r="M4" s="54">
        <v>3.307355810066412E-08</v>
      </c>
      <c r="N4" s="55">
        <v>-0.093256999</v>
      </c>
    </row>
    <row r="5" spans="1:14" ht="15" customHeight="1" thickBot="1">
      <c r="A5" t="s">
        <v>18</v>
      </c>
      <c r="B5" s="58">
        <v>37754.39881944445</v>
      </c>
      <c r="D5" s="59"/>
      <c r="E5" s="60" t="s">
        <v>81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1685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6" t="s">
        <v>27</v>
      </c>
      <c r="B8" s="71" t="s">
        <v>28</v>
      </c>
      <c r="D8" s="88">
        <v>3.0852107</v>
      </c>
      <c r="E8" s="77">
        <v>0.013647847169374786</v>
      </c>
      <c r="F8" s="77">
        <v>1.4776042</v>
      </c>
      <c r="G8" s="77">
        <v>0.01695855573625745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6">
        <v>-0.83357315</v>
      </c>
      <c r="E9" s="80">
        <v>0.03225991764777361</v>
      </c>
      <c r="F9" s="80">
        <v>1.05749426</v>
      </c>
      <c r="G9" s="80">
        <v>0.01232493073966626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6">
        <v>-0.188610421</v>
      </c>
      <c r="E10" s="80">
        <v>0.01567373068354502</v>
      </c>
      <c r="F10" s="80">
        <v>-2.1205461999999997</v>
      </c>
      <c r="G10" s="80">
        <v>0.009863607401005916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88">
        <v>3.1466547</v>
      </c>
      <c r="E11" s="77">
        <v>0.010089516676245372</v>
      </c>
      <c r="F11" s="77">
        <v>0.36798081</v>
      </c>
      <c r="G11" s="77">
        <v>0.009233222370624634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6">
        <v>0.4839265300000001</v>
      </c>
      <c r="E12" s="80">
        <v>0.006972601716614967</v>
      </c>
      <c r="F12" s="80">
        <v>-0.18758891000000003</v>
      </c>
      <c r="G12" s="80">
        <v>0.0076579573428159405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21.124268</v>
      </c>
      <c r="D13" s="86">
        <v>0.31134708000000005</v>
      </c>
      <c r="E13" s="80">
        <v>0.01264160491261231</v>
      </c>
      <c r="F13" s="80">
        <v>0.21233852999999997</v>
      </c>
      <c r="G13" s="80">
        <v>0.003986339395060682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6">
        <v>0.0027824629999999998</v>
      </c>
      <c r="E14" s="80">
        <v>0.004158883952399491</v>
      </c>
      <c r="F14" s="84">
        <v>0.49132733</v>
      </c>
      <c r="G14" s="80">
        <v>0.0059930044949595435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-0.38447747000000004</v>
      </c>
      <c r="E15" s="77">
        <v>0.004673084341158732</v>
      </c>
      <c r="F15" s="77">
        <v>-0.0007576589999999997</v>
      </c>
      <c r="G15" s="77">
        <v>0.004791274847560301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6">
        <v>0.043124777</v>
      </c>
      <c r="E16" s="80">
        <v>0.0011384553514767585</v>
      </c>
      <c r="F16" s="80">
        <v>-0.11181769</v>
      </c>
      <c r="G16" s="80">
        <v>0.0012166010724149888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0.07100000232458115</v>
      </c>
      <c r="D17" s="83">
        <v>0.23054747</v>
      </c>
      <c r="E17" s="80">
        <v>0.0026208087235805315</v>
      </c>
      <c r="F17" s="80">
        <v>-0.012964128</v>
      </c>
      <c r="G17" s="80">
        <v>0.0014989426709137352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198.8730010986328</v>
      </c>
      <c r="D18" s="86">
        <v>0.0101166026</v>
      </c>
      <c r="E18" s="80">
        <v>0.0011879684753263642</v>
      </c>
      <c r="F18" s="84">
        <v>0.22187967</v>
      </c>
      <c r="G18" s="80">
        <v>0.0014203979807102874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-0.2930000126361847</v>
      </c>
      <c r="D19" s="83">
        <v>-0.20013932999999998</v>
      </c>
      <c r="E19" s="80">
        <v>0.0016747802388989797</v>
      </c>
      <c r="F19" s="80">
        <v>0.0011862334</v>
      </c>
      <c r="G19" s="80">
        <v>0.001981608019035788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0.0989449</v>
      </c>
      <c r="D20" s="90">
        <v>-0.0001980254600000001</v>
      </c>
      <c r="E20" s="91">
        <v>0.0010986815705818162</v>
      </c>
      <c r="F20" s="91">
        <v>-0.0032991662999999997</v>
      </c>
      <c r="G20" s="91">
        <v>0.001237453373755346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1.1266722999999998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-0.005343236965994926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-2.2563798</v>
      </c>
      <c r="I25" s="103" t="s">
        <v>65</v>
      </c>
      <c r="J25" s="104"/>
      <c r="K25" s="103"/>
      <c r="L25" s="106">
        <v>3.1680981167824247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3.420795117403574</v>
      </c>
      <c r="I26" s="108" t="s">
        <v>67</v>
      </c>
      <c r="J26" s="109"/>
      <c r="K26" s="108"/>
      <c r="L26" s="111">
        <v>0.3844782165282725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HCMQAP043_A_pos1ap2res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B1" sqref="B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121</v>
      </c>
      <c r="B1" s="131" t="s">
        <v>193</v>
      </c>
      <c r="C1" s="121" t="s">
        <v>73</v>
      </c>
      <c r="D1" s="121" t="s">
        <v>76</v>
      </c>
      <c r="E1" s="121" t="s">
        <v>79</v>
      </c>
      <c r="F1" s="128" t="s">
        <v>68</v>
      </c>
      <c r="G1" s="163" t="s">
        <v>122</v>
      </c>
    </row>
    <row r="2" spans="1:7" ht="13.5" thickBot="1">
      <c r="A2" s="140" t="s">
        <v>91</v>
      </c>
      <c r="B2" s="132">
        <v>-2.2563798</v>
      </c>
      <c r="C2" s="123">
        <v>-3.7659181</v>
      </c>
      <c r="D2" s="123">
        <v>-3.7650087</v>
      </c>
      <c r="E2" s="123">
        <v>-3.7637028</v>
      </c>
      <c r="F2" s="129">
        <v>-2.0920588</v>
      </c>
      <c r="G2" s="164">
        <v>3.1158357357323165</v>
      </c>
    </row>
    <row r="3" spans="1:7" ht="14.25" thickBot="1" thickTop="1">
      <c r="A3" s="148" t="s">
        <v>90</v>
      </c>
      <c r="B3" s="149" t="s">
        <v>85</v>
      </c>
      <c r="C3" s="150" t="s">
        <v>86</v>
      </c>
      <c r="D3" s="150" t="s">
        <v>87</v>
      </c>
      <c r="E3" s="150" t="s">
        <v>88</v>
      </c>
      <c r="F3" s="151" t="s">
        <v>89</v>
      </c>
      <c r="G3" s="158" t="s">
        <v>123</v>
      </c>
    </row>
    <row r="4" spans="1:7" ht="12.75">
      <c r="A4" s="145" t="s">
        <v>92</v>
      </c>
      <c r="B4" s="146">
        <v>3.0852107</v>
      </c>
      <c r="C4" s="147">
        <v>0.20807735119999998</v>
      </c>
      <c r="D4" s="147">
        <v>1.7600329000000001</v>
      </c>
      <c r="E4" s="147">
        <v>0.5307058899999999</v>
      </c>
      <c r="F4" s="152">
        <v>-5.6820692</v>
      </c>
      <c r="G4" s="159">
        <v>0.2865003758146858</v>
      </c>
    </row>
    <row r="5" spans="1:7" ht="12.75">
      <c r="A5" s="140" t="s">
        <v>94</v>
      </c>
      <c r="B5" s="134">
        <v>-0.83357315</v>
      </c>
      <c r="C5" s="118">
        <v>-0.48433647999999996</v>
      </c>
      <c r="D5" s="118">
        <v>-0.71438758</v>
      </c>
      <c r="E5" s="118">
        <v>-0.8387909499999999</v>
      </c>
      <c r="F5" s="153">
        <v>-3.6942605</v>
      </c>
      <c r="G5" s="160">
        <v>-1.1046474005351241</v>
      </c>
    </row>
    <row r="6" spans="1:7" ht="12.75">
      <c r="A6" s="140" t="s">
        <v>96</v>
      </c>
      <c r="B6" s="134">
        <v>-0.188610421</v>
      </c>
      <c r="C6" s="118">
        <v>-0.10390563000000001</v>
      </c>
      <c r="D6" s="118">
        <v>0.49661967999999995</v>
      </c>
      <c r="E6" s="118">
        <v>0.34646952500000006</v>
      </c>
      <c r="F6" s="153">
        <v>3.8067111</v>
      </c>
      <c r="G6" s="160">
        <v>0.6597665000423809</v>
      </c>
    </row>
    <row r="7" spans="1:7" ht="12.75">
      <c r="A7" s="140" t="s">
        <v>98</v>
      </c>
      <c r="B7" s="133">
        <v>3.1466547</v>
      </c>
      <c r="C7" s="117">
        <v>4.7066937</v>
      </c>
      <c r="D7" s="117">
        <v>4.6111551</v>
      </c>
      <c r="E7" s="117">
        <v>4.3695466</v>
      </c>
      <c r="F7" s="154">
        <v>14.338258000000002</v>
      </c>
      <c r="G7" s="160">
        <v>5.665657314331167</v>
      </c>
    </row>
    <row r="8" spans="1:7" ht="12.75">
      <c r="A8" s="140" t="s">
        <v>100</v>
      </c>
      <c r="B8" s="134">
        <v>0.4839265300000001</v>
      </c>
      <c r="C8" s="118">
        <v>0.021785850000000002</v>
      </c>
      <c r="D8" s="118">
        <v>0.086703956</v>
      </c>
      <c r="E8" s="118">
        <v>0.126335967</v>
      </c>
      <c r="F8" s="155">
        <v>-0.26187838</v>
      </c>
      <c r="G8" s="160">
        <v>0.09128854822797869</v>
      </c>
    </row>
    <row r="9" spans="1:7" ht="12.75">
      <c r="A9" s="140" t="s">
        <v>102</v>
      </c>
      <c r="B9" s="134">
        <v>0.31134708000000005</v>
      </c>
      <c r="C9" s="118">
        <v>0.054297068999999996</v>
      </c>
      <c r="D9" s="118">
        <v>0.045580999100000005</v>
      </c>
      <c r="E9" s="118">
        <v>-0.16785466</v>
      </c>
      <c r="F9" s="155">
        <v>0.31842088</v>
      </c>
      <c r="G9" s="160">
        <v>0.07115027379756111</v>
      </c>
    </row>
    <row r="10" spans="1:7" ht="12.75">
      <c r="A10" s="140" t="s">
        <v>104</v>
      </c>
      <c r="B10" s="134">
        <v>0.0027824629999999998</v>
      </c>
      <c r="C10" s="118">
        <v>0.094569364</v>
      </c>
      <c r="D10" s="118">
        <v>-0.025981854999999998</v>
      </c>
      <c r="E10" s="118">
        <v>-0.005410835000000001</v>
      </c>
      <c r="F10" s="155">
        <v>0.21892589</v>
      </c>
      <c r="G10" s="160">
        <v>0.04489131631260749</v>
      </c>
    </row>
    <row r="11" spans="1:7" ht="12.75">
      <c r="A11" s="140" t="s">
        <v>106</v>
      </c>
      <c r="B11" s="133">
        <v>-0.38447747000000004</v>
      </c>
      <c r="C11" s="117">
        <v>-0.07708437500000001</v>
      </c>
      <c r="D11" s="117">
        <v>-0.039443859000000005</v>
      </c>
      <c r="E11" s="117">
        <v>-0.075300429</v>
      </c>
      <c r="F11" s="156">
        <v>-0.30479856</v>
      </c>
      <c r="G11" s="160">
        <v>-0.1423884386915347</v>
      </c>
    </row>
    <row r="12" spans="1:7" ht="12.75">
      <c r="A12" s="140" t="s">
        <v>108</v>
      </c>
      <c r="B12" s="134">
        <v>0.043124777</v>
      </c>
      <c r="C12" s="118">
        <v>-0.0273757393</v>
      </c>
      <c r="D12" s="118">
        <v>-0.002142527</v>
      </c>
      <c r="E12" s="118">
        <v>-0.004695763</v>
      </c>
      <c r="F12" s="155">
        <v>0.062077098</v>
      </c>
      <c r="G12" s="160">
        <v>0.006286486277333647</v>
      </c>
    </row>
    <row r="13" spans="1:7" ht="12.75">
      <c r="A13" s="140" t="s">
        <v>110</v>
      </c>
      <c r="B13" s="135">
        <v>0.23054747</v>
      </c>
      <c r="C13" s="118">
        <v>0.111574561</v>
      </c>
      <c r="D13" s="118">
        <v>0.10176104500000001</v>
      </c>
      <c r="E13" s="119">
        <v>0.16549701</v>
      </c>
      <c r="F13" s="155">
        <v>0.12747177</v>
      </c>
      <c r="G13" s="161">
        <v>0.14147317537574602</v>
      </c>
    </row>
    <row r="14" spans="1:7" ht="12.75">
      <c r="A14" s="140" t="s">
        <v>112</v>
      </c>
      <c r="B14" s="134">
        <v>0.0101166026</v>
      </c>
      <c r="C14" s="118">
        <v>0.025856606000000004</v>
      </c>
      <c r="D14" s="118">
        <v>-0.024753216</v>
      </c>
      <c r="E14" s="118">
        <v>0.020268632999999998</v>
      </c>
      <c r="F14" s="155">
        <v>-0.075361022</v>
      </c>
      <c r="G14" s="160">
        <v>-0.0034756540778595048</v>
      </c>
    </row>
    <row r="15" spans="1:7" ht="12.75">
      <c r="A15" s="140" t="s">
        <v>114</v>
      </c>
      <c r="B15" s="135">
        <v>-0.20013932999999998</v>
      </c>
      <c r="C15" s="119">
        <v>-0.19483618</v>
      </c>
      <c r="D15" s="119">
        <v>-0.19433714</v>
      </c>
      <c r="E15" s="119">
        <v>-0.17863935</v>
      </c>
      <c r="F15" s="155">
        <v>-0.13323636999999997</v>
      </c>
      <c r="G15" s="161">
        <v>-0.18334588627256934</v>
      </c>
    </row>
    <row r="16" spans="1:7" ht="12.75">
      <c r="A16" s="140" t="s">
        <v>116</v>
      </c>
      <c r="B16" s="134">
        <v>-0.0001980254600000001</v>
      </c>
      <c r="C16" s="118">
        <v>-0.0029046638999999995</v>
      </c>
      <c r="D16" s="118">
        <v>0.00010485497000000006</v>
      </c>
      <c r="E16" s="118">
        <v>-0.0021769526300000003</v>
      </c>
      <c r="F16" s="155">
        <v>-0.0045046581850000005</v>
      </c>
      <c r="G16" s="160">
        <v>-0.0018288087265954452</v>
      </c>
    </row>
    <row r="17" spans="1:7" ht="12.75">
      <c r="A17" s="140" t="s">
        <v>93</v>
      </c>
      <c r="B17" s="133">
        <v>1.4776042</v>
      </c>
      <c r="C17" s="117">
        <v>0.04089764</v>
      </c>
      <c r="D17" s="117">
        <v>-2.2047692</v>
      </c>
      <c r="E17" s="117">
        <v>-1.16442689</v>
      </c>
      <c r="F17" s="154">
        <v>5.170503399999999</v>
      </c>
      <c r="G17" s="160">
        <v>0.10365732501364612</v>
      </c>
    </row>
    <row r="18" spans="1:7" ht="12.75">
      <c r="A18" s="140" t="s">
        <v>95</v>
      </c>
      <c r="B18" s="134">
        <v>1.05749426</v>
      </c>
      <c r="C18" s="118">
        <v>-0.27297247</v>
      </c>
      <c r="D18" s="118">
        <v>1.4124944999999998</v>
      </c>
      <c r="E18" s="118">
        <v>0.1103819453</v>
      </c>
      <c r="F18" s="153">
        <v>-3.1861623000000003</v>
      </c>
      <c r="G18" s="160">
        <v>0.02723102371689496</v>
      </c>
    </row>
    <row r="19" spans="1:7" ht="12.75">
      <c r="A19" s="140" t="s">
        <v>97</v>
      </c>
      <c r="B19" s="134">
        <v>-2.1205461999999997</v>
      </c>
      <c r="C19" s="118">
        <v>-2.1329351</v>
      </c>
      <c r="D19" s="119">
        <v>-2.6907893</v>
      </c>
      <c r="E19" s="118">
        <v>-2.1524236</v>
      </c>
      <c r="F19" s="153">
        <v>-10.340767</v>
      </c>
      <c r="G19" s="161">
        <v>-3.3677943669282637</v>
      </c>
    </row>
    <row r="20" spans="1:7" ht="12.75">
      <c r="A20" s="140" t="s">
        <v>99</v>
      </c>
      <c r="B20" s="133">
        <v>0.36798081</v>
      </c>
      <c r="C20" s="117">
        <v>0.078963087</v>
      </c>
      <c r="D20" s="117">
        <v>0.19104933</v>
      </c>
      <c r="E20" s="117">
        <v>0.29509679999999994</v>
      </c>
      <c r="F20" s="154">
        <v>2.0931368</v>
      </c>
      <c r="G20" s="160">
        <v>0.46899989153603916</v>
      </c>
    </row>
    <row r="21" spans="1:7" ht="12.75">
      <c r="A21" s="140" t="s">
        <v>101</v>
      </c>
      <c r="B21" s="134">
        <v>-0.18758891000000003</v>
      </c>
      <c r="C21" s="118">
        <v>-0.011055893</v>
      </c>
      <c r="D21" s="118">
        <v>-0.20324656000000002</v>
      </c>
      <c r="E21" s="118">
        <v>0.21734487000000002</v>
      </c>
      <c r="F21" s="155">
        <v>0.29201691</v>
      </c>
      <c r="G21" s="160">
        <v>0.012708859804465402</v>
      </c>
    </row>
    <row r="22" spans="1:7" ht="12.75">
      <c r="A22" s="140" t="s">
        <v>103</v>
      </c>
      <c r="B22" s="134">
        <v>0.21233852999999997</v>
      </c>
      <c r="C22" s="118">
        <v>-0.21480681000000001</v>
      </c>
      <c r="D22" s="118">
        <v>-0.14379652</v>
      </c>
      <c r="E22" s="118">
        <v>0.047703026</v>
      </c>
      <c r="F22" s="155">
        <v>-0.101857898</v>
      </c>
      <c r="G22" s="160">
        <v>-0.057838802498733646</v>
      </c>
    </row>
    <row r="23" spans="1:7" ht="12.75">
      <c r="A23" s="140" t="s">
        <v>105</v>
      </c>
      <c r="B23" s="135">
        <v>0.49132733</v>
      </c>
      <c r="C23" s="118">
        <v>-0.0097306172</v>
      </c>
      <c r="D23" s="118">
        <v>-0.08661123100000001</v>
      </c>
      <c r="E23" s="118">
        <v>0.0263433466</v>
      </c>
      <c r="F23" s="153">
        <v>0.4799938</v>
      </c>
      <c r="G23" s="160">
        <v>0.11821262132736875</v>
      </c>
    </row>
    <row r="24" spans="1:7" ht="12.75">
      <c r="A24" s="140" t="s">
        <v>107</v>
      </c>
      <c r="B24" s="133">
        <v>-0.0007576589999999997</v>
      </c>
      <c r="C24" s="117">
        <v>0.10368608400000001</v>
      </c>
      <c r="D24" s="117">
        <v>-0.003956589</v>
      </c>
      <c r="E24" s="117">
        <v>-0.013156879200000002</v>
      </c>
      <c r="F24" s="156">
        <v>0.17001595</v>
      </c>
      <c r="G24" s="160">
        <v>0.04347177385808918</v>
      </c>
    </row>
    <row r="25" spans="1:7" ht="12.75">
      <c r="A25" s="140" t="s">
        <v>109</v>
      </c>
      <c r="B25" s="134">
        <v>-0.11181769</v>
      </c>
      <c r="C25" s="118">
        <v>-0.048305177</v>
      </c>
      <c r="D25" s="118">
        <v>-0.04527155000000001</v>
      </c>
      <c r="E25" s="118">
        <v>-0.075947735</v>
      </c>
      <c r="F25" s="155">
        <v>-0.0069140660999999996</v>
      </c>
      <c r="G25" s="160">
        <v>-0.05785141515272531</v>
      </c>
    </row>
    <row r="26" spans="1:7" ht="12.75">
      <c r="A26" s="140" t="s">
        <v>111</v>
      </c>
      <c r="B26" s="134">
        <v>-0.012964128</v>
      </c>
      <c r="C26" s="118">
        <v>-0.063437728</v>
      </c>
      <c r="D26" s="118">
        <v>-0.010069777500000002</v>
      </c>
      <c r="E26" s="118">
        <v>-0.035449981000000005</v>
      </c>
      <c r="F26" s="155">
        <v>0.097076762</v>
      </c>
      <c r="G26" s="160">
        <v>-0.015112059862303526</v>
      </c>
    </row>
    <row r="27" spans="1:7" ht="12.75">
      <c r="A27" s="140" t="s">
        <v>113</v>
      </c>
      <c r="B27" s="135">
        <v>0.22187967</v>
      </c>
      <c r="C27" s="119">
        <v>0.16251869000000002</v>
      </c>
      <c r="D27" s="118">
        <v>0.14657953999999998</v>
      </c>
      <c r="E27" s="119">
        <v>0.168329</v>
      </c>
      <c r="F27" s="155">
        <v>0.13961793</v>
      </c>
      <c r="G27" s="161">
        <v>0.16558000896112166</v>
      </c>
    </row>
    <row r="28" spans="1:7" ht="12.75">
      <c r="A28" s="140" t="s">
        <v>115</v>
      </c>
      <c r="B28" s="134">
        <v>0.0011862334</v>
      </c>
      <c r="C28" s="118">
        <v>0.012641929200000002</v>
      </c>
      <c r="D28" s="118">
        <v>0.0019278770000000001</v>
      </c>
      <c r="E28" s="118">
        <v>0.0034699323000000003</v>
      </c>
      <c r="F28" s="155">
        <v>-0.031045226000000002</v>
      </c>
      <c r="G28" s="160">
        <v>0.0003614950943322862</v>
      </c>
    </row>
    <row r="29" spans="1:7" ht="13.5" thickBot="1">
      <c r="A29" s="141" t="s">
        <v>117</v>
      </c>
      <c r="B29" s="136">
        <v>-0.0032991662999999997</v>
      </c>
      <c r="C29" s="120">
        <v>-0.00035082400000000007</v>
      </c>
      <c r="D29" s="120">
        <v>-0.001899927496</v>
      </c>
      <c r="E29" s="120">
        <v>-0.003190978057</v>
      </c>
      <c r="F29" s="157">
        <v>0.00408500305</v>
      </c>
      <c r="G29" s="162">
        <v>-0.0012390418823702675</v>
      </c>
    </row>
    <row r="30" spans="1:7" ht="13.5" thickTop="1">
      <c r="A30" s="142" t="s">
        <v>118</v>
      </c>
      <c r="B30" s="137">
        <v>-0.005343236965994926</v>
      </c>
      <c r="C30" s="126">
        <v>-0.08914752975404175</v>
      </c>
      <c r="D30" s="126">
        <v>-0.21079882225242635</v>
      </c>
      <c r="E30" s="126">
        <v>-0.2858464331755576</v>
      </c>
      <c r="F30" s="122">
        <v>-0.4346323651399451</v>
      </c>
      <c r="G30" s="163" t="s">
        <v>129</v>
      </c>
    </row>
    <row r="31" spans="1:7" ht="13.5" thickBot="1">
      <c r="A31" s="143" t="s">
        <v>119</v>
      </c>
      <c r="B31" s="132">
        <v>21.124268</v>
      </c>
      <c r="C31" s="123">
        <v>21.331788</v>
      </c>
      <c r="D31" s="123">
        <v>21.594239</v>
      </c>
      <c r="E31" s="123">
        <v>21.847535</v>
      </c>
      <c r="F31" s="124">
        <v>22.103882</v>
      </c>
      <c r="G31" s="165">
        <v>-210.3</v>
      </c>
    </row>
    <row r="32" spans="1:7" ht="15.75" thickBot="1" thickTop="1">
      <c r="A32" s="144" t="s">
        <v>120</v>
      </c>
      <c r="B32" s="138">
        <v>-0.11100000515580177</v>
      </c>
      <c r="C32" s="127">
        <v>0.08100000023841858</v>
      </c>
      <c r="D32" s="127">
        <v>-0.11100000143051147</v>
      </c>
      <c r="E32" s="127">
        <v>0.03150000423192978</v>
      </c>
      <c r="F32" s="125">
        <v>-0.001999989151954651</v>
      </c>
      <c r="G32" s="130" t="s">
        <v>128</v>
      </c>
    </row>
    <row r="33" spans="1:7" ht="15" thickTop="1">
      <c r="A33" t="s">
        <v>124</v>
      </c>
      <c r="G33" s="32" t="s">
        <v>125</v>
      </c>
    </row>
    <row r="34" ht="14.25">
      <c r="A34" t="s">
        <v>126</v>
      </c>
    </row>
    <row r="35" spans="1:2" ht="12.75">
      <c r="A35" t="s">
        <v>127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6" bestFit="1" customWidth="1"/>
    <col min="2" max="2" width="15.66015625" style="166" bestFit="1" customWidth="1"/>
    <col min="3" max="3" width="14.83203125" style="166" bestFit="1" customWidth="1"/>
    <col min="4" max="4" width="16" style="166" bestFit="1" customWidth="1"/>
    <col min="5" max="5" width="21.33203125" style="166" bestFit="1" customWidth="1"/>
    <col min="6" max="7" width="14.8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130</v>
      </c>
      <c r="B1" s="166" t="s">
        <v>131</v>
      </c>
      <c r="C1" s="168" t="s">
        <v>194</v>
      </c>
      <c r="D1" s="166" t="s">
        <v>132</v>
      </c>
      <c r="E1" s="166" t="s">
        <v>133</v>
      </c>
    </row>
    <row r="3" spans="1:7" ht="12.75">
      <c r="A3" s="166" t="s">
        <v>134</v>
      </c>
      <c r="B3" s="166" t="s">
        <v>85</v>
      </c>
      <c r="C3" s="166" t="s">
        <v>86</v>
      </c>
      <c r="D3" s="166" t="s">
        <v>87</v>
      </c>
      <c r="E3" s="166" t="s">
        <v>88</v>
      </c>
      <c r="F3" s="166" t="s">
        <v>89</v>
      </c>
      <c r="G3" s="166" t="s">
        <v>135</v>
      </c>
    </row>
    <row r="4" spans="1:7" ht="12.75">
      <c r="A4" s="166" t="s">
        <v>136</v>
      </c>
      <c r="B4" s="166">
        <v>0.002255</v>
      </c>
      <c r="C4" s="166">
        <v>0.003764</v>
      </c>
      <c r="D4" s="166">
        <v>0.003763</v>
      </c>
      <c r="E4" s="166">
        <v>0.003762</v>
      </c>
      <c r="F4" s="166">
        <v>0.002091</v>
      </c>
      <c r="G4" s="166">
        <v>0.011726</v>
      </c>
    </row>
    <row r="5" spans="1:7" ht="12.75">
      <c r="A5" s="166" t="s">
        <v>137</v>
      </c>
      <c r="B5" s="166">
        <v>3.239903</v>
      </c>
      <c r="C5" s="166">
        <v>1.90409</v>
      </c>
      <c r="D5" s="166">
        <v>-0.148362</v>
      </c>
      <c r="E5" s="166">
        <v>-1.518951</v>
      </c>
      <c r="F5" s="166">
        <v>-4.008467</v>
      </c>
      <c r="G5" s="166">
        <v>-3.472535</v>
      </c>
    </row>
    <row r="6" spans="1:7" ht="12.75">
      <c r="A6" s="166" t="s">
        <v>138</v>
      </c>
      <c r="B6" s="167">
        <v>-68.81557</v>
      </c>
      <c r="C6" s="167">
        <v>-104.4547</v>
      </c>
      <c r="D6" s="167">
        <v>31.1604</v>
      </c>
      <c r="E6" s="167">
        <v>-83.28924</v>
      </c>
      <c r="F6" s="167">
        <v>112.0975</v>
      </c>
      <c r="G6" s="167">
        <v>1100.866</v>
      </c>
    </row>
    <row r="7" spans="1:7" ht="12.75">
      <c r="A7" s="166" t="s">
        <v>139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</row>
    <row r="8" spans="1:7" ht="12.75">
      <c r="A8" s="166" t="s">
        <v>92</v>
      </c>
      <c r="B8" s="167">
        <v>3.020674</v>
      </c>
      <c r="C8" s="167">
        <v>0.1934029</v>
      </c>
      <c r="D8" s="167">
        <v>1.814573</v>
      </c>
      <c r="E8" s="167">
        <v>0.5144846</v>
      </c>
      <c r="F8" s="167">
        <v>-5.337521</v>
      </c>
      <c r="G8" s="167">
        <v>0.1149538</v>
      </c>
    </row>
    <row r="9" spans="1:7" ht="12.75">
      <c r="A9" s="166" t="s">
        <v>94</v>
      </c>
      <c r="B9" s="167">
        <v>-0.7639366</v>
      </c>
      <c r="C9" s="167">
        <v>-0.5347101</v>
      </c>
      <c r="D9" s="167">
        <v>-0.8344845</v>
      </c>
      <c r="E9" s="167">
        <v>-0.8328684</v>
      </c>
      <c r="F9" s="167">
        <v>-3.419004</v>
      </c>
      <c r="G9" s="167">
        <v>1.097415</v>
      </c>
    </row>
    <row r="10" spans="1:7" ht="12.75">
      <c r="A10" s="166" t="s">
        <v>140</v>
      </c>
      <c r="B10" s="167">
        <v>-0.1158675</v>
      </c>
      <c r="C10" s="167">
        <v>0.09907848</v>
      </c>
      <c r="D10" s="167">
        <v>0.3548607</v>
      </c>
      <c r="E10" s="167">
        <v>0.4336365</v>
      </c>
      <c r="F10" s="167">
        <v>2.368228</v>
      </c>
      <c r="G10" s="167">
        <v>3.319084</v>
      </c>
    </row>
    <row r="11" spans="1:7" ht="12.75">
      <c r="A11" s="166" t="s">
        <v>98</v>
      </c>
      <c r="B11" s="167">
        <v>3.16341</v>
      </c>
      <c r="C11" s="167">
        <v>4.708927</v>
      </c>
      <c r="D11" s="167">
        <v>4.60009</v>
      </c>
      <c r="E11" s="167">
        <v>4.378374</v>
      </c>
      <c r="F11" s="167">
        <v>14.38629</v>
      </c>
      <c r="G11" s="167">
        <v>5.674509</v>
      </c>
    </row>
    <row r="12" spans="1:7" ht="12.75">
      <c r="A12" s="166" t="s">
        <v>100</v>
      </c>
      <c r="B12" s="167">
        <v>0.4818305</v>
      </c>
      <c r="C12" s="167">
        <v>0.01769039</v>
      </c>
      <c r="D12" s="167">
        <v>0.07728005</v>
      </c>
      <c r="E12" s="167">
        <v>0.1241454</v>
      </c>
      <c r="F12" s="167">
        <v>-0.2711955</v>
      </c>
      <c r="G12" s="167">
        <v>0.02251681</v>
      </c>
    </row>
    <row r="13" spans="1:7" ht="12.75">
      <c r="A13" s="166" t="s">
        <v>102</v>
      </c>
      <c r="B13" s="167">
        <v>0.2632489</v>
      </c>
      <c r="C13" s="167">
        <v>0.06351455</v>
      </c>
      <c r="D13" s="167">
        <v>0.04093983</v>
      </c>
      <c r="E13" s="167">
        <v>-0.1663416</v>
      </c>
      <c r="F13" s="167">
        <v>0.2387684</v>
      </c>
      <c r="G13" s="167">
        <v>-0.05503302</v>
      </c>
    </row>
    <row r="14" spans="1:7" ht="12.75">
      <c r="A14" s="166" t="s">
        <v>104</v>
      </c>
      <c r="B14" s="167">
        <v>-0.02340369</v>
      </c>
      <c r="C14" s="167">
        <v>0.09287832</v>
      </c>
      <c r="D14" s="167">
        <v>-0.02402132</v>
      </c>
      <c r="E14" s="167">
        <v>-0.009333165</v>
      </c>
      <c r="F14" s="167">
        <v>0.2545956</v>
      </c>
      <c r="G14" s="167">
        <v>-0.1085722</v>
      </c>
    </row>
    <row r="15" spans="1:7" ht="12.75">
      <c r="A15" s="166" t="s">
        <v>106</v>
      </c>
      <c r="B15" s="167">
        <v>-0.3772934</v>
      </c>
      <c r="C15" s="167">
        <v>-0.08562878</v>
      </c>
      <c r="D15" s="167">
        <v>-0.04593108</v>
      </c>
      <c r="E15" s="167">
        <v>-0.07695244</v>
      </c>
      <c r="F15" s="167">
        <v>-0.3077849</v>
      </c>
      <c r="G15" s="167">
        <v>-0.145774</v>
      </c>
    </row>
    <row r="16" spans="1:7" ht="12.75">
      <c r="A16" s="166" t="s">
        <v>108</v>
      </c>
      <c r="B16" s="167">
        <v>0.05303657</v>
      </c>
      <c r="C16" s="167">
        <v>-0.020391</v>
      </c>
      <c r="D16" s="167">
        <v>-0.01245322</v>
      </c>
      <c r="E16" s="167">
        <v>0.001608796</v>
      </c>
      <c r="F16" s="167">
        <v>0.02742202</v>
      </c>
      <c r="G16" s="167">
        <v>-0.0603022</v>
      </c>
    </row>
    <row r="17" spans="1:7" ht="12.75">
      <c r="A17" s="166" t="s">
        <v>141</v>
      </c>
      <c r="B17" s="167">
        <v>0.2030878</v>
      </c>
      <c r="C17" s="167">
        <v>0.1257162</v>
      </c>
      <c r="D17" s="167">
        <v>0.1204063</v>
      </c>
      <c r="E17" s="167">
        <v>0.1654852</v>
      </c>
      <c r="F17" s="167">
        <v>0.1201312</v>
      </c>
      <c r="G17" s="167">
        <v>-0.144422</v>
      </c>
    </row>
    <row r="18" spans="1:7" ht="12.75">
      <c r="A18" s="166" t="s">
        <v>142</v>
      </c>
      <c r="B18" s="167">
        <v>-0.002429294</v>
      </c>
      <c r="C18" s="167">
        <v>0.01631231</v>
      </c>
      <c r="D18" s="167">
        <v>-0.01942781</v>
      </c>
      <c r="E18" s="167">
        <v>0.02019606</v>
      </c>
      <c r="F18" s="167">
        <v>-0.05752699</v>
      </c>
      <c r="G18" s="167">
        <v>-0.1668569</v>
      </c>
    </row>
    <row r="19" spans="1:7" ht="12.75">
      <c r="A19" s="166" t="s">
        <v>143</v>
      </c>
      <c r="B19" s="167">
        <v>-0.1997174</v>
      </c>
      <c r="C19" s="167">
        <v>-0.195137</v>
      </c>
      <c r="D19" s="167">
        <v>-0.1941728</v>
      </c>
      <c r="E19" s="167">
        <v>-0.1786879</v>
      </c>
      <c r="F19" s="167">
        <v>-0.1344321</v>
      </c>
      <c r="G19" s="167">
        <v>-0.1834892</v>
      </c>
    </row>
    <row r="20" spans="1:7" ht="12.75">
      <c r="A20" s="166" t="s">
        <v>116</v>
      </c>
      <c r="B20" s="167">
        <v>2.802953E-05</v>
      </c>
      <c r="C20" s="167">
        <v>-0.002636604</v>
      </c>
      <c r="D20" s="167">
        <v>0.0001633019</v>
      </c>
      <c r="E20" s="167">
        <v>-0.002077305</v>
      </c>
      <c r="F20" s="167">
        <v>-0.004212591</v>
      </c>
      <c r="G20" s="167">
        <v>-0.001205741</v>
      </c>
    </row>
    <row r="21" spans="1:7" ht="12.75">
      <c r="A21" s="166" t="s">
        <v>144</v>
      </c>
      <c r="B21" s="167">
        <v>-1213.489</v>
      </c>
      <c r="C21" s="167">
        <v>-1047.506</v>
      </c>
      <c r="D21" s="167">
        <v>-1006.957</v>
      </c>
      <c r="E21" s="167">
        <v>-1104.253</v>
      </c>
      <c r="F21" s="167">
        <v>-1238.35</v>
      </c>
      <c r="G21" s="167">
        <v>-32.60736</v>
      </c>
    </row>
    <row r="22" spans="1:7" ht="12.75">
      <c r="A22" s="166" t="s">
        <v>145</v>
      </c>
      <c r="B22" s="167">
        <v>64.79896</v>
      </c>
      <c r="C22" s="167">
        <v>38.08198</v>
      </c>
      <c r="D22" s="167">
        <v>-2.967247</v>
      </c>
      <c r="E22" s="167">
        <v>-30.37912</v>
      </c>
      <c r="F22" s="167">
        <v>-80.17105</v>
      </c>
      <c r="G22" s="167">
        <v>0</v>
      </c>
    </row>
    <row r="23" spans="1:7" ht="12.75">
      <c r="A23" s="166" t="s">
        <v>93</v>
      </c>
      <c r="B23" s="167">
        <v>1.495726</v>
      </c>
      <c r="C23" s="167">
        <v>0.04503437</v>
      </c>
      <c r="D23" s="167">
        <v>-2.208696</v>
      </c>
      <c r="E23" s="167">
        <v>-1.164009</v>
      </c>
      <c r="F23" s="167">
        <v>5.233941</v>
      </c>
      <c r="G23" s="167">
        <v>-0.3289293</v>
      </c>
    </row>
    <row r="24" spans="1:7" ht="12.75">
      <c r="A24" s="166" t="s">
        <v>95</v>
      </c>
      <c r="B24" s="167">
        <v>1.017312</v>
      </c>
      <c r="C24" s="167">
        <v>-0.3385415</v>
      </c>
      <c r="D24" s="167">
        <v>1.474608</v>
      </c>
      <c r="E24" s="167">
        <v>0.07900402</v>
      </c>
      <c r="F24" s="167">
        <v>-2.325006</v>
      </c>
      <c r="G24" s="167">
        <v>-0.1281525</v>
      </c>
    </row>
    <row r="25" spans="1:7" ht="12.75">
      <c r="A25" s="166" t="s">
        <v>97</v>
      </c>
      <c r="B25" s="167">
        <v>-1.931712</v>
      </c>
      <c r="C25" s="167">
        <v>-2.256405</v>
      </c>
      <c r="D25" s="167">
        <v>-2.914637</v>
      </c>
      <c r="E25" s="167">
        <v>-2.143059</v>
      </c>
      <c r="F25" s="167">
        <v>-9.571949</v>
      </c>
      <c r="G25" s="167">
        <v>0.5137999</v>
      </c>
    </row>
    <row r="26" spans="1:7" ht="12.75">
      <c r="A26" s="166" t="s">
        <v>99</v>
      </c>
      <c r="B26" s="167">
        <v>0.4544817</v>
      </c>
      <c r="C26" s="167">
        <v>0.1318426</v>
      </c>
      <c r="D26" s="167">
        <v>0.189643</v>
      </c>
      <c r="E26" s="167">
        <v>0.2618644</v>
      </c>
      <c r="F26" s="167">
        <v>1.697072</v>
      </c>
      <c r="G26" s="167">
        <v>0.4333041</v>
      </c>
    </row>
    <row r="27" spans="1:7" ht="12.75">
      <c r="A27" s="166" t="s">
        <v>101</v>
      </c>
      <c r="B27" s="167">
        <v>-0.1462754</v>
      </c>
      <c r="C27" s="167">
        <v>-0.02384838</v>
      </c>
      <c r="D27" s="167">
        <v>-0.1997372</v>
      </c>
      <c r="E27" s="167">
        <v>0.2171072</v>
      </c>
      <c r="F27" s="167">
        <v>0.3378711</v>
      </c>
      <c r="G27" s="167">
        <v>-0.08595598</v>
      </c>
    </row>
    <row r="28" spans="1:7" ht="12.75">
      <c r="A28" s="166" t="s">
        <v>103</v>
      </c>
      <c r="B28" s="167">
        <v>0.2297037</v>
      </c>
      <c r="C28" s="167">
        <v>-0.2178222</v>
      </c>
      <c r="D28" s="167">
        <v>-0.1378844</v>
      </c>
      <c r="E28" s="167">
        <v>0.05122475</v>
      </c>
      <c r="F28" s="167">
        <v>-0.14229</v>
      </c>
      <c r="G28" s="167">
        <v>0.05919192</v>
      </c>
    </row>
    <row r="29" spans="1:7" ht="12.75">
      <c r="A29" s="166" t="s">
        <v>105</v>
      </c>
      <c r="B29" s="167">
        <v>0.4541064</v>
      </c>
      <c r="C29" s="167">
        <v>0.00384114</v>
      </c>
      <c r="D29" s="167">
        <v>-0.08137246</v>
      </c>
      <c r="E29" s="167">
        <v>0.02757121</v>
      </c>
      <c r="F29" s="167">
        <v>0.4119316</v>
      </c>
      <c r="G29" s="167">
        <v>0.04499559</v>
      </c>
    </row>
    <row r="30" spans="1:7" ht="12.75">
      <c r="A30" s="166" t="s">
        <v>107</v>
      </c>
      <c r="B30" s="167">
        <v>-0.01049738</v>
      </c>
      <c r="C30" s="167">
        <v>0.09932542</v>
      </c>
      <c r="D30" s="167">
        <v>0.0002400315</v>
      </c>
      <c r="E30" s="167">
        <v>-0.01529313</v>
      </c>
      <c r="F30" s="167">
        <v>0.1900887</v>
      </c>
      <c r="G30" s="167">
        <v>0.04418174</v>
      </c>
    </row>
    <row r="31" spans="1:7" ht="12.75">
      <c r="A31" s="166" t="s">
        <v>109</v>
      </c>
      <c r="B31" s="167">
        <v>-0.08751305</v>
      </c>
      <c r="C31" s="167">
        <v>-0.06125671</v>
      </c>
      <c r="D31" s="167">
        <v>-0.05655248</v>
      </c>
      <c r="E31" s="167">
        <v>-0.07766926</v>
      </c>
      <c r="F31" s="167">
        <v>-0.004745408</v>
      </c>
      <c r="G31" s="167">
        <v>-0.003806153</v>
      </c>
    </row>
    <row r="32" spans="1:7" ht="12.75">
      <c r="A32" s="166" t="s">
        <v>111</v>
      </c>
      <c r="B32" s="167">
        <v>0.006437362</v>
      </c>
      <c r="C32" s="167">
        <v>-0.04777818</v>
      </c>
      <c r="D32" s="167">
        <v>-0.01966667</v>
      </c>
      <c r="E32" s="167">
        <v>-0.02952116</v>
      </c>
      <c r="F32" s="167">
        <v>0.05300923</v>
      </c>
      <c r="G32" s="167">
        <v>0.01530012</v>
      </c>
    </row>
    <row r="33" spans="1:7" ht="12.75">
      <c r="A33" s="166" t="s">
        <v>113</v>
      </c>
      <c r="B33" s="167">
        <v>0.213223</v>
      </c>
      <c r="C33" s="167">
        <v>0.1675916</v>
      </c>
      <c r="D33" s="167">
        <v>0.1539889</v>
      </c>
      <c r="E33" s="167">
        <v>0.1677181</v>
      </c>
      <c r="F33" s="167">
        <v>0.1371398</v>
      </c>
      <c r="G33" s="167">
        <v>-0.00395889</v>
      </c>
    </row>
    <row r="34" spans="1:7" ht="12.75">
      <c r="A34" s="166" t="s">
        <v>115</v>
      </c>
      <c r="B34" s="167">
        <v>-0.007834865</v>
      </c>
      <c r="C34" s="167">
        <v>0.007447853</v>
      </c>
      <c r="D34" s="167">
        <v>0.002363822</v>
      </c>
      <c r="E34" s="167">
        <v>0.00725025</v>
      </c>
      <c r="F34" s="167">
        <v>-0.02358869</v>
      </c>
      <c r="G34" s="167">
        <v>-0.0002082427</v>
      </c>
    </row>
    <row r="35" spans="1:7" ht="12.75">
      <c r="A35" s="166" t="s">
        <v>117</v>
      </c>
      <c r="B35" s="167">
        <v>-0.003301226</v>
      </c>
      <c r="C35" s="167">
        <v>-0.0004201533</v>
      </c>
      <c r="D35" s="167">
        <v>-0.001896655</v>
      </c>
      <c r="E35" s="167">
        <v>-0.003132046</v>
      </c>
      <c r="F35" s="167">
        <v>0.004351039</v>
      </c>
      <c r="G35" s="167">
        <v>0.001654375</v>
      </c>
    </row>
    <row r="36" spans="1:6" ht="12.75">
      <c r="A36" s="166" t="s">
        <v>146</v>
      </c>
      <c r="B36" s="167">
        <v>22.10388</v>
      </c>
      <c r="C36" s="167">
        <v>22.11304</v>
      </c>
      <c r="D36" s="167">
        <v>22.1283</v>
      </c>
      <c r="E36" s="167">
        <v>22.13745</v>
      </c>
      <c r="F36" s="167">
        <v>22.15576</v>
      </c>
    </row>
    <row r="37" spans="1:6" ht="12.75">
      <c r="A37" s="166" t="s">
        <v>147</v>
      </c>
      <c r="B37" s="167">
        <v>-0.05187988</v>
      </c>
      <c r="C37" s="167">
        <v>0.03814697</v>
      </c>
      <c r="D37" s="167">
        <v>0.08850098</v>
      </c>
      <c r="E37" s="167">
        <v>0.130717</v>
      </c>
      <c r="F37" s="167">
        <v>0.1495361</v>
      </c>
    </row>
    <row r="38" spans="1:7" ht="12.75">
      <c r="A38" s="166" t="s">
        <v>148</v>
      </c>
      <c r="B38" s="167">
        <v>0.0001303486</v>
      </c>
      <c r="C38" s="167">
        <v>0.0001843518</v>
      </c>
      <c r="D38" s="167">
        <v>-5.348062E-05</v>
      </c>
      <c r="E38" s="167">
        <v>0.0001358876</v>
      </c>
      <c r="F38" s="167">
        <v>-0.00020743</v>
      </c>
      <c r="G38" s="167">
        <v>2.447144E-05</v>
      </c>
    </row>
    <row r="39" spans="1:7" ht="12.75">
      <c r="A39" s="166" t="s">
        <v>149</v>
      </c>
      <c r="B39" s="167">
        <v>0.002062086</v>
      </c>
      <c r="C39" s="167">
        <v>0.001780058</v>
      </c>
      <c r="D39" s="167">
        <v>0.00171181</v>
      </c>
      <c r="E39" s="167">
        <v>0.001877643</v>
      </c>
      <c r="F39" s="167">
        <v>0.002103533</v>
      </c>
      <c r="G39" s="167">
        <v>0.0009357993</v>
      </c>
    </row>
    <row r="40" spans="2:5" ht="12.75">
      <c r="B40" s="166" t="s">
        <v>150</v>
      </c>
      <c r="C40" s="166">
        <v>0.003763</v>
      </c>
      <c r="D40" s="166" t="s">
        <v>151</v>
      </c>
      <c r="E40" s="166">
        <v>3.115838</v>
      </c>
    </row>
    <row r="42" ht="12.75">
      <c r="A42" s="166" t="s">
        <v>152</v>
      </c>
    </row>
    <row r="50" spans="1:7" ht="12.75">
      <c r="A50" s="166" t="s">
        <v>153</v>
      </c>
      <c r="B50" s="166">
        <f>-0.017/(B7*B7+B22*B22)*(B21*B22+B6*B7)</f>
        <v>0.00013034857606598397</v>
      </c>
      <c r="C50" s="166">
        <f>-0.017/(C7*C7+C22*C22)*(C21*C22+C6*C7)</f>
        <v>0.00018435180389367935</v>
      </c>
      <c r="D50" s="166">
        <f>-0.017/(D7*D7+D22*D22)*(D21*D22+D6*D7)</f>
        <v>-5.348061661462425E-05</v>
      </c>
      <c r="E50" s="166">
        <f>-0.017/(E7*E7+E22*E22)*(E21*E22+E6*E7)</f>
        <v>0.00013588759405816557</v>
      </c>
      <c r="F50" s="166">
        <f>-0.017/(F7*F7+F22*F22)*(F21*F22+F6*F7)</f>
        <v>-0.0002074299870111774</v>
      </c>
      <c r="G50" s="166">
        <f>(B50*B$4+C50*C$4+D50*D$4+E50*E$4+F50*F$4)/SUM(B$4:F$4)</f>
        <v>5.526457912185602E-05</v>
      </c>
    </row>
    <row r="51" spans="1:7" ht="12.75">
      <c r="A51" s="166" t="s">
        <v>154</v>
      </c>
      <c r="B51" s="166">
        <f>-0.017/(B7*B7+B22*B22)*(B21*B7-B6*B22)</f>
        <v>0.0020620866547833446</v>
      </c>
      <c r="C51" s="166">
        <f>-0.017/(C7*C7+C22*C22)*(C21*C7-C6*C22)</f>
        <v>0.0017800581518291156</v>
      </c>
      <c r="D51" s="166">
        <f>-0.017/(D7*D7+D22*D22)*(D21*D7-D6*D22)</f>
        <v>0.0017118110309800791</v>
      </c>
      <c r="E51" s="166">
        <f>-0.017/(E7*E7+E22*E22)*(E21*E7-E6*E22)</f>
        <v>0.0018776429145526403</v>
      </c>
      <c r="F51" s="166">
        <f>-0.017/(F7*F7+F22*F22)*(F21*F7-F6*F22)</f>
        <v>0.002103532012013983</v>
      </c>
      <c r="G51" s="166">
        <f>(B51*B$4+C51*C$4+D51*D$4+E51*E$4+F51*F$4)/SUM(B$4:F$4)</f>
        <v>0.0018710500339793764</v>
      </c>
    </row>
    <row r="58" ht="12.75">
      <c r="A58" s="166" t="s">
        <v>156</v>
      </c>
    </row>
    <row r="60" spans="2:6" ht="12.75">
      <c r="B60" s="166" t="s">
        <v>85</v>
      </c>
      <c r="C60" s="166" t="s">
        <v>86</v>
      </c>
      <c r="D60" s="166" t="s">
        <v>87</v>
      </c>
      <c r="E60" s="166" t="s">
        <v>88</v>
      </c>
      <c r="F60" s="166" t="s">
        <v>89</v>
      </c>
    </row>
    <row r="61" spans="1:6" ht="12.75">
      <c r="A61" s="166" t="s">
        <v>158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161</v>
      </c>
      <c r="B62" s="166">
        <f>B7+(2/0.017)*(B8*B50-B23*B51)</f>
        <v>9999.683461638922</v>
      </c>
      <c r="C62" s="166">
        <f>C7+(2/0.017)*(C8*C50-C23*C51)</f>
        <v>9999.994763573655</v>
      </c>
      <c r="D62" s="166">
        <f>D7+(2/0.017)*(D8*D50-D23*D51)</f>
        <v>10000.433391258111</v>
      </c>
      <c r="E62" s="166">
        <f>E7+(2/0.017)*(E8*E50-E23*E51)</f>
        <v>10000.265353567742</v>
      </c>
      <c r="F62" s="166">
        <f>F7+(2/0.017)*(F8*F50-F23*F51)</f>
        <v>9998.834988172848</v>
      </c>
    </row>
    <row r="63" spans="1:6" ht="12.75">
      <c r="A63" s="166" t="s">
        <v>162</v>
      </c>
      <c r="B63" s="166">
        <f>B8+(3/0.017)*(B9*B50-B24*B51)</f>
        <v>2.6329039623001806</v>
      </c>
      <c r="C63" s="166">
        <f>C8+(3/0.017)*(C9*C50-C24*C51)</f>
        <v>0.2823526856433447</v>
      </c>
      <c r="D63" s="166">
        <f>D8+(3/0.017)*(D9*D50-D24*D51)</f>
        <v>1.376992736148919</v>
      </c>
      <c r="E63" s="166">
        <f>E8+(3/0.017)*(E9*E50-E24*E51)</f>
        <v>0.46833439622048545</v>
      </c>
      <c r="F63" s="166">
        <f>F8+(3/0.017)*(F9*F50-F24*F51)</f>
        <v>-4.349298322746632</v>
      </c>
    </row>
    <row r="64" spans="1:6" ht="12.75">
      <c r="A64" s="166" t="s">
        <v>163</v>
      </c>
      <c r="B64" s="166">
        <f>B9+(4/0.017)*(B10*B50-B25*B51)</f>
        <v>0.1697703111641221</v>
      </c>
      <c r="C64" s="166">
        <f>C9+(4/0.017)*(C10*C50-C25*C51)</f>
        <v>0.41465399661012237</v>
      </c>
      <c r="D64" s="166">
        <f>D9+(4/0.017)*(D10*D50-D25*D51)</f>
        <v>0.335004817377503</v>
      </c>
      <c r="E64" s="166">
        <f>E9+(4/0.017)*(E10*E50-E25*E51)</f>
        <v>0.12779639235272244</v>
      </c>
      <c r="F64" s="166">
        <f>F9+(4/0.017)*(F10*F50-F25*F51)</f>
        <v>1.203033561314288</v>
      </c>
    </row>
    <row r="65" spans="1:6" ht="12.75">
      <c r="A65" s="166" t="s">
        <v>164</v>
      </c>
      <c r="B65" s="166">
        <f>B10+(5/0.017)*(B11*B50-B26*B51)</f>
        <v>-0.270230635117751</v>
      </c>
      <c r="C65" s="166">
        <f>C10+(5/0.017)*(C11*C50-C26*C51)</f>
        <v>0.28537603646038423</v>
      </c>
      <c r="D65" s="166">
        <f>D10+(5/0.017)*(D11*D50-D26*D51)</f>
        <v>0.18702286793208175</v>
      </c>
      <c r="E65" s="166">
        <f>E10+(5/0.017)*(E11*E50-E26*E51)</f>
        <v>0.46401263926860237</v>
      </c>
      <c r="F65" s="166">
        <f>F10+(5/0.017)*(F11*F50-F26*F51)</f>
        <v>0.4405829333730513</v>
      </c>
    </row>
    <row r="66" spans="1:6" ht="12.75">
      <c r="A66" s="166" t="s">
        <v>165</v>
      </c>
      <c r="B66" s="166">
        <f>B11+(6/0.017)*(B12*B50-B27*B51)</f>
        <v>3.29203534229762</v>
      </c>
      <c r="C66" s="166">
        <f>C11+(6/0.017)*(C12*C50-C27*C51)</f>
        <v>4.7250609147770595</v>
      </c>
      <c r="D66" s="166">
        <f>D11+(6/0.017)*(D12*D50-D27*D51)</f>
        <v>4.7193062438344935</v>
      </c>
      <c r="E66" s="166">
        <f>E11+(6/0.017)*(E12*E50-E27*E51)</f>
        <v>4.240451655508597</v>
      </c>
      <c r="F66" s="166">
        <f>F11+(6/0.017)*(F12*F50-F27*F51)</f>
        <v>14.155301083855806</v>
      </c>
    </row>
    <row r="67" spans="1:6" ht="12.75">
      <c r="A67" s="166" t="s">
        <v>166</v>
      </c>
      <c r="B67" s="166">
        <f>B12+(7/0.017)*(B13*B50-B28*B51)</f>
        <v>0.300919693799474</v>
      </c>
      <c r="C67" s="166">
        <f>C12+(7/0.017)*(C13*C50-C28*C51)</f>
        <v>0.1821678271986724</v>
      </c>
      <c r="D67" s="166">
        <f>D12+(7/0.017)*(D13*D50-D28*D51)</f>
        <v>0.1735681586454707</v>
      </c>
      <c r="E67" s="166">
        <f>E12+(7/0.017)*(E13*E50-E28*E51)</f>
        <v>0.07523370347522866</v>
      </c>
      <c r="F67" s="166">
        <f>F12+(7/0.017)*(F13*F50-F28*F51)</f>
        <v>-0.16834332899108645</v>
      </c>
    </row>
    <row r="68" spans="1:6" ht="12.75">
      <c r="A68" s="166" t="s">
        <v>167</v>
      </c>
      <c r="B68" s="166">
        <f>B13+(8/0.017)*(B14*B50-B29*B51)</f>
        <v>-0.17884869292136335</v>
      </c>
      <c r="C68" s="166">
        <f>C13+(8/0.017)*(C14*C50-C29*C51)</f>
        <v>0.06835447153661059</v>
      </c>
      <c r="D68" s="166">
        <f>D13+(8/0.017)*(D14*D50-D29*D51)</f>
        <v>0.10709462983599174</v>
      </c>
      <c r="E68" s="166">
        <f>E13+(8/0.017)*(E14*E50-E29*E51)</f>
        <v>-0.19130025808891332</v>
      </c>
      <c r="F68" s="166">
        <f>F13+(8/0.017)*(F14*F50-F29*F51)</f>
        <v>-0.1938537502876434</v>
      </c>
    </row>
    <row r="69" spans="1:6" ht="12.75">
      <c r="A69" s="166" t="s">
        <v>168</v>
      </c>
      <c r="B69" s="166">
        <f>B14+(9/0.017)*(B15*B50-B30*B51)</f>
        <v>-0.037980063656949246</v>
      </c>
      <c r="C69" s="166">
        <f>C14+(9/0.017)*(C15*C50-C30*C51)</f>
        <v>-0.00908153838338771</v>
      </c>
      <c r="D69" s="166">
        <f>D14+(9/0.017)*(D15*D50-D30*D51)</f>
        <v>-0.022938390282574325</v>
      </c>
      <c r="E69" s="166">
        <f>E14+(9/0.017)*(E15*E50-E30*E51)</f>
        <v>0.00033291719505551196</v>
      </c>
      <c r="F69" s="166">
        <f>F14+(9/0.017)*(F15*F50-F30*F51)</f>
        <v>0.07670591589023687</v>
      </c>
    </row>
    <row r="70" spans="1:6" ht="12.75">
      <c r="A70" s="166" t="s">
        <v>169</v>
      </c>
      <c r="B70" s="166">
        <f>B15+(10/0.017)*(B16*B50-B31*B51)</f>
        <v>-0.267074144762758</v>
      </c>
      <c r="C70" s="166">
        <f>C15+(10/0.017)*(C16*C50-C31*C51)</f>
        <v>-0.023698551554978776</v>
      </c>
      <c r="D70" s="166">
        <f>D15+(10/0.017)*(D16*D50-D31*D51)</f>
        <v>0.011406075869245816</v>
      </c>
      <c r="E70" s="166">
        <f>E15+(10/0.017)*(E16*E50-E31*E51)</f>
        <v>0.008961531256068953</v>
      </c>
      <c r="F70" s="166">
        <f>F15+(10/0.017)*(F16*F50-F31*F51)</f>
        <v>-0.305259036243737</v>
      </c>
    </row>
    <row r="71" spans="1:6" ht="12.75">
      <c r="A71" s="166" t="s">
        <v>170</v>
      </c>
      <c r="B71" s="166">
        <f>B16+(11/0.017)*(B17*B50-B32*B51)</f>
        <v>0.06157632764798841</v>
      </c>
      <c r="C71" s="166">
        <f>C16+(11/0.017)*(C17*C50-C32*C51)</f>
        <v>0.049636259847611254</v>
      </c>
      <c r="D71" s="166">
        <f>D16+(11/0.017)*(D17*D50-D32*D51)</f>
        <v>0.00516374554611501</v>
      </c>
      <c r="E71" s="166">
        <f>E16+(11/0.017)*(E17*E50-E32*E51)</f>
        <v>0.05202605531880593</v>
      </c>
      <c r="F71" s="166">
        <f>F16+(11/0.017)*(F17*F50-F32*F51)</f>
        <v>-0.06085325531890238</v>
      </c>
    </row>
    <row r="72" spans="1:6" ht="12.75">
      <c r="A72" s="166" t="s">
        <v>171</v>
      </c>
      <c r="B72" s="166">
        <f>B17+(12/0.017)*(B18*B50-B33*B51)</f>
        <v>-0.1075011113929045</v>
      </c>
      <c r="C72" s="166">
        <f>C17+(12/0.017)*(C18*C50-C33*C51)</f>
        <v>-0.08274186351805521</v>
      </c>
      <c r="D72" s="166">
        <f>D17+(12/0.017)*(D18*D50-D33*D51)</f>
        <v>-0.06493079628956464</v>
      </c>
      <c r="E72" s="166">
        <f>E17+(12/0.017)*(E18*E50-E33*E51)</f>
        <v>-0.05487031160308953</v>
      </c>
      <c r="F72" s="166">
        <f>F17+(12/0.017)*(F18*F50-F33*F51)</f>
        <v>-0.0750771317407316</v>
      </c>
    </row>
    <row r="73" spans="1:6" ht="12.75">
      <c r="A73" s="166" t="s">
        <v>172</v>
      </c>
      <c r="B73" s="166">
        <f>B18+(13/0.017)*(B19*B50-B34*B51)</f>
        <v>-0.009982070818348746</v>
      </c>
      <c r="C73" s="166">
        <f>C18+(13/0.017)*(C19*C50-C34*C51)</f>
        <v>-0.021335284249105056</v>
      </c>
      <c r="D73" s="166">
        <f>D18+(13/0.017)*(D19*D50-D34*D51)</f>
        <v>-0.014581054794947566</v>
      </c>
      <c r="E73" s="166">
        <f>E18+(13/0.017)*(E19*E50-E34*E51)</f>
        <v>-0.008782354216119868</v>
      </c>
      <c r="F73" s="166">
        <f>F18+(13/0.017)*(F19*F50-F34*F51)</f>
        <v>0.0017413966360983815</v>
      </c>
    </row>
    <row r="74" spans="1:6" ht="12.75">
      <c r="A74" s="166" t="s">
        <v>173</v>
      </c>
      <c r="B74" s="166">
        <f>B19+(14/0.017)*(B20*B50-B35*B51)</f>
        <v>-0.19410828543312592</v>
      </c>
      <c r="C74" s="166">
        <f>C19+(14/0.017)*(C20*C50-C35*C51)</f>
        <v>-0.19492137150330502</v>
      </c>
      <c r="D74" s="166">
        <f>D19+(14/0.017)*(D20*D50-D35*D51)</f>
        <v>-0.19150622702910586</v>
      </c>
      <c r="E74" s="166">
        <f>E19+(14/0.017)*(E20*E50-E35*E51)</f>
        <v>-0.17407730141062994</v>
      </c>
      <c r="F74" s="166">
        <f>F19+(14/0.017)*(F20*F50-F35*F51)</f>
        <v>-0.14124987939755945</v>
      </c>
    </row>
    <row r="75" spans="1:6" ht="12.75">
      <c r="A75" s="166" t="s">
        <v>174</v>
      </c>
      <c r="B75" s="167">
        <f>B20</f>
        <v>2.802953E-05</v>
      </c>
      <c r="C75" s="167">
        <f>C20</f>
        <v>-0.002636604</v>
      </c>
      <c r="D75" s="167">
        <f>D20</f>
        <v>0.0001633019</v>
      </c>
      <c r="E75" s="167">
        <f>E20</f>
        <v>-0.002077305</v>
      </c>
      <c r="F75" s="167">
        <f>F20</f>
        <v>-0.004212591</v>
      </c>
    </row>
    <row r="78" ht="12.75">
      <c r="A78" s="166" t="s">
        <v>156</v>
      </c>
    </row>
    <row r="80" spans="2:6" ht="12.75">
      <c r="B80" s="166" t="s">
        <v>85</v>
      </c>
      <c r="C80" s="166" t="s">
        <v>86</v>
      </c>
      <c r="D80" s="166" t="s">
        <v>87</v>
      </c>
      <c r="E80" s="166" t="s">
        <v>88</v>
      </c>
      <c r="F80" s="166" t="s">
        <v>89</v>
      </c>
    </row>
    <row r="81" spans="1:6" ht="12.75">
      <c r="A81" s="166" t="s">
        <v>175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176</v>
      </c>
      <c r="B82" s="166">
        <f>B22+(2/0.017)*(B8*B51+B23*B50)</f>
        <v>65.55470791742775</v>
      </c>
      <c r="C82" s="166">
        <f>C22+(2/0.017)*(C8*C51+C23*C50)</f>
        <v>38.12345889130343</v>
      </c>
      <c r="D82" s="166">
        <f>D22+(2/0.017)*(D8*D51+D23*D50)</f>
        <v>-2.587914235069074</v>
      </c>
      <c r="E82" s="166">
        <f>E22+(2/0.017)*(E8*E51+E23*E50)</f>
        <v>-30.28407953160419</v>
      </c>
      <c r="F82" s="166">
        <f>F22+(2/0.017)*(F8*F51+F23*F50)</f>
        <v>-81.61967618846401</v>
      </c>
    </row>
    <row r="83" spans="1:6" ht="12.75">
      <c r="A83" s="166" t="s">
        <v>177</v>
      </c>
      <c r="B83" s="166">
        <f>B23+(3/0.017)*(B9*B51+B24*B50)</f>
        <v>1.241132182821343</v>
      </c>
      <c r="C83" s="166">
        <f>C23+(3/0.017)*(C9*C51+C24*C50)</f>
        <v>-0.1339466550449824</v>
      </c>
      <c r="D83" s="166">
        <f>D23+(3/0.017)*(D9*D51+D24*D50)</f>
        <v>-2.474697656009427</v>
      </c>
      <c r="E83" s="166">
        <f>E23+(3/0.017)*(E9*E51+E24*E50)</f>
        <v>-1.438084373614601</v>
      </c>
      <c r="F83" s="166">
        <f>F23+(3/0.017)*(F9*F51+F24*F50)</f>
        <v>4.049874811972421</v>
      </c>
    </row>
    <row r="84" spans="1:6" ht="12.75">
      <c r="A84" s="166" t="s">
        <v>178</v>
      </c>
      <c r="B84" s="166">
        <f>B24+(4/0.017)*(B10*B51+B25*B50)</f>
        <v>0.9018473566958393</v>
      </c>
      <c r="C84" s="166">
        <f>C24+(4/0.017)*(C10*C51+C25*C50)</f>
        <v>-0.39491958848703046</v>
      </c>
      <c r="D84" s="166">
        <f>D24+(4/0.017)*(D10*D51+D25*D50)</f>
        <v>1.654215304632732</v>
      </c>
      <c r="E84" s="166">
        <f>E24+(4/0.017)*(E10*E51+E25*E50)</f>
        <v>0.20206269536040183</v>
      </c>
      <c r="F84" s="166">
        <f>F24+(4/0.017)*(F10*F51+F25*F50)</f>
        <v>-0.685675960825999</v>
      </c>
    </row>
    <row r="85" spans="1:6" ht="12.75">
      <c r="A85" s="166" t="s">
        <v>179</v>
      </c>
      <c r="B85" s="166">
        <f>B25+(5/0.017)*(B11*B51+B26*B50)</f>
        <v>0.0043075844268316565</v>
      </c>
      <c r="C85" s="166">
        <f>C25+(5/0.017)*(C11*C51+C26*C50)</f>
        <v>0.21608597466419255</v>
      </c>
      <c r="D85" s="166">
        <f>D25+(5/0.017)*(D11*D51+D26*D50)</f>
        <v>-0.6015950644339689</v>
      </c>
      <c r="E85" s="166">
        <f>E25+(5/0.017)*(E11*E51+E26*E50)</f>
        <v>0.2853548357785263</v>
      </c>
      <c r="F85" s="166">
        <f>F25+(5/0.017)*(F11*F51+F26*F50)</f>
        <v>-0.7748907864118788</v>
      </c>
    </row>
    <row r="86" spans="1:6" ht="12.75">
      <c r="A86" s="166" t="s">
        <v>180</v>
      </c>
      <c r="B86" s="166">
        <f>B26+(6/0.017)*(B12*B51+B27*B50)</f>
        <v>0.7984262131108603</v>
      </c>
      <c r="C86" s="166">
        <f>C26+(6/0.017)*(C12*C51+C27*C50)</f>
        <v>0.14140498743138624</v>
      </c>
      <c r="D86" s="166">
        <f>D26+(6/0.017)*(D12*D51+D27*D50)</f>
        <v>0.24010332141702492</v>
      </c>
      <c r="E86" s="166">
        <f>E26+(6/0.017)*(E12*E51+E27*E50)</f>
        <v>0.3545477784982382</v>
      </c>
      <c r="F86" s="166">
        <f>F26+(6/0.017)*(F12*F51+F27*F50)</f>
        <v>1.4709944657710856</v>
      </c>
    </row>
    <row r="87" spans="1:6" ht="12.75">
      <c r="A87" s="166" t="s">
        <v>181</v>
      </c>
      <c r="B87" s="166">
        <f>B27+(7/0.017)*(B13*B51+B28*B50)</f>
        <v>0.08957666803055186</v>
      </c>
      <c r="C87" s="166">
        <f>C27+(7/0.017)*(C13*C51+C28*C50)</f>
        <v>0.006170781113186887</v>
      </c>
      <c r="D87" s="166">
        <f>D27+(7/0.017)*(D13*D51+D28*D50)</f>
        <v>-0.1678438019212996</v>
      </c>
      <c r="E87" s="166">
        <f>E27+(7/0.017)*(E13*E51+E28*E50)</f>
        <v>0.09136689234051004</v>
      </c>
      <c r="F87" s="166">
        <f>F27+(7/0.017)*(F13*F51+F28*F50)</f>
        <v>0.5568361176449564</v>
      </c>
    </row>
    <row r="88" spans="1:6" ht="12.75">
      <c r="A88" s="166" t="s">
        <v>182</v>
      </c>
      <c r="B88" s="166">
        <f>B28+(8/0.017)*(B14*B51+B29*B50)</f>
        <v>0.23484802272977118</v>
      </c>
      <c r="C88" s="166">
        <f>C28+(8/0.017)*(C14*C51+C29*C50)</f>
        <v>-0.13968717330249347</v>
      </c>
      <c r="D88" s="166">
        <f>D28+(8/0.017)*(D14*D51+D29*D50)</f>
        <v>-0.1551870405733899</v>
      </c>
      <c r="E88" s="166">
        <f>E28+(8/0.017)*(E14*E51+E29*E50)</f>
        <v>0.044741095533916114</v>
      </c>
      <c r="F88" s="166">
        <f>F28+(8/0.017)*(F14*F51+F29*F50)</f>
        <v>0.06952318977901817</v>
      </c>
    </row>
    <row r="89" spans="1:6" ht="12.75">
      <c r="A89" s="166" t="s">
        <v>183</v>
      </c>
      <c r="B89" s="166">
        <f>B29+(9/0.017)*(B15*B51+B30*B50)</f>
        <v>0.041493456910628224</v>
      </c>
      <c r="C89" s="166">
        <f>C29+(9/0.017)*(C15*C51+C30*C50)</f>
        <v>-0.06716006515800949</v>
      </c>
      <c r="D89" s="166">
        <f>D29+(9/0.017)*(D15*D51+D30*D50)</f>
        <v>-0.1230044304690058</v>
      </c>
      <c r="E89" s="166">
        <f>E29+(9/0.017)*(E15*E51+E30*E50)</f>
        <v>-0.05002326960492372</v>
      </c>
      <c r="F89" s="166">
        <f>F29+(9/0.017)*(F15*F51+F30*F50)</f>
        <v>0.04829693065715024</v>
      </c>
    </row>
    <row r="90" spans="1:6" ht="12.75">
      <c r="A90" s="166" t="s">
        <v>184</v>
      </c>
      <c r="B90" s="166">
        <f>B30+(10/0.017)*(B16*B51+B31*B50)</f>
        <v>0.04712544456340672</v>
      </c>
      <c r="C90" s="166">
        <f>C30+(10/0.017)*(C16*C51+C31*C50)</f>
        <v>0.07133133131585913</v>
      </c>
      <c r="D90" s="166">
        <f>D30+(10/0.017)*(D16*D51+D31*D50)</f>
        <v>-0.010520614303373844</v>
      </c>
      <c r="E90" s="166">
        <f>E30+(10/0.017)*(E16*E51+E31*E50)</f>
        <v>-0.019724626743127936</v>
      </c>
      <c r="F90" s="166">
        <f>F30+(10/0.017)*(F16*F51+F31*F50)</f>
        <v>0.22459895695522966</v>
      </c>
    </row>
    <row r="91" spans="1:6" ht="12.75">
      <c r="A91" s="166" t="s">
        <v>185</v>
      </c>
      <c r="B91" s="166">
        <f>B31+(11/0.017)*(B17*B51+B32*B50)</f>
        <v>0.18400819553505482</v>
      </c>
      <c r="C91" s="166">
        <f>C31+(11/0.017)*(C17*C51+C32*C50)</f>
        <v>0.07784421250173224</v>
      </c>
      <c r="D91" s="166">
        <f>D31+(11/0.017)*(D17*D51+D32*D50)</f>
        <v>0.07749521411508135</v>
      </c>
      <c r="E91" s="166">
        <f>E31+(11/0.017)*(E17*E51+E32*E50)</f>
        <v>0.12079051012990145</v>
      </c>
      <c r="F91" s="166">
        <f>F31+(11/0.017)*(F17*F51+F32*F50)</f>
        <v>0.15165137614494695</v>
      </c>
    </row>
    <row r="92" spans="1:6" ht="12.75">
      <c r="A92" s="166" t="s">
        <v>186</v>
      </c>
      <c r="B92" s="166">
        <f>B32+(12/0.017)*(B18*B51+B33*B50)</f>
        <v>0.022520114726992037</v>
      </c>
      <c r="C92" s="166">
        <f>C32+(12/0.017)*(C18*C51+C33*C50)</f>
        <v>-0.0054727629401706696</v>
      </c>
      <c r="D92" s="166">
        <f>D32+(12/0.017)*(D18*D51+D33*D50)</f>
        <v>-0.0489552540867714</v>
      </c>
      <c r="E92" s="166">
        <f>E32+(12/0.017)*(E18*E51+E33*E50)</f>
        <v>0.013334226858743633</v>
      </c>
      <c r="F92" s="166">
        <f>F32+(12/0.017)*(F18*F51+F33*F50)</f>
        <v>-0.0524896678488403</v>
      </c>
    </row>
    <row r="93" spans="1:6" ht="12.75">
      <c r="A93" s="166" t="s">
        <v>187</v>
      </c>
      <c r="B93" s="166">
        <f>B33+(13/0.017)*(B19*B51+B34*B50)</f>
        <v>-0.10249029611398836</v>
      </c>
      <c r="C93" s="166">
        <f>C33+(13/0.017)*(C19*C51+C34*C50)</f>
        <v>-0.09698301009948884</v>
      </c>
      <c r="D93" s="166">
        <f>D33+(13/0.017)*(D19*D51+D34*D50)</f>
        <v>-0.10028617499925921</v>
      </c>
      <c r="E93" s="166">
        <f>E33+(13/0.017)*(E19*E51+E34*E50)</f>
        <v>-0.0880965502465951</v>
      </c>
      <c r="F93" s="166">
        <f>F33+(13/0.017)*(F19*F51+F34*F50)</f>
        <v>-0.07536372433620031</v>
      </c>
    </row>
    <row r="94" spans="1:6" ht="12.75">
      <c r="A94" s="166" t="s">
        <v>188</v>
      </c>
      <c r="B94" s="166">
        <f>B34+(14/0.017)*(B20*B51+B35*B50)</f>
        <v>-0.00814163859062754</v>
      </c>
      <c r="C94" s="166">
        <f>C34+(14/0.017)*(C20*C51+C35*C50)</f>
        <v>0.0035189881488488298</v>
      </c>
      <c r="D94" s="166">
        <f>D34+(14/0.017)*(D20*D51+D35*D50)</f>
        <v>0.0026775671657572366</v>
      </c>
      <c r="E94" s="166">
        <f>E34+(14/0.017)*(E20*E51+E35*E50)</f>
        <v>0.0036876261799717743</v>
      </c>
      <c r="F94" s="166">
        <f>F34+(14/0.017)*(F20*F51+F35*F50)</f>
        <v>-0.031629512576110574</v>
      </c>
    </row>
    <row r="95" spans="1:6" ht="12.75">
      <c r="A95" s="166" t="s">
        <v>189</v>
      </c>
      <c r="B95" s="167">
        <f>B35</f>
        <v>-0.003301226</v>
      </c>
      <c r="C95" s="167">
        <f>C35</f>
        <v>-0.0004201533</v>
      </c>
      <c r="D95" s="167">
        <f>D35</f>
        <v>-0.001896655</v>
      </c>
      <c r="E95" s="167">
        <f>E35</f>
        <v>-0.003132046</v>
      </c>
      <c r="F95" s="167">
        <f>F35</f>
        <v>0.004351039</v>
      </c>
    </row>
    <row r="98" ht="12.75">
      <c r="A98" s="166" t="s">
        <v>157</v>
      </c>
    </row>
    <row r="100" spans="2:11" ht="12.75">
      <c r="B100" s="166" t="s">
        <v>85</v>
      </c>
      <c r="C100" s="166" t="s">
        <v>86</v>
      </c>
      <c r="D100" s="166" t="s">
        <v>87</v>
      </c>
      <c r="E100" s="166" t="s">
        <v>88</v>
      </c>
      <c r="F100" s="166" t="s">
        <v>89</v>
      </c>
      <c r="G100" s="166" t="s">
        <v>159</v>
      </c>
      <c r="H100" s="166" t="s">
        <v>160</v>
      </c>
      <c r="I100" s="166" t="s">
        <v>155</v>
      </c>
      <c r="K100" s="166" t="s">
        <v>190</v>
      </c>
    </row>
    <row r="101" spans="1:9" ht="12.75">
      <c r="A101" s="166" t="s">
        <v>158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161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</v>
      </c>
    </row>
    <row r="103" spans="1:11" ht="12.75">
      <c r="A103" s="166" t="s">
        <v>162</v>
      </c>
      <c r="B103" s="166">
        <f>B63*10000/B62</f>
        <v>2.6329873064488525</v>
      </c>
      <c r="C103" s="166">
        <f>C63*10000/C62</f>
        <v>0.28235283349532625</v>
      </c>
      <c r="D103" s="166">
        <f>D63*10000/D62</f>
        <v>1.3769330610737516</v>
      </c>
      <c r="E103" s="166">
        <f>E63*10000/E62</f>
        <v>0.4683219691299494</v>
      </c>
      <c r="F103" s="166">
        <f>F63*10000/F62</f>
        <v>-4.349805080183054</v>
      </c>
      <c r="G103" s="166">
        <f>AVERAGE(C103:E103)</f>
        <v>0.709202621233009</v>
      </c>
      <c r="H103" s="166">
        <f>STDEV(C103:E103)</f>
        <v>0.585699654319179</v>
      </c>
      <c r="I103" s="166">
        <f>(B103*B4+C103*C4+D103*D4+E103*E4+F103*F4)/SUM(B4:F4)</f>
        <v>0.3100701231431533</v>
      </c>
      <c r="K103" s="166">
        <f>(LN(H103)+LN(H123))/2-LN(K114*K115^3)</f>
        <v>-4.0662987358081555</v>
      </c>
    </row>
    <row r="104" spans="1:11" ht="12.75">
      <c r="A104" s="166" t="s">
        <v>163</v>
      </c>
      <c r="B104" s="166">
        <f>B64*10000/B62</f>
        <v>0.16977568521583702</v>
      </c>
      <c r="C104" s="166">
        <f>C64*10000/C62</f>
        <v>0.41465421374074724</v>
      </c>
      <c r="D104" s="166">
        <f>D64*10000/D62</f>
        <v>0.3349902991907808</v>
      </c>
      <c r="E104" s="166">
        <f>E64*10000/E62</f>
        <v>0.12779300131983917</v>
      </c>
      <c r="F104" s="166">
        <f>F64*10000/F62</f>
        <v>1.2031737324771334</v>
      </c>
      <c r="G104" s="166">
        <f>AVERAGE(C104:E104)</f>
        <v>0.29247917141712243</v>
      </c>
      <c r="H104" s="166">
        <f>STDEV(C104:E104)</f>
        <v>0.14808016675550967</v>
      </c>
      <c r="I104" s="166">
        <f>(B104*B4+C104*C4+D104*D4+E104*E4+F104*F4)/SUM(B4:F4)</f>
        <v>0.3965951181395404</v>
      </c>
      <c r="K104" s="166">
        <f>(LN(H104)+LN(H124))/2-LN(K114*K115^4)</f>
        <v>-4.216013429308376</v>
      </c>
    </row>
    <row r="105" spans="1:11" ht="12.75">
      <c r="A105" s="166" t="s">
        <v>164</v>
      </c>
      <c r="B105" s="166">
        <f>B65*10000/B62</f>
        <v>-0.2702391892247566</v>
      </c>
      <c r="C105" s="166">
        <f>C65*10000/C62</f>
        <v>0.28537618589552205</v>
      </c>
      <c r="D105" s="166">
        <f>D65*10000/D62</f>
        <v>0.18701476287574492</v>
      </c>
      <c r="E105" s="166">
        <f>E65*10000/E62</f>
        <v>0.46400032685438597</v>
      </c>
      <c r="F105" s="166">
        <f>F65*10000/F62</f>
        <v>0.44063426778639325</v>
      </c>
      <c r="G105" s="166">
        <f>AVERAGE(C105:E105)</f>
        <v>0.312130425208551</v>
      </c>
      <c r="H105" s="166">
        <f>STDEV(C105:E105)</f>
        <v>0.1404175653330294</v>
      </c>
      <c r="I105" s="166">
        <f>(B105*B4+C105*C4+D105*D4+E105*E4+F105*F4)/SUM(B4:F4)</f>
        <v>0.2453110731229866</v>
      </c>
      <c r="K105" s="166">
        <f>(LN(H105)+LN(H125))/2-LN(K114*K115^5)</f>
        <v>-4.03082678012106</v>
      </c>
    </row>
    <row r="106" spans="1:11" ht="12.75">
      <c r="A106" s="166" t="s">
        <v>165</v>
      </c>
      <c r="B106" s="166">
        <f>B66*10000/B62</f>
        <v>3.292139551143416</v>
      </c>
      <c r="C106" s="166">
        <f>C66*10000/C62</f>
        <v>4.725063389021701</v>
      </c>
      <c r="D106" s="166">
        <f>D66*10000/D62</f>
        <v>4.719101722091244</v>
      </c>
      <c r="E106" s="166">
        <f>E66*10000/E62</f>
        <v>4.240339136596764</v>
      </c>
      <c r="F106" s="166">
        <f>F66*10000/F62</f>
        <v>14.156950385319336</v>
      </c>
      <c r="G106" s="166">
        <f>AVERAGE(C106:E106)</f>
        <v>4.561501415903236</v>
      </c>
      <c r="H106" s="166">
        <f>STDEV(C106:E106)</f>
        <v>0.2781506652969724</v>
      </c>
      <c r="I106" s="166">
        <f>(B106*B4+C106*C4+D106*D4+E106*E4+F106*F4)/SUM(B4:F4)</f>
        <v>5.661735347100428</v>
      </c>
      <c r="K106" s="166">
        <f>(LN(H106)+LN(H126))/2-LN(K114*K115^6)</f>
        <v>-3.8634453260776995</v>
      </c>
    </row>
    <row r="107" spans="1:11" ht="12.75">
      <c r="A107" s="166" t="s">
        <v>166</v>
      </c>
      <c r="B107" s="166">
        <f>B67*10000/B62</f>
        <v>0.30092921936366374</v>
      </c>
      <c r="C107" s="166">
        <f>C67*10000/C62</f>
        <v>0.1821679225895633</v>
      </c>
      <c r="D107" s="166">
        <f>D67*10000/D62</f>
        <v>0.1735606366792018</v>
      </c>
      <c r="E107" s="166">
        <f>E67*10000/E62</f>
        <v>0.07523170717503805</v>
      </c>
      <c r="F107" s="166">
        <f>F67*10000/F62</f>
        <v>-0.16836294347312647</v>
      </c>
      <c r="G107" s="166">
        <f>AVERAGE(C107:E107)</f>
        <v>0.1436534221479344</v>
      </c>
      <c r="H107" s="166">
        <f>STDEV(C107:E107)</f>
        <v>0.059411022988666615</v>
      </c>
      <c r="I107" s="166">
        <f>(B107*B4+C107*C4+D107*D4+E107*E4+F107*F4)/SUM(B4:F4)</f>
        <v>0.12461521545930286</v>
      </c>
      <c r="K107" s="166">
        <f>(LN(H107)+LN(H127))/2-LN(K114*K115^7)</f>
        <v>-3.936988988592516</v>
      </c>
    </row>
    <row r="108" spans="1:9" ht="12.75">
      <c r="A108" s="166" t="s">
        <v>167</v>
      </c>
      <c r="B108" s="166">
        <f>B68*10000/B62</f>
        <v>-0.17885435434778302</v>
      </c>
      <c r="C108" s="166">
        <f>C68*10000/C62</f>
        <v>0.06835450732994489</v>
      </c>
      <c r="D108" s="166">
        <f>D68*10000/D62</f>
        <v>0.10708998864950055</v>
      </c>
      <c r="E108" s="166">
        <f>E68*10000/E62</f>
        <v>-0.19129518200300968</v>
      </c>
      <c r="F108" s="166">
        <f>F68*10000/F62</f>
        <v>-0.19387633711021723</v>
      </c>
      <c r="G108" s="166">
        <f>AVERAGE(C108:E108)</f>
        <v>-0.005283562007854746</v>
      </c>
      <c r="H108" s="166">
        <f>STDEV(C108:E108)</f>
        <v>0.16225089046960836</v>
      </c>
      <c r="I108" s="166">
        <f>(B108*B4+C108*C4+D108*D4+E108*E4+F108*F4)/SUM(B4:F4)</f>
        <v>-0.055522767621941436</v>
      </c>
    </row>
    <row r="109" spans="1:9" ht="12.75">
      <c r="A109" s="166" t="s">
        <v>168</v>
      </c>
      <c r="B109" s="166">
        <f>B69*10000/B62</f>
        <v>-0.03798126590971552</v>
      </c>
      <c r="C109" s="166">
        <f>C69*10000/C62</f>
        <v>-0.009081543138870884</v>
      </c>
      <c r="D109" s="166">
        <f>D69*10000/D62</f>
        <v>-0.02293739619587481</v>
      </c>
      <c r="E109" s="166">
        <f>E69*10000/E62</f>
        <v>0.0003329083612133741</v>
      </c>
      <c r="F109" s="166">
        <f>F69*10000/F62</f>
        <v>0.07671485326137364</v>
      </c>
      <c r="G109" s="166">
        <f>AVERAGE(C109:E109)</f>
        <v>-0.010562010324510776</v>
      </c>
      <c r="H109" s="166">
        <f>STDEV(C109:E109)</f>
        <v>0.011705580116368734</v>
      </c>
      <c r="I109" s="166">
        <f>(B109*B4+C109*C4+D109*D4+E109*E4+F109*F4)/SUM(B4:F4)</f>
        <v>-0.002844959735323209</v>
      </c>
    </row>
    <row r="110" spans="1:11" ht="12.75">
      <c r="A110" s="166" t="s">
        <v>169</v>
      </c>
      <c r="B110" s="166">
        <f>B70*10000/B62</f>
        <v>-0.26708259895157244</v>
      </c>
      <c r="C110" s="166">
        <f>C70*10000/C62</f>
        <v>-0.023698563964557245</v>
      </c>
      <c r="D110" s="166">
        <f>D70*10000/D62</f>
        <v>0.011405581561311582</v>
      </c>
      <c r="E110" s="166">
        <f>E70*10000/E62</f>
        <v>0.008961293464949702</v>
      </c>
      <c r="F110" s="166">
        <f>F70*10000/F62</f>
        <v>-0.3052946034261127</v>
      </c>
      <c r="G110" s="166">
        <f>AVERAGE(C110:E110)</f>
        <v>-0.001110562979431987</v>
      </c>
      <c r="H110" s="166">
        <f>STDEV(C110:E110)</f>
        <v>0.019599922894045243</v>
      </c>
      <c r="I110" s="166">
        <f>(B110*B4+C110*C4+D110*D4+E110*E4+F110*F4)/SUM(B4:F4)</f>
        <v>-0.08015427449517332</v>
      </c>
      <c r="K110" s="166">
        <f>EXP(AVERAGE(K103:K107))</f>
        <v>0.017904294978546672</v>
      </c>
    </row>
    <row r="111" spans="1:9" ht="12.75">
      <c r="A111" s="166" t="s">
        <v>170</v>
      </c>
      <c r="B111" s="166">
        <f>B71*10000/B62</f>
        <v>0.0615782768366712</v>
      </c>
      <c r="C111" s="166">
        <f>C71*10000/C62</f>
        <v>0.04963628583928674</v>
      </c>
      <c r="D111" s="166">
        <f>D71*10000/D62</f>
        <v>0.005163521763595668</v>
      </c>
      <c r="E111" s="166">
        <f>E71*10000/E62</f>
        <v>0.05202467482549837</v>
      </c>
      <c r="F111" s="166">
        <f>F71*10000/F62</f>
        <v>-0.0608603456211477</v>
      </c>
      <c r="G111" s="166">
        <f>AVERAGE(C111:E111)</f>
        <v>0.035608160809460256</v>
      </c>
      <c r="H111" s="166">
        <f>STDEV(C111:E111)</f>
        <v>0.026392861448924054</v>
      </c>
      <c r="I111" s="166">
        <f>(B111*B4+C111*C4+D111*D4+E111*E4+F111*F4)/SUM(B4:F4)</f>
        <v>0.026452073588863725</v>
      </c>
    </row>
    <row r="112" spans="1:9" ht="12.75">
      <c r="A112" s="166" t="s">
        <v>171</v>
      </c>
      <c r="B112" s="166">
        <f>B72*10000/B62</f>
        <v>-0.10750451432318173</v>
      </c>
      <c r="C112" s="166">
        <f>C72*10000/C62</f>
        <v>-0.0827419068452453</v>
      </c>
      <c r="D112" s="166">
        <f>D72*10000/D62</f>
        <v>-0.06492798236756815</v>
      </c>
      <c r="E112" s="166">
        <f>E72*10000/E62</f>
        <v>-0.05486885563842937</v>
      </c>
      <c r="F112" s="166">
        <f>F72*10000/F62</f>
        <v>-0.07508587933447927</v>
      </c>
      <c r="G112" s="166">
        <f>AVERAGE(C112:E112)</f>
        <v>-0.06751291495041427</v>
      </c>
      <c r="H112" s="166">
        <f>STDEV(C112:E112)</f>
        <v>0.014115174573410084</v>
      </c>
      <c r="I112" s="166">
        <f>(B112*B4+C112*C4+D112*D4+E112*E4+F112*F4)/SUM(B4:F4)</f>
        <v>-0.07429539004883944</v>
      </c>
    </row>
    <row r="113" spans="1:9" ht="12.75">
      <c r="A113" s="166" t="s">
        <v>172</v>
      </c>
      <c r="B113" s="166">
        <f>B73*10000/B62</f>
        <v>-0.00998238679918445</v>
      </c>
      <c r="C113" s="166">
        <f>C73*10000/C62</f>
        <v>-0.021335295421175356</v>
      </c>
      <c r="D113" s="166">
        <f>D73*10000/D62</f>
        <v>-0.014580422892165462</v>
      </c>
      <c r="E113" s="166">
        <f>E73*10000/E62</f>
        <v>-0.008782121179401138</v>
      </c>
      <c r="F113" s="166">
        <f>F73*10000/F62</f>
        <v>0.0017415995345039673</v>
      </c>
      <c r="G113" s="166">
        <f>AVERAGE(C113:E113)</f>
        <v>-0.014899279830913985</v>
      </c>
      <c r="H113" s="166">
        <f>STDEV(C113:E113)</f>
        <v>0.006282658529366925</v>
      </c>
      <c r="I113" s="166">
        <f>(B113*B4+C113*C4+D113*D4+E113*E4+F113*F4)/SUM(B4:F4)</f>
        <v>-0.011965405870862995</v>
      </c>
    </row>
    <row r="114" spans="1:11" ht="12.75">
      <c r="A114" s="166" t="s">
        <v>173</v>
      </c>
      <c r="B114" s="166">
        <f>B74*10000/B62</f>
        <v>-0.1941144298994761</v>
      </c>
      <c r="C114" s="166">
        <f>C74*10000/C62</f>
        <v>-0.19492147357249895</v>
      </c>
      <c r="D114" s="166">
        <f>D74*10000/D62</f>
        <v>-0.19149792767632573</v>
      </c>
      <c r="E114" s="166">
        <f>E74*10000/E62</f>
        <v>-0.17407268232989967</v>
      </c>
      <c r="F114" s="166">
        <f>F74*10000/F62</f>
        <v>-0.14126633709290862</v>
      </c>
      <c r="G114" s="166">
        <f>AVERAGE(C114:E114)</f>
        <v>-0.18683069452624146</v>
      </c>
      <c r="H114" s="166">
        <f>STDEV(C114:E114)</f>
        <v>0.011180577937982314</v>
      </c>
      <c r="I114" s="166">
        <f>(B114*B4+C114*C4+D114*D4+E114*E4+F114*F4)/SUM(B4:F4)</f>
        <v>-0.18178883975584093</v>
      </c>
      <c r="J114" s="166" t="s">
        <v>191</v>
      </c>
      <c r="K114" s="166">
        <v>285</v>
      </c>
    </row>
    <row r="115" spans="1:11" ht="12.75">
      <c r="A115" s="166" t="s">
        <v>174</v>
      </c>
      <c r="B115" s="166">
        <f>B75*10000/B62</f>
        <v>2.80304172702343E-05</v>
      </c>
      <c r="C115" s="166">
        <f>C75*10000/C62</f>
        <v>-0.0026366053806389875</v>
      </c>
      <c r="D115" s="166">
        <f>D75*10000/D62</f>
        <v>0.00016329482294512407</v>
      </c>
      <c r="E115" s="166">
        <f>E75*10000/E62</f>
        <v>-0.00207724987943334</v>
      </c>
      <c r="F115" s="166">
        <f>F75*10000/F62</f>
        <v>-0.004213081829015956</v>
      </c>
      <c r="G115" s="166">
        <f>AVERAGE(C115:E115)</f>
        <v>-0.0015168534790424013</v>
      </c>
      <c r="H115" s="166">
        <f>STDEV(C115:E115)</f>
        <v>0.001481685992943825</v>
      </c>
      <c r="I115" s="166">
        <f>(B115*B4+C115*C4+D115*D4+E115*E4+F115*F4)/SUM(B4:F4)</f>
        <v>-0.001654663498173256</v>
      </c>
      <c r="J115" s="166" t="s">
        <v>192</v>
      </c>
      <c r="K115" s="166">
        <v>0.5536</v>
      </c>
    </row>
    <row r="118" ht="12.75">
      <c r="A118" s="166" t="s">
        <v>157</v>
      </c>
    </row>
    <row r="120" spans="2:9" ht="12.75">
      <c r="B120" s="166" t="s">
        <v>85</v>
      </c>
      <c r="C120" s="166" t="s">
        <v>86</v>
      </c>
      <c r="D120" s="166" t="s">
        <v>87</v>
      </c>
      <c r="E120" s="166" t="s">
        <v>88</v>
      </c>
      <c r="F120" s="166" t="s">
        <v>89</v>
      </c>
      <c r="G120" s="166" t="s">
        <v>159</v>
      </c>
      <c r="H120" s="166" t="s">
        <v>160</v>
      </c>
      <c r="I120" s="166" t="s">
        <v>155</v>
      </c>
    </row>
    <row r="121" spans="1:9" ht="12.75">
      <c r="A121" s="166" t="s">
        <v>175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176</v>
      </c>
      <c r="B122" s="166">
        <f>B82*10000/B62</f>
        <v>65.55678304109388</v>
      </c>
      <c r="C122" s="166">
        <f>C82*10000/C62</f>
        <v>38.123478854382334</v>
      </c>
      <c r="D122" s="166">
        <f>D82*10000/D62</f>
        <v>-2.5878020819890684</v>
      </c>
      <c r="E122" s="166">
        <f>E82*10000/E62</f>
        <v>-30.283275954072458</v>
      </c>
      <c r="F122" s="166">
        <f>F82*10000/F62</f>
        <v>-81.62918608518702</v>
      </c>
      <c r="G122" s="166">
        <f>AVERAGE(C122:E122)</f>
        <v>1.7508002727736027</v>
      </c>
      <c r="H122" s="166">
        <f>STDEV(C122:E122)</f>
        <v>34.4091358312088</v>
      </c>
      <c r="I122" s="166">
        <f>(B122*B4+C122*C4+D122*D4+E122*E4+F122*F4)/SUM(B4:F4)</f>
        <v>-0.19334130555226417</v>
      </c>
    </row>
    <row r="123" spans="1:9" ht="12.75">
      <c r="A123" s="166" t="s">
        <v>177</v>
      </c>
      <c r="B123" s="166">
        <f>B83*10000/B62</f>
        <v>1.241171470659657</v>
      </c>
      <c r="C123" s="166">
        <f>C83*10000/C62</f>
        <v>-0.13394672518519846</v>
      </c>
      <c r="D123" s="166">
        <f>D83*10000/D62</f>
        <v>-2.474590409424342</v>
      </c>
      <c r="E123" s="166">
        <f>E83*10000/E62</f>
        <v>-1.4380462145452402</v>
      </c>
      <c r="F123" s="166">
        <f>F83*10000/F62</f>
        <v>4.050346682151298</v>
      </c>
      <c r="G123" s="166">
        <f>AVERAGE(C123:E123)</f>
        <v>-1.348861116384927</v>
      </c>
      <c r="H123" s="166">
        <f>STDEV(C123:E123)</f>
        <v>1.1728677250408703</v>
      </c>
      <c r="I123" s="166">
        <f>(B123*B4+C123*C4+D123*D4+E123*E4+F123*F4)/SUM(B4:F4)</f>
        <v>-0.25314182696924775</v>
      </c>
    </row>
    <row r="124" spans="1:9" ht="12.75">
      <c r="A124" s="166" t="s">
        <v>178</v>
      </c>
      <c r="B124" s="166">
        <f>B84*10000/B62</f>
        <v>0.9018759045279108</v>
      </c>
      <c r="C124" s="166">
        <f>C84*10000/C62</f>
        <v>-0.3949197952838725</v>
      </c>
      <c r="D124" s="166">
        <f>D84*10000/D62</f>
        <v>1.6541436154944704</v>
      </c>
      <c r="E124" s="166">
        <f>E84*10000/E62</f>
        <v>0.20205733369696335</v>
      </c>
      <c r="F124" s="166">
        <f>F84*10000/F62</f>
        <v>-0.6857558521938335</v>
      </c>
      <c r="G124" s="166">
        <f>AVERAGE(C124:E124)</f>
        <v>0.48709371796918705</v>
      </c>
      <c r="H124" s="166">
        <f>STDEV(C124:E124)</f>
        <v>1.053849856771296</v>
      </c>
      <c r="I124" s="166">
        <f>(B124*B4+C124*C4+D124*D4+E124*E4+F124*F4)/SUM(B4:F4)</f>
        <v>0.3900235806075027</v>
      </c>
    </row>
    <row r="125" spans="1:9" ht="12.75">
      <c r="A125" s="166" t="s">
        <v>179</v>
      </c>
      <c r="B125" s="166">
        <f>B85*10000/B62</f>
        <v>0.0043077207827193105</v>
      </c>
      <c r="C125" s="166">
        <f>C85*10000/C62</f>
        <v>0.21608608781608085</v>
      </c>
      <c r="D125" s="166">
        <f>D85*10000/D62</f>
        <v>-0.601568992959699</v>
      </c>
      <c r="E125" s="166">
        <f>E85*10000/E62</f>
        <v>0.28534726398707183</v>
      </c>
      <c r="F125" s="166">
        <f>F85*10000/F62</f>
        <v>-0.7749810726234213</v>
      </c>
      <c r="G125" s="166">
        <f>AVERAGE(C125:E125)</f>
        <v>-0.03337854705218211</v>
      </c>
      <c r="H125" s="166">
        <f>STDEV(C125:E125)</f>
        <v>0.4932844663544398</v>
      </c>
      <c r="I125" s="166">
        <f>(B125*B4+C125*C4+D125*D4+E125*E4+F125*F4)/SUM(B4:F4)</f>
        <v>-0.1271283141246432</v>
      </c>
    </row>
    <row r="126" spans="1:9" ht="12.75">
      <c r="A126" s="166" t="s">
        <v>180</v>
      </c>
      <c r="B126" s="166">
        <f>B86*10000/B62</f>
        <v>0.7984514871633749</v>
      </c>
      <c r="C126" s="166">
        <f>C86*10000/C62</f>
        <v>0.14140506147710516</v>
      </c>
      <c r="D126" s="166">
        <f>D86*10000/D62</f>
        <v>0.24009291599993204</v>
      </c>
      <c r="E126" s="166">
        <f>E86*10000/E62</f>
        <v>0.3545383706960817</v>
      </c>
      <c r="F126" s="166">
        <f>F86*10000/F62</f>
        <v>1.4711658583335516</v>
      </c>
      <c r="G126" s="166">
        <f>AVERAGE(C126:E126)</f>
        <v>0.24534544939103964</v>
      </c>
      <c r="H126" s="166">
        <f>STDEV(C126:E126)</f>
        <v>0.10666369440876537</v>
      </c>
      <c r="I126" s="166">
        <f>(B126*B4+C126*C4+D126*D4+E126*E4+F126*F4)/SUM(B4:F4)</f>
        <v>0.4890442953754458</v>
      </c>
    </row>
    <row r="127" spans="1:9" ht="12.75">
      <c r="A127" s="166" t="s">
        <v>181</v>
      </c>
      <c r="B127" s="166">
        <f>B87*10000/B62</f>
        <v>0.08957950356547634</v>
      </c>
      <c r="C127" s="166">
        <f>C87*10000/C62</f>
        <v>0.006170784344472658</v>
      </c>
      <c r="D127" s="166">
        <f>D87*10000/D62</f>
        <v>-0.16783652803289548</v>
      </c>
      <c r="E127" s="166">
        <f>E87*10000/E62</f>
        <v>0.09136446795175646</v>
      </c>
      <c r="F127" s="166">
        <f>F87*10000/F62</f>
        <v>0.5569009972697937</v>
      </c>
      <c r="G127" s="166">
        <f>AVERAGE(C127:E127)</f>
        <v>-0.023433758578888787</v>
      </c>
      <c r="H127" s="166">
        <f>STDEV(C127:E127)</f>
        <v>0.13211211451314656</v>
      </c>
      <c r="I127" s="166">
        <f>(B127*B4+C127*C4+D127*D4+E127*E4+F127*F4)/SUM(B4:F4)</f>
        <v>0.07047348075155771</v>
      </c>
    </row>
    <row r="128" spans="1:9" ht="12.75">
      <c r="A128" s="166" t="s">
        <v>182</v>
      </c>
      <c r="B128" s="166">
        <f>B88*10000/B62</f>
        <v>0.2348554568059099</v>
      </c>
      <c r="C128" s="166">
        <f>C88*10000/C62</f>
        <v>-0.1396872464486912</v>
      </c>
      <c r="D128" s="166">
        <f>D88*10000/D62</f>
        <v>-0.15518031519418626</v>
      </c>
      <c r="E128" s="166">
        <f>E88*10000/E62</f>
        <v>0.04473990834448615</v>
      </c>
      <c r="F128" s="166">
        <f>F88*10000/F62</f>
        <v>0.06953129025656878</v>
      </c>
      <c r="G128" s="166">
        <f>AVERAGE(C128:E128)</f>
        <v>-0.0833758844327971</v>
      </c>
      <c r="H128" s="166">
        <f>STDEV(C128:E128)</f>
        <v>0.11122163037827669</v>
      </c>
      <c r="I128" s="166">
        <f>(B128*B4+C128*C4+D128*D4+E128*E4+F128*F4)/SUM(B4:F4)</f>
        <v>-0.017040345602355456</v>
      </c>
    </row>
    <row r="129" spans="1:9" ht="12.75">
      <c r="A129" s="166" t="s">
        <v>183</v>
      </c>
      <c r="B129" s="166">
        <f>B89*10000/B62</f>
        <v>0.04149477037928914</v>
      </c>
      <c r="C129" s="166">
        <f>C89*10000/C62</f>
        <v>-0.06716010032590136</v>
      </c>
      <c r="D129" s="166">
        <f>D89*10000/D62</f>
        <v>-0.1229990997955451</v>
      </c>
      <c r="E129" s="166">
        <f>E89*10000/E62</f>
        <v>-0.05002194225483945</v>
      </c>
      <c r="F129" s="166">
        <f>F89*10000/F62</f>
        <v>0.048302557962281015</v>
      </c>
      <c r="G129" s="166">
        <f>AVERAGE(C129:E129)</f>
        <v>-0.0800603807920953</v>
      </c>
      <c r="H129" s="166">
        <f>STDEV(C129:E129)</f>
        <v>0.038160572686479606</v>
      </c>
      <c r="I129" s="166">
        <f>(B129*B4+C129*C4+D129*D4+E129*E4+F129*F4)/SUM(B4:F4)</f>
        <v>-0.04536280275123814</v>
      </c>
    </row>
    <row r="130" spans="1:9" ht="12.75">
      <c r="A130" s="166" t="s">
        <v>184</v>
      </c>
      <c r="B130" s="166">
        <f>B90*10000/B62</f>
        <v>0.04712693631172499</v>
      </c>
      <c r="C130" s="166">
        <f>C90*10000/C62</f>
        <v>0.07133136866800494</v>
      </c>
      <c r="D130" s="166">
        <f>D90*10000/D62</f>
        <v>-0.01052015836890674</v>
      </c>
      <c r="E130" s="166">
        <f>E90*10000/E62</f>
        <v>-0.019724103357008308</v>
      </c>
      <c r="F130" s="166">
        <f>F90*10000/F62</f>
        <v>0.2246251260480818</v>
      </c>
      <c r="G130" s="166">
        <f>AVERAGE(C130:E130)</f>
        <v>0.013695702314029964</v>
      </c>
      <c r="H130" s="166">
        <f>STDEV(C130:E130)</f>
        <v>0.050125648902393696</v>
      </c>
      <c r="I130" s="166">
        <f>(B130*B4+C130*C4+D130*D4+E130*E4+F130*F4)/SUM(B4:F4)</f>
        <v>0.046732601141323195</v>
      </c>
    </row>
    <row r="131" spans="1:9" ht="12.75">
      <c r="A131" s="166" t="s">
        <v>185</v>
      </c>
      <c r="B131" s="166">
        <f>B91*10000/B62</f>
        <v>0.18401402028469444</v>
      </c>
      <c r="C131" s="166">
        <f>C91*10000/C62</f>
        <v>0.0778442532643021</v>
      </c>
      <c r="D131" s="166">
        <f>D91*10000/D62</f>
        <v>0.07749185568579844</v>
      </c>
      <c r="E131" s="166">
        <f>E91*10000/E62</f>
        <v>0.12078730499566961</v>
      </c>
      <c r="F131" s="166">
        <f>F91*10000/F62</f>
        <v>0.15166904576816023</v>
      </c>
      <c r="G131" s="166">
        <f>AVERAGE(C131:E131)</f>
        <v>0.09204113798192337</v>
      </c>
      <c r="H131" s="166">
        <f>STDEV(C131:E131)</f>
        <v>0.024895534428888658</v>
      </c>
      <c r="I131" s="166">
        <f>(B131*B4+C131*C4+D131*D4+E131*E4+F131*F4)/SUM(B4:F4)</f>
        <v>0.11327796955992395</v>
      </c>
    </row>
    <row r="132" spans="1:9" ht="12.75">
      <c r="A132" s="166" t="s">
        <v>186</v>
      </c>
      <c r="B132" s="166">
        <f>B92*10000/B62</f>
        <v>0.02252082759757782</v>
      </c>
      <c r="C132" s="166">
        <f>C92*10000/C62</f>
        <v>-0.0054727658059441735</v>
      </c>
      <c r="D132" s="166">
        <f>D92*10000/D62</f>
        <v>-0.0489531325008031</v>
      </c>
      <c r="E132" s="166">
        <f>E92*10000/E62</f>
        <v>0.013333873039665345</v>
      </c>
      <c r="F132" s="166">
        <f>F92*10000/F62</f>
        <v>-0.05249578366972539</v>
      </c>
      <c r="G132" s="166">
        <f>AVERAGE(C132:E132)</f>
        <v>-0.013697341755693974</v>
      </c>
      <c r="H132" s="166">
        <f>STDEV(C132:E132)</f>
        <v>0.03194762122544476</v>
      </c>
      <c r="I132" s="166">
        <f>(B132*B4+C132*C4+D132*D4+E132*E4+F132*F4)/SUM(B4:F4)</f>
        <v>-0.013663723385975867</v>
      </c>
    </row>
    <row r="133" spans="1:9" ht="12.75">
      <c r="A133" s="166" t="s">
        <v>187</v>
      </c>
      <c r="B133" s="166">
        <f>B93*10000/B62</f>
        <v>-0.10249354042771915</v>
      </c>
      <c r="C133" s="166">
        <f>C93*10000/C62</f>
        <v>-0.09698306088395434</v>
      </c>
      <c r="D133" s="166">
        <f>D93*10000/D62</f>
        <v>-0.10028182887246113</v>
      </c>
      <c r="E133" s="166">
        <f>E93*10000/E62</f>
        <v>-0.08809421263523308</v>
      </c>
      <c r="F133" s="166">
        <f>F93*10000/F62</f>
        <v>-0.07537250532221455</v>
      </c>
      <c r="G133" s="166">
        <f>AVERAGE(C133:E133)</f>
        <v>-0.0951197007972162</v>
      </c>
      <c r="H133" s="166">
        <f>STDEV(C133:E133)</f>
        <v>0.006303854415840948</v>
      </c>
      <c r="I133" s="166">
        <f>(B133*B4+C133*C4+D133*D4+E133*E4+F133*F4)/SUM(B4:F4)</f>
        <v>-0.09354282273369233</v>
      </c>
    </row>
    <row r="134" spans="1:9" ht="12.75">
      <c r="A134" s="166" t="s">
        <v>188</v>
      </c>
      <c r="B134" s="166">
        <f>B94*10000/B62</f>
        <v>-0.008141896312879034</v>
      </c>
      <c r="C134" s="166">
        <f>C94*10000/C62</f>
        <v>0.0035189899915420196</v>
      </c>
      <c r="D134" s="166">
        <f>D94*10000/D62</f>
        <v>0.0026774511273659745</v>
      </c>
      <c r="E134" s="166">
        <f>E94*10000/E62</f>
        <v>0.0036875283300919206</v>
      </c>
      <c r="F134" s="166">
        <f>F94*10000/F62</f>
        <v>-0.03163319788107678</v>
      </c>
      <c r="G134" s="166">
        <f>AVERAGE(C134:E134)</f>
        <v>0.0032946564829999716</v>
      </c>
      <c r="H134" s="166">
        <f>STDEV(C134:E134)</f>
        <v>0.0005411174836925494</v>
      </c>
      <c r="I134" s="166">
        <f>(B134*B4+C134*C4+D134*D4+E134*E4+F134*F4)/SUM(B4:F4)</f>
        <v>-0.0030260175539894877</v>
      </c>
    </row>
    <row r="135" spans="1:9" ht="12.75">
      <c r="A135" s="166" t="s">
        <v>189</v>
      </c>
      <c r="B135" s="166">
        <f>B95*10000/B62</f>
        <v>-0.003301330499774577</v>
      </c>
      <c r="C135" s="166">
        <f>C95*10000/C62</f>
        <v>-0.00042015352001029604</v>
      </c>
      <c r="D135" s="166">
        <f>D95*10000/D62</f>
        <v>-0.001896572804192629</v>
      </c>
      <c r="E135" s="166">
        <f>E95*10000/E62</f>
        <v>-0.0031319628922472503</v>
      </c>
      <c r="F135" s="166">
        <f>F95*10000/F62</f>
        <v>0.004351545960251009</v>
      </c>
      <c r="G135" s="166">
        <f>AVERAGE(C135:E135)</f>
        <v>-0.001816229738816725</v>
      </c>
      <c r="H135" s="166">
        <f>STDEV(C135:E135)</f>
        <v>0.0013576887618130837</v>
      </c>
      <c r="I135" s="166">
        <f>(B135*B4+C135*C4+D135*D4+E135*E4+F135*F4)/SUM(B4:F4)</f>
        <v>-0.0012053804532290745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2003-05-13T14:59:08Z</cp:lastPrinted>
  <dcterms:created xsi:type="dcterms:W3CDTF">1999-06-17T15:15:05Z</dcterms:created>
  <dcterms:modified xsi:type="dcterms:W3CDTF">2003-09-26T12:44:11Z</dcterms:modified>
  <cp:category/>
  <cp:version/>
  <cp:contentType/>
  <cp:contentStatus/>
</cp:coreProperties>
</file>