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55_pos5ap2" sheetId="2" r:id="rId2"/>
    <sheet name="HCMQAP055_pos1ap2" sheetId="3" r:id="rId3"/>
    <sheet name="HCMQAP055_pos2ap2" sheetId="4" r:id="rId4"/>
    <sheet name="HCMQAP055_pos3ap2" sheetId="5" r:id="rId5"/>
    <sheet name="HCMQAP055_pos4ap2" sheetId="6" r:id="rId6"/>
    <sheet name="Lmag_hcmqap" sheetId="7" r:id="rId7"/>
    <sheet name="Result_HCMQAP" sheetId="8" r:id="rId8"/>
  </sheets>
  <definedNames>
    <definedName name="_xlnm.Print_Area" localSheetId="2">'HCMQAP055_pos1ap2'!$A$1:$N$28</definedName>
    <definedName name="_xlnm.Print_Area" localSheetId="3">'HCMQAP055_pos2ap2'!$A$1:$N$28</definedName>
    <definedName name="_xlnm.Print_Area" localSheetId="4">'HCMQAP055_pos3ap2'!$A$1:$N$28</definedName>
    <definedName name="_xlnm.Print_Area" localSheetId="5">'HCMQAP055_pos4ap2'!$A$1:$N$28</definedName>
    <definedName name="_xlnm.Print_Area" localSheetId="1">'HCMQAP055_pos5ap2'!$A$1:$N$28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<sst xmlns="http://schemas.openxmlformats.org/spreadsheetml/2006/main" count="505" uniqueCount="192">
  <si>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</si>
  <si>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</si>
  <si>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</si>
  <si>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</si>
  <si>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</si>
  <si>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</si>
  <si>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</si>
  <si>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</si>
  <si>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</si>
  <si>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</si>
  <si>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</si>
  <si>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</si>
  <si>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</si>
  <si>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</si>
  <si>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</si>
  <si>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hcmqap055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</si>
  <si>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</si>
  <si>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</si>
  <si>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</si>
  <si>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</si>
  <si>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</si>
  <si>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</si>
  <si>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</si>
  <si>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</si>
  <si>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</si>
  <si>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</si>
  <si>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</si>
  <si>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</si>
  <si>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</si>
  <si>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</si>
  <si>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</si>
  <si>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</si>
  <si>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</si>
  <si>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</si>
  <si>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</si>
  <si>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</si>
  <si>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</si>
  <si>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</si>
  <si>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</si>
  <si>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</si>
  <si>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</si>
  <si>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</si>
  <si>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</si>
  <si>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</si>
  <si>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</si>
  <si>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</si>
  <si>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</si>
  <si>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</si>
  <si>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</si>
  <si>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</si>
  <si>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</si>
  <si>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</si>
  <si>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</si>
  <si>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</si>
  <si>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</si>
  <si>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</si>
  <si>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</si>
  <si>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</si>
  <si>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</si>
  <si>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</si>
  <si>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</si>
  <si>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</si>
  <si>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</si>
  <si>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</si>
  <si>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</si>
  <si>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</si>
  <si>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</si>
  <si>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</si>
  <si>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HCMQAP055_pos5ap2</t>
  </si>
  <si>
    <t>±12.5</t>
  </si>
  <si>
    <t>THCMQAP055_pos5ap2.xls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</si>
  <si>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-2.261 mT)</t>
    </r>
  </si>
  <si>
    <t>HCMQAP055_pos1ap2</t>
  </si>
  <si>
    <t>THCMQAP055_pos1ap2.xls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</si>
  <si>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</si>
  <si>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HCMQAP055_pos2ap2</t>
  </si>
  <si>
    <t>THCMQAP055_pos2ap2.xls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</si>
  <si>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-3.763 mT)</t>
    </r>
  </si>
  <si>
    <t>HCMQAP055_pos3ap2</t>
  </si>
  <si>
    <t>THCMQAP055_pos3ap2.xls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</si>
  <si>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-3.764 mT)</t>
    </r>
  </si>
  <si>
    <t>HCMQAP055_pos4ap2</t>
  </si>
  <si>
    <t>THCMQAP055_pos4ap2.xls</t>
  </si>
  <si>
    <t>Sommaire : Valeurs intégrales calculées avec les fichiers: HCMQAP055_pos5ap2+HCMQAP055_pos1ap2+HCMQAP055_pos2ap2+HCMQAP055_pos3ap2+HCMQAP055_pos4ap2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</si>
  <si>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</si>
  <si>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</si>
  <si>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</si>
  <si>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</si>
  <si>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</si>
  <si>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</si>
  <si>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</si>
  <si>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</si>
  <si>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</si>
  <si>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</si>
  <si>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</si>
  <si>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</si>
  <si>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</si>
  <si>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</si>
  <si>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</si>
  <si>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</si>
  <si>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</si>
  <si>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</si>
  <si>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</si>
  <si>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</si>
  <si>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</si>
  <si>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</si>
  <si>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</si>
  <si>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</si>
  <si>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</si>
  <si>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</si>
  <si>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</si>
  <si>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</si>
  <si>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</si>
  <si>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</si>
  <si>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</si>
  <si>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</si>
  <si>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</si>
  <si>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</si>
  <si>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</si>
  <si>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</si>
  <si>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</si>
  <si>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</si>
  <si>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</si>
  <si>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</si>
  <si>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</si>
  <si>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</si>
  <si>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</si>
  <si>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=-3.763</t>
    </r>
  </si>
  <si>
    <t>Gradient (T/m)</t>
  </si>
  <si>
    <t xml:space="preserve"> Tue 08/07/2003       09:11:56</t>
  </si>
  <si>
    <t>LISSNER</t>
  </si>
  <si>
    <t>HCMQAP055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</si>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</sst>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55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8980360"/>
        <c:axId val="59496649"/>
      </c:lineChart>
      <c:catAx>
        <c:axId val="289803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9496649"/>
        <c:crosses val="autoZero"/>
        <c:auto val="1"/>
        <c:lblOffset val="100"/>
        <c:noMultiLvlLbl val="0"/>
      </c:catAx>
      <c:valAx>
        <c:axId val="5949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898036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76200</xdr:rowOff>
    </xdr:from>
    <xdr:to>
      <xdr:col>6</xdr:col>
      <xdr:colOff>752475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5895975"/>
        <a:ext cx="54387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37840</v>
      </c>
      <c r="B2" s="24">
        <v>80</v>
      </c>
      <c r="C2" s="24" t="s">
        <v>69</v>
      </c>
      <c r="D2" s="25">
        <v>5</v>
      </c>
      <c r="E2" s="25">
        <v>5</v>
      </c>
      <c r="F2" s="26"/>
      <c r="G2" s="26" t="s">
        <v>68</v>
      </c>
      <c r="H2" s="25">
        <v>1895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37840</v>
      </c>
      <c r="B3" s="24">
        <v>80</v>
      </c>
      <c r="C3" s="24" t="s">
        <v>69</v>
      </c>
      <c r="D3" s="25">
        <v>5</v>
      </c>
      <c r="E3" s="25">
        <v>1</v>
      </c>
      <c r="F3" s="26"/>
      <c r="G3" s="26" t="s">
        <v>72</v>
      </c>
      <c r="H3" s="25">
        <v>1895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37840</v>
      </c>
      <c r="B4" s="24">
        <v>80</v>
      </c>
      <c r="C4" s="24" t="s">
        <v>69</v>
      </c>
      <c r="D4" s="25">
        <v>5</v>
      </c>
      <c r="E4" s="25">
        <v>2</v>
      </c>
      <c r="F4" s="26"/>
      <c r="G4" s="26" t="s">
        <v>75</v>
      </c>
      <c r="H4" s="25">
        <v>1895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37840</v>
      </c>
      <c r="B5" s="24">
        <v>80</v>
      </c>
      <c r="C5" s="24" t="s">
        <v>69</v>
      </c>
      <c r="D5" s="25">
        <v>5</v>
      </c>
      <c r="E5" s="25">
        <v>3</v>
      </c>
      <c r="F5" s="26"/>
      <c r="G5" s="26" t="s">
        <v>78</v>
      </c>
      <c r="H5" s="25">
        <v>1895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>
        <v>37840</v>
      </c>
      <c r="B6" s="24">
        <v>80</v>
      </c>
      <c r="C6" s="24" t="s">
        <v>69</v>
      </c>
      <c r="D6" s="25">
        <v>5</v>
      </c>
      <c r="E6" s="25">
        <v>4</v>
      </c>
      <c r="F6" s="26"/>
      <c r="G6" s="26" t="s">
        <v>81</v>
      </c>
      <c r="H6" s="25">
        <v>1895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-2.207001999999999E-06</v>
      </c>
      <c r="L2" s="54">
        <v>6.047473664399056E-07</v>
      </c>
      <c r="M2" s="54">
        <v>0.00013788183</v>
      </c>
      <c r="N2" s="55">
        <v>5.32353285515106E-07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-3.0061512000000003E-05</v>
      </c>
      <c r="L3" s="54">
        <v>9.454603691324782E-08</v>
      </c>
      <c r="M3" s="54">
        <v>9.410430000000001E-06</v>
      </c>
      <c r="N3" s="55">
        <v>1.2527197851068083E-07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-0.002089274846076298</v>
      </c>
      <c r="L4" s="54">
        <v>4.6596693275607257E-05</v>
      </c>
      <c r="M4" s="54">
        <v>7.328600729194263E-08</v>
      </c>
      <c r="N4" s="55">
        <v>-11.149555000000001</v>
      </c>
    </row>
    <row r="5" spans="1:14" ht="15" customHeight="1" thickBot="1">
      <c r="A5" t="s">
        <v>18</v>
      </c>
      <c r="B5" s="58">
        <v>37810.37978009259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1895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-2.7171289</v>
      </c>
      <c r="E8" s="77">
        <v>0.02507939196510897</v>
      </c>
      <c r="F8" s="78">
        <v>10.506823999999998</v>
      </c>
      <c r="G8" s="77">
        <v>0.03306518628445689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-4.7313154</v>
      </c>
      <c r="E9" s="80">
        <v>0.059973681942534184</v>
      </c>
      <c r="F9" s="80">
        <v>-1.3305347099999998</v>
      </c>
      <c r="G9" s="80">
        <v>0.05043184361625741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0.66545599</v>
      </c>
      <c r="E10" s="80">
        <v>0.031036112921746385</v>
      </c>
      <c r="F10" s="85">
        <v>-9.858489</v>
      </c>
      <c r="G10" s="80">
        <v>0.04968643577982032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6">
        <v>13.182988</v>
      </c>
      <c r="E11" s="77">
        <v>0.004998868473798082</v>
      </c>
      <c r="F11" s="77">
        <v>1.2614737</v>
      </c>
      <c r="G11" s="77">
        <v>0.012109693565903652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-0.092089732</v>
      </c>
      <c r="E12" s="80">
        <v>0.002438509946788779</v>
      </c>
      <c r="F12" s="80">
        <v>0.42251557999999995</v>
      </c>
      <c r="G12" s="80">
        <v>0.005419428848931333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23.431397</v>
      </c>
      <c r="D13" s="84">
        <v>0.07624404999999998</v>
      </c>
      <c r="E13" s="80">
        <v>0.004992152069220489</v>
      </c>
      <c r="F13" s="80">
        <v>-0.14971119</v>
      </c>
      <c r="G13" s="80">
        <v>0.009051582046438106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0.23928978</v>
      </c>
      <c r="E14" s="80">
        <v>0.005123588952150543</v>
      </c>
      <c r="F14" s="85">
        <v>0.46644765</v>
      </c>
      <c r="G14" s="80">
        <v>0.004676575101394302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-0.39582663</v>
      </c>
      <c r="E15" s="77">
        <v>0.0016036637164892906</v>
      </c>
      <c r="F15" s="77">
        <v>0.19221077999999997</v>
      </c>
      <c r="G15" s="77">
        <v>0.005630404767031551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12.5055</v>
      </c>
      <c r="D16" s="84">
        <v>0.02617717</v>
      </c>
      <c r="E16" s="80">
        <v>0.004448382695948039</v>
      </c>
      <c r="F16" s="80">
        <v>-0.021209065000000003</v>
      </c>
      <c r="G16" s="80">
        <v>0.0035140564592234334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-0.032999999821186066</v>
      </c>
      <c r="D17" s="84">
        <v>0.13971161</v>
      </c>
      <c r="E17" s="80">
        <v>0.00171634741599592</v>
      </c>
      <c r="F17" s="80">
        <v>0.06155876899999999</v>
      </c>
      <c r="G17" s="80">
        <v>0.004688122587287503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152.07899475097656</v>
      </c>
      <c r="D18" s="84">
        <v>-0.045184353999999996</v>
      </c>
      <c r="E18" s="80">
        <v>0.0017462256413315826</v>
      </c>
      <c r="F18" s="80">
        <v>0.14510324</v>
      </c>
      <c r="G18" s="80">
        <v>0.0018014583498948014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-0.35600000619888306</v>
      </c>
      <c r="D19" s="84">
        <v>-0.1256721</v>
      </c>
      <c r="E19" s="80">
        <v>0.0017957370378207348</v>
      </c>
      <c r="F19" s="80">
        <v>-0.031940858999999995</v>
      </c>
      <c r="G19" s="80">
        <v>0.001631528759922543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-0.042974599999999995</v>
      </c>
      <c r="D20" s="90">
        <v>0.0035710741000000005</v>
      </c>
      <c r="E20" s="91">
        <v>0.0017160994766833998</v>
      </c>
      <c r="F20" s="91">
        <v>0.00147300957</v>
      </c>
      <c r="G20" s="91">
        <v>0.0015402394844815368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1.1209517000000002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-0.6388229845396758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-2.0897944</v>
      </c>
      <c r="I25" s="103" t="s">
        <v>65</v>
      </c>
      <c r="J25" s="104"/>
      <c r="K25" s="103"/>
      <c r="L25" s="106">
        <v>13.243205371205859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10.852471609093994</v>
      </c>
      <c r="I26" s="108" t="s">
        <v>67</v>
      </c>
      <c r="J26" s="109"/>
      <c r="K26" s="108"/>
      <c r="L26" s="111">
        <v>0.44002693663611697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HCMQAP055_pos5ap2res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2.81660922E-05</v>
      </c>
      <c r="L2" s="54">
        <v>1.182788747811036E-07</v>
      </c>
      <c r="M2" s="54">
        <v>0.0001474509</v>
      </c>
      <c r="N2" s="55">
        <v>1.4480190953998638E-07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-3.109973779999999E-05</v>
      </c>
      <c r="L3" s="54">
        <v>2.424767148604531E-07</v>
      </c>
      <c r="M3" s="54">
        <v>1.3885840000000001E-05</v>
      </c>
      <c r="N3" s="55">
        <v>7.661209695617976E-08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-0.002260578321188334</v>
      </c>
      <c r="L4" s="54">
        <v>9.73904173025231E-06</v>
      </c>
      <c r="M4" s="54">
        <v>2.209662170014445E-08</v>
      </c>
      <c r="N4" s="55">
        <v>-2.1540907000000002</v>
      </c>
    </row>
    <row r="5" spans="1:14" ht="15" customHeight="1" thickBot="1">
      <c r="A5" t="s">
        <v>18</v>
      </c>
      <c r="B5" s="58">
        <v>37810.3615625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1895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-0.5686656400000001</v>
      </c>
      <c r="E8" s="77">
        <v>0.014562089186869602</v>
      </c>
      <c r="F8" s="77">
        <v>-2.6597846</v>
      </c>
      <c r="G8" s="77">
        <v>0.025339250090286057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-0.06336550399999999</v>
      </c>
      <c r="E9" s="80">
        <v>0.02304915297871477</v>
      </c>
      <c r="F9" s="80">
        <v>2.1389072</v>
      </c>
      <c r="G9" s="80">
        <v>0.046464290853950575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0.034176859999999996</v>
      </c>
      <c r="E10" s="80">
        <v>0.015092554772979955</v>
      </c>
      <c r="F10" s="85">
        <v>-3.1811272999999995</v>
      </c>
      <c r="G10" s="80">
        <v>0.013499756214828795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3.2435547999999996</v>
      </c>
      <c r="E11" s="77">
        <v>0.0036295887732261983</v>
      </c>
      <c r="F11" s="77">
        <v>0.6210290800000001</v>
      </c>
      <c r="G11" s="77">
        <v>0.017180759267025066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0.0161713308</v>
      </c>
      <c r="E12" s="80">
        <v>0.0059980449918800955</v>
      </c>
      <c r="F12" s="80">
        <v>-0.24743516999999998</v>
      </c>
      <c r="G12" s="80">
        <v>0.005904207132934796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22.869874</v>
      </c>
      <c r="D13" s="84">
        <v>0.21526416999999998</v>
      </c>
      <c r="E13" s="80">
        <v>0.006393354666574967</v>
      </c>
      <c r="F13" s="80">
        <v>-0.0054836234</v>
      </c>
      <c r="G13" s="80">
        <v>0.00889228333862511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0.16539489000000002</v>
      </c>
      <c r="E14" s="80">
        <v>0.0034795598334267965</v>
      </c>
      <c r="F14" s="85">
        <v>0.41612976</v>
      </c>
      <c r="G14" s="80">
        <v>0.0029222205331555827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-0.44000105000000006</v>
      </c>
      <c r="E15" s="77">
        <v>0.003509523481605816</v>
      </c>
      <c r="F15" s="77">
        <v>0.054455798</v>
      </c>
      <c r="G15" s="77">
        <v>0.0045703927660503876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12.5055</v>
      </c>
      <c r="D16" s="84">
        <v>-0.08023870899999999</v>
      </c>
      <c r="E16" s="80">
        <v>0.0031379571754620817</v>
      </c>
      <c r="F16" s="80">
        <v>-0.09364339599999999</v>
      </c>
      <c r="G16" s="80">
        <v>0.004647609038320188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-0.18700000643730164</v>
      </c>
      <c r="D17" s="83">
        <v>0.20364404</v>
      </c>
      <c r="E17" s="80">
        <v>0.005413859310731881</v>
      </c>
      <c r="F17" s="80">
        <v>-0.088195905</v>
      </c>
      <c r="G17" s="80">
        <v>0.003926272116230375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237.02000427246094</v>
      </c>
      <c r="D18" s="84">
        <v>0.041158265</v>
      </c>
      <c r="E18" s="80">
        <v>0.0007114630360251183</v>
      </c>
      <c r="F18" s="85">
        <v>0.21190929</v>
      </c>
      <c r="G18" s="80">
        <v>0.0035140021521607393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-0.4339999854564667</v>
      </c>
      <c r="D19" s="83">
        <v>-0.18724421000000002</v>
      </c>
      <c r="E19" s="80">
        <v>0.0020078346538977957</v>
      </c>
      <c r="F19" s="80">
        <v>-0.0044469567900000005</v>
      </c>
      <c r="G19" s="80">
        <v>0.002655676953826395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0.20703239999999998</v>
      </c>
      <c r="D20" s="90">
        <v>0.0012582031</v>
      </c>
      <c r="E20" s="91">
        <v>0.0021558949587024735</v>
      </c>
      <c r="F20" s="91">
        <v>-0.007815212299999999</v>
      </c>
      <c r="G20" s="91">
        <v>0.001977946385687207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1.1097442000000002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-0.12342041004714174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-2.2605993</v>
      </c>
      <c r="I25" s="103" t="s">
        <v>65</v>
      </c>
      <c r="J25" s="104"/>
      <c r="K25" s="103"/>
      <c r="L25" s="106">
        <v>3.3024725371770596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2.7198960878154463</v>
      </c>
      <c r="I26" s="108" t="s">
        <v>67</v>
      </c>
      <c r="J26" s="109"/>
      <c r="K26" s="108"/>
      <c r="L26" s="111">
        <v>0.4433580471096914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HCMQAP055_pos1ap2res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7.696004999999998E-05</v>
      </c>
      <c r="L2" s="54">
        <v>2.7483286295627255E-07</v>
      </c>
      <c r="M2" s="54">
        <v>0.00021671100999999998</v>
      </c>
      <c r="N2" s="55">
        <v>1.7849744368085824E-07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-2.8449269999999997E-05</v>
      </c>
      <c r="L3" s="54">
        <v>1.3940296539206622E-07</v>
      </c>
      <c r="M3" s="54">
        <v>1.2585710000000001E-05</v>
      </c>
      <c r="N3" s="55">
        <v>1.8406247689307073E-07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-0.0037623608212717097</v>
      </c>
      <c r="L4" s="54">
        <v>2.1578323265710223E-05</v>
      </c>
      <c r="M4" s="54">
        <v>2.3898905926116444E-08</v>
      </c>
      <c r="N4" s="55">
        <v>-2.8676259000000006</v>
      </c>
    </row>
    <row r="5" spans="1:14" ht="15" customHeight="1" thickBot="1">
      <c r="A5" t="s">
        <v>18</v>
      </c>
      <c r="B5" s="58">
        <v>37810.36620370371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1895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-0.94763642</v>
      </c>
      <c r="E8" s="77">
        <v>0.012965947724384122</v>
      </c>
      <c r="F8" s="77">
        <v>0.15045034799999998</v>
      </c>
      <c r="G8" s="77">
        <v>0.015741408245153354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-0.058952122499999995</v>
      </c>
      <c r="E9" s="80">
        <v>0.05024521323576477</v>
      </c>
      <c r="F9" s="80">
        <v>0.9307175799999999</v>
      </c>
      <c r="G9" s="80">
        <v>0.012358812686570088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-0.32428497900000003</v>
      </c>
      <c r="E10" s="80">
        <v>0.008176165385881371</v>
      </c>
      <c r="F10" s="85">
        <v>-3.0877167</v>
      </c>
      <c r="G10" s="80">
        <v>0.011184039398272828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4.780065800000001</v>
      </c>
      <c r="E11" s="77">
        <v>0.0052219830384600385</v>
      </c>
      <c r="F11" s="77">
        <v>0.62898038</v>
      </c>
      <c r="G11" s="77">
        <v>0.002601300535645788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-0.10867674999999999</v>
      </c>
      <c r="E12" s="80">
        <v>0.004907060480267432</v>
      </c>
      <c r="F12" s="80">
        <v>-0.129506705</v>
      </c>
      <c r="G12" s="80">
        <v>0.0047058892713387306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22.988892</v>
      </c>
      <c r="D13" s="84">
        <v>0.13646813100000002</v>
      </c>
      <c r="E13" s="80">
        <v>0.001523797180448332</v>
      </c>
      <c r="F13" s="80">
        <v>0.26544038000000003</v>
      </c>
      <c r="G13" s="80">
        <v>0.0042496977312023645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-0.041418895</v>
      </c>
      <c r="E14" s="80">
        <v>0.003242142342262236</v>
      </c>
      <c r="F14" s="80">
        <v>0.0249384541</v>
      </c>
      <c r="G14" s="80">
        <v>0.0032442811573634247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-0.044847308</v>
      </c>
      <c r="E15" s="77">
        <v>0.003968883318367511</v>
      </c>
      <c r="F15" s="77">
        <v>0.033732775</v>
      </c>
      <c r="G15" s="77">
        <v>0.0028314421730630847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12.5055</v>
      </c>
      <c r="D16" s="84">
        <v>-0.04553447000000001</v>
      </c>
      <c r="E16" s="80">
        <v>0.0033191392756330347</v>
      </c>
      <c r="F16" s="80">
        <v>-0.025164775699999996</v>
      </c>
      <c r="G16" s="80">
        <v>0.0019367599946446556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0.28299999237060547</v>
      </c>
      <c r="D17" s="84">
        <v>0.123023056</v>
      </c>
      <c r="E17" s="80">
        <v>0.0005995637648680383</v>
      </c>
      <c r="F17" s="80">
        <v>-0.10331713000000001</v>
      </c>
      <c r="G17" s="80">
        <v>0.0036255435660685607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13.223999977111816</v>
      </c>
      <c r="D18" s="84">
        <v>0.07570962</v>
      </c>
      <c r="E18" s="80">
        <v>0.0016939852474000896</v>
      </c>
      <c r="F18" s="85">
        <v>0.17331208</v>
      </c>
      <c r="G18" s="80">
        <v>0.0022838639542673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0.019999999552965164</v>
      </c>
      <c r="D19" s="83">
        <v>-0.17724572000000002</v>
      </c>
      <c r="E19" s="80">
        <v>0.0017923129633507877</v>
      </c>
      <c r="F19" s="80">
        <v>0.0035632789100000007</v>
      </c>
      <c r="G19" s="80">
        <v>0.0013039087063497646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0.3421119</v>
      </c>
      <c r="D20" s="90">
        <v>-0.0023128705</v>
      </c>
      <c r="E20" s="91">
        <v>0.0014912306535730575</v>
      </c>
      <c r="F20" s="91">
        <v>0.00098831392</v>
      </c>
      <c r="G20" s="91">
        <v>0.0008117877476768701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0.9811521000000001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-0.16430300007321136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-3.7624227</v>
      </c>
      <c r="I25" s="103" t="s">
        <v>65</v>
      </c>
      <c r="J25" s="104"/>
      <c r="K25" s="103"/>
      <c r="L25" s="106">
        <v>4.821270099336335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0.9595051285552035</v>
      </c>
      <c r="I26" s="108" t="s">
        <v>67</v>
      </c>
      <c r="J26" s="109"/>
      <c r="K26" s="108"/>
      <c r="L26" s="111">
        <v>0.05611756537883205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HCMQAP055_pos2ap2res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-3.3022142E-05</v>
      </c>
      <c r="L2" s="54">
        <v>1.5015436004740112E-07</v>
      </c>
      <c r="M2" s="54">
        <v>0.00022062646</v>
      </c>
      <c r="N2" s="55">
        <v>1.9056628086111063E-07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-2.753168E-05</v>
      </c>
      <c r="L3" s="54">
        <v>8.934216782430098E-08</v>
      </c>
      <c r="M3" s="54">
        <v>1.0688699999999995E-05</v>
      </c>
      <c r="N3" s="55">
        <v>1.0639284280438718E-07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-0.0037627155623505266</v>
      </c>
      <c r="L4" s="54">
        <v>4.2608397193528714E-05</v>
      </c>
      <c r="M4" s="54">
        <v>8.908118682632368E-08</v>
      </c>
      <c r="N4" s="55">
        <v>-5.661679100000001</v>
      </c>
    </row>
    <row r="5" spans="1:14" ht="15" customHeight="1" thickBot="1">
      <c r="A5" t="s">
        <v>18</v>
      </c>
      <c r="B5" s="58">
        <v>37810.370717592596</v>
      </c>
      <c r="D5" s="59"/>
      <c r="E5" s="60" t="s">
        <v>77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1895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0.6086791899999999</v>
      </c>
      <c r="E8" s="77">
        <v>0.016312189592924457</v>
      </c>
      <c r="F8" s="77">
        <v>0.45324406999999994</v>
      </c>
      <c r="G8" s="77">
        <v>0.01993956067326075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-0.164267499</v>
      </c>
      <c r="E9" s="80">
        <v>0.03318007040146244</v>
      </c>
      <c r="F9" s="80">
        <v>1.0700925</v>
      </c>
      <c r="G9" s="80">
        <v>0.029139932144327464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-0.0474423</v>
      </c>
      <c r="E10" s="80">
        <v>0.003804488996567091</v>
      </c>
      <c r="F10" s="85">
        <v>-3.2490452</v>
      </c>
      <c r="G10" s="80">
        <v>0.008466874946546762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5.147323399999999</v>
      </c>
      <c r="E11" s="77">
        <v>0.0038269542528700856</v>
      </c>
      <c r="F11" s="77">
        <v>0.327862</v>
      </c>
      <c r="G11" s="77">
        <v>0.004322764533027328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0.28272063000000003</v>
      </c>
      <c r="E12" s="80">
        <v>0.0030094120330381707</v>
      </c>
      <c r="F12" s="80">
        <v>0.141118766</v>
      </c>
      <c r="G12" s="80">
        <v>0.0036321503246057292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23.135377</v>
      </c>
      <c r="D13" s="84">
        <v>0.0196475218</v>
      </c>
      <c r="E13" s="80">
        <v>0.002081232812731657</v>
      </c>
      <c r="F13" s="80">
        <v>0.30353879</v>
      </c>
      <c r="G13" s="80">
        <v>0.00615142660505639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-0.0214220656</v>
      </c>
      <c r="E14" s="80">
        <v>0.0037203410242436365</v>
      </c>
      <c r="F14" s="80">
        <v>-0.014908332000000002</v>
      </c>
      <c r="G14" s="80">
        <v>0.003331111807738662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-0.059728625</v>
      </c>
      <c r="E15" s="77">
        <v>0.003027148396360803</v>
      </c>
      <c r="F15" s="77">
        <v>0.031794697</v>
      </c>
      <c r="G15" s="77">
        <v>0.0008880818474759757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12.5055</v>
      </c>
      <c r="D16" s="84">
        <v>0.06441809600000001</v>
      </c>
      <c r="E16" s="80">
        <v>0.002599054261425445</v>
      </c>
      <c r="F16" s="80">
        <v>-0.058449307000000006</v>
      </c>
      <c r="G16" s="80">
        <v>0.00385078929732662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-0.3440000116825104</v>
      </c>
      <c r="D17" s="83">
        <v>0.16934115</v>
      </c>
      <c r="E17" s="80">
        <v>0.0012237170837250953</v>
      </c>
      <c r="F17" s="80">
        <v>0.068940957</v>
      </c>
      <c r="G17" s="80">
        <v>0.003241764920953673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39.16400146484375</v>
      </c>
      <c r="D18" s="84">
        <v>-0.0106895786</v>
      </c>
      <c r="E18" s="80">
        <v>0.001242418986739755</v>
      </c>
      <c r="F18" s="85">
        <v>0.19634058</v>
      </c>
      <c r="G18" s="80">
        <v>0.001335719254410201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-0.44200000166893005</v>
      </c>
      <c r="D19" s="83">
        <v>-0.18861229999999998</v>
      </c>
      <c r="E19" s="80">
        <v>0.0016832579998360424</v>
      </c>
      <c r="F19" s="80">
        <v>0.00365403694</v>
      </c>
      <c r="G19" s="80">
        <v>0.0010622212439948145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-0.16042720000000002</v>
      </c>
      <c r="D20" s="90">
        <v>0.0078892085</v>
      </c>
      <c r="E20" s="91">
        <v>0.0004475570409729653</v>
      </c>
      <c r="F20" s="91">
        <v>-0.0038692257019999994</v>
      </c>
      <c r="G20" s="91">
        <v>0.000692303641482194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0.9949806000000001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-0.3243905913884371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-3.7629568000000004</v>
      </c>
      <c r="I25" s="103" t="s">
        <v>65</v>
      </c>
      <c r="J25" s="104"/>
      <c r="K25" s="103"/>
      <c r="L25" s="106">
        <v>5.157754518705941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0.7588942899569221</v>
      </c>
      <c r="I26" s="108" t="s">
        <v>67</v>
      </c>
      <c r="J26" s="109"/>
      <c r="K26" s="108"/>
      <c r="L26" s="111">
        <v>0.06766395940020384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HCMQAP055_pos3ap2res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8.491567500000001E-05</v>
      </c>
      <c r="L2" s="54">
        <v>3.874107187323526E-07</v>
      </c>
      <c r="M2" s="54">
        <v>0.00024524003</v>
      </c>
      <c r="N2" s="55">
        <v>6.205828901882047E-07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-2.8113584999999997E-05</v>
      </c>
      <c r="L3" s="54">
        <v>1.0557421555505667E-07</v>
      </c>
      <c r="M3" s="54">
        <v>9.861430000000004E-06</v>
      </c>
      <c r="N3" s="55">
        <v>2.384498848814927E-07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-0.0037633698728546093</v>
      </c>
      <c r="L4" s="54">
        <v>6.700940545360744E-05</v>
      </c>
      <c r="M4" s="54">
        <v>6.561965624480983E-08</v>
      </c>
      <c r="N4" s="55">
        <v>-8.9019054</v>
      </c>
    </row>
    <row r="5" spans="1:14" ht="15" customHeight="1" thickBot="1">
      <c r="A5" t="s">
        <v>18</v>
      </c>
      <c r="B5" s="58">
        <v>37810.375243055554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1895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1.2589473000000002</v>
      </c>
      <c r="E8" s="77">
        <v>0.01433581975540375</v>
      </c>
      <c r="F8" s="77">
        <v>0.9342667200000001</v>
      </c>
      <c r="G8" s="77">
        <v>0.008997810545931623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-0.60130079</v>
      </c>
      <c r="E9" s="80">
        <v>0.048141767742256654</v>
      </c>
      <c r="F9" s="80">
        <v>1.9725387</v>
      </c>
      <c r="G9" s="80">
        <v>0.023659093026989993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-1.13153396</v>
      </c>
      <c r="E10" s="80">
        <v>0.00904125198548864</v>
      </c>
      <c r="F10" s="85">
        <v>-2.6692746</v>
      </c>
      <c r="G10" s="80">
        <v>0.0058946939479842045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4.0016827</v>
      </c>
      <c r="E11" s="77">
        <v>0.0044893099874235036</v>
      </c>
      <c r="F11" s="77">
        <v>-0.24185850000000003</v>
      </c>
      <c r="G11" s="77">
        <v>0.0038387356141039125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0.5967475299999999</v>
      </c>
      <c r="E12" s="80">
        <v>0.002751328203188796</v>
      </c>
      <c r="F12" s="80">
        <v>-0.011196629000000001</v>
      </c>
      <c r="G12" s="80">
        <v>0.003727444588384108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23.287965</v>
      </c>
      <c r="D13" s="84">
        <v>-0.16326312</v>
      </c>
      <c r="E13" s="80">
        <v>0.00440770753460358</v>
      </c>
      <c r="F13" s="80">
        <v>0.38132020000000005</v>
      </c>
      <c r="G13" s="80">
        <v>0.005499397538818822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0.076463303</v>
      </c>
      <c r="E14" s="80">
        <v>0.002667287109043092</v>
      </c>
      <c r="F14" s="80">
        <v>-0.013619704</v>
      </c>
      <c r="G14" s="80">
        <v>0.0028108004784178457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-0.16457059</v>
      </c>
      <c r="E15" s="77">
        <v>0.0026131392315384048</v>
      </c>
      <c r="F15" s="77">
        <v>0.12093419899999999</v>
      </c>
      <c r="G15" s="77">
        <v>0.0014140609659646938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12.5055</v>
      </c>
      <c r="D16" s="84">
        <v>-0.066667071</v>
      </c>
      <c r="E16" s="80">
        <v>0.001680246474069873</v>
      </c>
      <c r="F16" s="80">
        <v>-0.13006762</v>
      </c>
      <c r="G16" s="80">
        <v>0.0026499490411329247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0.33000001311302185</v>
      </c>
      <c r="D17" s="83">
        <v>0.18910515</v>
      </c>
      <c r="E17" s="80">
        <v>0.0032967010081302907</v>
      </c>
      <c r="F17" s="80">
        <v>-0.080816273</v>
      </c>
      <c r="G17" s="80">
        <v>0.0038956175876151515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23.39699935913086</v>
      </c>
      <c r="D18" s="84">
        <v>0.061196922</v>
      </c>
      <c r="E18" s="80">
        <v>0.0013822290585666108</v>
      </c>
      <c r="F18" s="85">
        <v>0.18995718</v>
      </c>
      <c r="G18" s="80">
        <v>0.0012213872521024997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-0.06599999964237213</v>
      </c>
      <c r="D19" s="83">
        <v>-0.17161316</v>
      </c>
      <c r="E19" s="80">
        <v>0.0014109846566859863</v>
      </c>
      <c r="F19" s="80">
        <v>0.00335027959</v>
      </c>
      <c r="G19" s="80">
        <v>0.0009135916137345295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0.3637747</v>
      </c>
      <c r="D20" s="90">
        <v>-0.00268405842</v>
      </c>
      <c r="E20" s="91">
        <v>0.0011211707027464846</v>
      </c>
      <c r="F20" s="91">
        <v>-0.0051646528999999995</v>
      </c>
      <c r="G20" s="91">
        <v>0.0007854308753150364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1.1142614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-0.5100420398587976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-3.7639664</v>
      </c>
      <c r="I25" s="103" t="s">
        <v>65</v>
      </c>
      <c r="J25" s="104"/>
      <c r="K25" s="103"/>
      <c r="L25" s="106">
        <v>4.008984904623805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1.567738054739008</v>
      </c>
      <c r="I26" s="108" t="s">
        <v>67</v>
      </c>
      <c r="J26" s="109"/>
      <c r="K26" s="108"/>
      <c r="L26" s="111">
        <v>0.2042267357147925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HCMQAP055_pos4ap2res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26">
      <selection activeCell="I51" sqref="I5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72</v>
      </c>
      <c r="C1" s="121" t="s">
        <v>75</v>
      </c>
      <c r="D1" s="121" t="s">
        <v>78</v>
      </c>
      <c r="E1" s="121" t="s">
        <v>81</v>
      </c>
      <c r="F1" s="128" t="s">
        <v>68</v>
      </c>
      <c r="G1" s="163" t="s">
        <v>121</v>
      </c>
    </row>
    <row r="2" spans="1:7" ht="13.5" thickBot="1">
      <c r="A2" s="140" t="s">
        <v>90</v>
      </c>
      <c r="B2" s="132">
        <v>-2.2605993</v>
      </c>
      <c r="C2" s="123">
        <v>-3.7624227</v>
      </c>
      <c r="D2" s="123">
        <v>-3.7629568000000004</v>
      </c>
      <c r="E2" s="123">
        <v>-3.7639664</v>
      </c>
      <c r="F2" s="129">
        <v>-2.0897944</v>
      </c>
      <c r="G2" s="164">
        <v>3.1166307144614995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-0.5686656400000001</v>
      </c>
      <c r="C4" s="147">
        <v>-0.94763642</v>
      </c>
      <c r="D4" s="147">
        <v>0.6086791899999999</v>
      </c>
      <c r="E4" s="147">
        <v>1.2589473000000002</v>
      </c>
      <c r="F4" s="152">
        <v>-2.7171289</v>
      </c>
      <c r="G4" s="159">
        <v>-0.2237956603427869</v>
      </c>
    </row>
    <row r="5" spans="1:7" ht="12.75">
      <c r="A5" s="140" t="s">
        <v>93</v>
      </c>
      <c r="B5" s="134">
        <v>-0.06336550399999999</v>
      </c>
      <c r="C5" s="118">
        <v>-0.058952122499999995</v>
      </c>
      <c r="D5" s="118">
        <v>-0.164267499</v>
      </c>
      <c r="E5" s="118">
        <v>-0.60130079</v>
      </c>
      <c r="F5" s="153">
        <v>-4.7313154</v>
      </c>
      <c r="G5" s="160">
        <v>-0.8397793731605344</v>
      </c>
    </row>
    <row r="6" spans="1:7" ht="12.75">
      <c r="A6" s="140" t="s">
        <v>95</v>
      </c>
      <c r="B6" s="134">
        <v>0.034176859999999996</v>
      </c>
      <c r="C6" s="118">
        <v>-0.32428497900000003</v>
      </c>
      <c r="D6" s="118">
        <v>-0.0474423</v>
      </c>
      <c r="E6" s="118">
        <v>-1.13153396</v>
      </c>
      <c r="F6" s="154">
        <v>0.66545599</v>
      </c>
      <c r="G6" s="160">
        <v>-0.2678912832033056</v>
      </c>
    </row>
    <row r="7" spans="1:7" ht="12.75">
      <c r="A7" s="140" t="s">
        <v>97</v>
      </c>
      <c r="B7" s="133">
        <v>3.2435547999999996</v>
      </c>
      <c r="C7" s="117">
        <v>4.780065800000001</v>
      </c>
      <c r="D7" s="117">
        <v>5.147323399999999</v>
      </c>
      <c r="E7" s="117">
        <v>4.0016827</v>
      </c>
      <c r="F7" s="155">
        <v>13.182988</v>
      </c>
      <c r="G7" s="160">
        <v>5.581812570431985</v>
      </c>
    </row>
    <row r="8" spans="1:7" ht="12.75">
      <c r="A8" s="140" t="s">
        <v>99</v>
      </c>
      <c r="B8" s="134">
        <v>0.0161713308</v>
      </c>
      <c r="C8" s="118">
        <v>-0.10867674999999999</v>
      </c>
      <c r="D8" s="118">
        <v>0.28272063000000003</v>
      </c>
      <c r="E8" s="118">
        <v>0.5967475299999999</v>
      </c>
      <c r="F8" s="154">
        <v>-0.092089732</v>
      </c>
      <c r="G8" s="160">
        <v>0.1755287275406426</v>
      </c>
    </row>
    <row r="9" spans="1:7" ht="12.75">
      <c r="A9" s="140" t="s">
        <v>101</v>
      </c>
      <c r="B9" s="134">
        <v>0.21526416999999998</v>
      </c>
      <c r="C9" s="118">
        <v>0.13646813100000002</v>
      </c>
      <c r="D9" s="118">
        <v>0.0196475218</v>
      </c>
      <c r="E9" s="118">
        <v>-0.16326312</v>
      </c>
      <c r="F9" s="154">
        <v>0.07624404999999998</v>
      </c>
      <c r="G9" s="160">
        <v>0.039567608425057466</v>
      </c>
    </row>
    <row r="10" spans="1:7" ht="12.75">
      <c r="A10" s="140" t="s">
        <v>103</v>
      </c>
      <c r="B10" s="134">
        <v>0.16539489000000002</v>
      </c>
      <c r="C10" s="118">
        <v>-0.041418895</v>
      </c>
      <c r="D10" s="118">
        <v>-0.0214220656</v>
      </c>
      <c r="E10" s="118">
        <v>0.076463303</v>
      </c>
      <c r="F10" s="154">
        <v>0.23928978</v>
      </c>
      <c r="G10" s="160">
        <v>0.05916451575238156</v>
      </c>
    </row>
    <row r="11" spans="1:7" ht="12.75">
      <c r="A11" s="140" t="s">
        <v>105</v>
      </c>
      <c r="B11" s="133">
        <v>-0.44000105000000006</v>
      </c>
      <c r="C11" s="117">
        <v>-0.044847308</v>
      </c>
      <c r="D11" s="117">
        <v>-0.059728625</v>
      </c>
      <c r="E11" s="117">
        <v>-0.16457059</v>
      </c>
      <c r="F11" s="156">
        <v>-0.39582663</v>
      </c>
      <c r="G11" s="160">
        <v>-0.1812556570196223</v>
      </c>
    </row>
    <row r="12" spans="1:7" ht="12.75">
      <c r="A12" s="140" t="s">
        <v>107</v>
      </c>
      <c r="B12" s="134">
        <v>-0.08023870899999999</v>
      </c>
      <c r="C12" s="118">
        <v>-0.04553447000000001</v>
      </c>
      <c r="D12" s="118">
        <v>0.06441809600000001</v>
      </c>
      <c r="E12" s="118">
        <v>-0.066667071</v>
      </c>
      <c r="F12" s="154">
        <v>0.02617717</v>
      </c>
      <c r="G12" s="160">
        <v>-0.01959960334180284</v>
      </c>
    </row>
    <row r="13" spans="1:7" ht="12.75">
      <c r="A13" s="140" t="s">
        <v>109</v>
      </c>
      <c r="B13" s="135">
        <v>0.20364404</v>
      </c>
      <c r="C13" s="118">
        <v>0.123023056</v>
      </c>
      <c r="D13" s="119">
        <v>0.16934115</v>
      </c>
      <c r="E13" s="119">
        <v>0.18910515</v>
      </c>
      <c r="F13" s="154">
        <v>0.13971161</v>
      </c>
      <c r="G13" s="161">
        <v>0.16395411823629127</v>
      </c>
    </row>
    <row r="14" spans="1:7" ht="12.75">
      <c r="A14" s="140" t="s">
        <v>111</v>
      </c>
      <c r="B14" s="134">
        <v>0.041158265</v>
      </c>
      <c r="C14" s="118">
        <v>0.07570962</v>
      </c>
      <c r="D14" s="118">
        <v>-0.0106895786</v>
      </c>
      <c r="E14" s="118">
        <v>0.061196922</v>
      </c>
      <c r="F14" s="154">
        <v>-0.045184353999999996</v>
      </c>
      <c r="G14" s="160">
        <v>0.030280981385213554</v>
      </c>
    </row>
    <row r="15" spans="1:7" ht="12.75">
      <c r="A15" s="140" t="s">
        <v>113</v>
      </c>
      <c r="B15" s="135">
        <v>-0.18724421000000002</v>
      </c>
      <c r="C15" s="119">
        <v>-0.17724572000000002</v>
      </c>
      <c r="D15" s="119">
        <v>-0.18861229999999998</v>
      </c>
      <c r="E15" s="119">
        <v>-0.17161316</v>
      </c>
      <c r="F15" s="154">
        <v>-0.1256721</v>
      </c>
      <c r="G15" s="160">
        <v>-0.17317886841054572</v>
      </c>
    </row>
    <row r="16" spans="1:7" ht="12.75">
      <c r="A16" s="140" t="s">
        <v>115</v>
      </c>
      <c r="B16" s="134">
        <v>0.0012582031</v>
      </c>
      <c r="C16" s="118">
        <v>-0.0023128705</v>
      </c>
      <c r="D16" s="118">
        <v>0.0078892085</v>
      </c>
      <c r="E16" s="118">
        <v>-0.00268405842</v>
      </c>
      <c r="F16" s="154">
        <v>0.0035710741000000005</v>
      </c>
      <c r="G16" s="160">
        <v>0.0013548276913189932</v>
      </c>
    </row>
    <row r="17" spans="1:7" ht="12.75">
      <c r="A17" s="140" t="s">
        <v>92</v>
      </c>
      <c r="B17" s="133">
        <v>-2.6597846</v>
      </c>
      <c r="C17" s="117">
        <v>0.15045034799999998</v>
      </c>
      <c r="D17" s="117">
        <v>0.45324406999999994</v>
      </c>
      <c r="E17" s="117">
        <v>0.9342667200000001</v>
      </c>
      <c r="F17" s="155">
        <v>10.506823999999998</v>
      </c>
      <c r="G17" s="160">
        <v>1.3895716623438732</v>
      </c>
    </row>
    <row r="18" spans="1:7" ht="12.75">
      <c r="A18" s="140" t="s">
        <v>94</v>
      </c>
      <c r="B18" s="134">
        <v>2.1389072</v>
      </c>
      <c r="C18" s="118">
        <v>0.9307175799999999</v>
      </c>
      <c r="D18" s="118">
        <v>1.0700925</v>
      </c>
      <c r="E18" s="118">
        <v>1.9725387</v>
      </c>
      <c r="F18" s="154">
        <v>-1.3305347099999998</v>
      </c>
      <c r="G18" s="160">
        <v>1.0874671035063832</v>
      </c>
    </row>
    <row r="19" spans="1:7" ht="12.75">
      <c r="A19" s="140" t="s">
        <v>96</v>
      </c>
      <c r="B19" s="135">
        <v>-3.1811272999999995</v>
      </c>
      <c r="C19" s="119">
        <v>-3.0877167</v>
      </c>
      <c r="D19" s="119">
        <v>-3.2490452</v>
      </c>
      <c r="E19" s="119">
        <v>-2.6692746</v>
      </c>
      <c r="F19" s="153">
        <v>-9.858489</v>
      </c>
      <c r="G19" s="161">
        <v>-3.9440452890355275</v>
      </c>
    </row>
    <row r="20" spans="1:7" ht="12.75">
      <c r="A20" s="140" t="s">
        <v>98</v>
      </c>
      <c r="B20" s="133">
        <v>0.6210290800000001</v>
      </c>
      <c r="C20" s="117">
        <v>0.62898038</v>
      </c>
      <c r="D20" s="117">
        <v>0.327862</v>
      </c>
      <c r="E20" s="117">
        <v>-0.24185850000000003</v>
      </c>
      <c r="F20" s="156">
        <v>1.2614737</v>
      </c>
      <c r="G20" s="160">
        <v>0.43031355278503175</v>
      </c>
    </row>
    <row r="21" spans="1:7" ht="12.75">
      <c r="A21" s="140" t="s">
        <v>100</v>
      </c>
      <c r="B21" s="134">
        <v>-0.24743516999999998</v>
      </c>
      <c r="C21" s="118">
        <v>-0.129506705</v>
      </c>
      <c r="D21" s="118">
        <v>0.141118766</v>
      </c>
      <c r="E21" s="118">
        <v>-0.011196629000000001</v>
      </c>
      <c r="F21" s="154">
        <v>0.42251557999999995</v>
      </c>
      <c r="G21" s="160">
        <v>0.020795745153148887</v>
      </c>
    </row>
    <row r="22" spans="1:7" ht="12.75">
      <c r="A22" s="140" t="s">
        <v>102</v>
      </c>
      <c r="B22" s="134">
        <v>-0.0054836234</v>
      </c>
      <c r="C22" s="118">
        <v>0.26544038000000003</v>
      </c>
      <c r="D22" s="118">
        <v>0.30353879</v>
      </c>
      <c r="E22" s="118">
        <v>0.38132020000000005</v>
      </c>
      <c r="F22" s="154">
        <v>-0.14971119</v>
      </c>
      <c r="G22" s="160">
        <v>0.2078625915130543</v>
      </c>
    </row>
    <row r="23" spans="1:7" ht="12.75">
      <c r="A23" s="140" t="s">
        <v>104</v>
      </c>
      <c r="B23" s="135">
        <v>0.41612976</v>
      </c>
      <c r="C23" s="118">
        <v>0.0249384541</v>
      </c>
      <c r="D23" s="118">
        <v>-0.014908332000000002</v>
      </c>
      <c r="E23" s="118">
        <v>-0.013619704</v>
      </c>
      <c r="F23" s="153">
        <v>0.46644765</v>
      </c>
      <c r="G23" s="160">
        <v>0.12160994159564352</v>
      </c>
    </row>
    <row r="24" spans="1:7" ht="12.75">
      <c r="A24" s="140" t="s">
        <v>106</v>
      </c>
      <c r="B24" s="133">
        <v>0.054455798</v>
      </c>
      <c r="C24" s="117">
        <v>0.033732775</v>
      </c>
      <c r="D24" s="117">
        <v>0.031794697</v>
      </c>
      <c r="E24" s="117">
        <v>0.12093419899999999</v>
      </c>
      <c r="F24" s="156">
        <v>0.19221077999999997</v>
      </c>
      <c r="G24" s="160">
        <v>0.07842426237226922</v>
      </c>
    </row>
    <row r="25" spans="1:7" ht="12.75">
      <c r="A25" s="140" t="s">
        <v>108</v>
      </c>
      <c r="B25" s="134">
        <v>-0.09364339599999999</v>
      </c>
      <c r="C25" s="118">
        <v>-0.025164775699999996</v>
      </c>
      <c r="D25" s="118">
        <v>-0.058449307000000006</v>
      </c>
      <c r="E25" s="118">
        <v>-0.13006762</v>
      </c>
      <c r="F25" s="154">
        <v>-0.021209065000000003</v>
      </c>
      <c r="G25" s="160">
        <v>-0.06778921515332986</v>
      </c>
    </row>
    <row r="26" spans="1:7" ht="12.75">
      <c r="A26" s="140" t="s">
        <v>110</v>
      </c>
      <c r="B26" s="134">
        <v>-0.088195905</v>
      </c>
      <c r="C26" s="118">
        <v>-0.10331713000000001</v>
      </c>
      <c r="D26" s="118">
        <v>0.068940957</v>
      </c>
      <c r="E26" s="118">
        <v>-0.080816273</v>
      </c>
      <c r="F26" s="154">
        <v>0.06155876899999999</v>
      </c>
      <c r="G26" s="160">
        <v>-0.032239733632981556</v>
      </c>
    </row>
    <row r="27" spans="1:7" ht="12.75">
      <c r="A27" s="140" t="s">
        <v>112</v>
      </c>
      <c r="B27" s="135">
        <v>0.21190929</v>
      </c>
      <c r="C27" s="119">
        <v>0.17331208</v>
      </c>
      <c r="D27" s="119">
        <v>0.19634058</v>
      </c>
      <c r="E27" s="119">
        <v>0.18995718</v>
      </c>
      <c r="F27" s="154">
        <v>0.14510324</v>
      </c>
      <c r="G27" s="161">
        <v>0.18466834310804414</v>
      </c>
    </row>
    <row r="28" spans="1:7" ht="12.75">
      <c r="A28" s="140" t="s">
        <v>114</v>
      </c>
      <c r="B28" s="134">
        <v>-0.0044469567900000005</v>
      </c>
      <c r="C28" s="118">
        <v>0.0035632789100000007</v>
      </c>
      <c r="D28" s="118">
        <v>0.00365403694</v>
      </c>
      <c r="E28" s="118">
        <v>0.00335027959</v>
      </c>
      <c r="F28" s="154">
        <v>-0.031940858999999995</v>
      </c>
      <c r="G28" s="160">
        <v>-0.0023680529348703867</v>
      </c>
    </row>
    <row r="29" spans="1:7" ht="13.5" thickBot="1">
      <c r="A29" s="141" t="s">
        <v>116</v>
      </c>
      <c r="B29" s="136">
        <v>-0.007815212299999999</v>
      </c>
      <c r="C29" s="120">
        <v>0.00098831392</v>
      </c>
      <c r="D29" s="120">
        <v>-0.0038692257019999994</v>
      </c>
      <c r="E29" s="120">
        <v>-0.0051646528999999995</v>
      </c>
      <c r="F29" s="157">
        <v>0.00147300957</v>
      </c>
      <c r="G29" s="162">
        <v>-0.0028689499872621427</v>
      </c>
    </row>
    <row r="30" spans="1:7" ht="13.5" thickTop="1">
      <c r="A30" s="142" t="s">
        <v>117</v>
      </c>
      <c r="B30" s="137">
        <v>-0.12342041004714174</v>
      </c>
      <c r="C30" s="126">
        <v>-0.16430300007321136</v>
      </c>
      <c r="D30" s="126">
        <v>-0.3243905913884371</v>
      </c>
      <c r="E30" s="126">
        <v>-0.5100420398587976</v>
      </c>
      <c r="F30" s="122">
        <v>-0.6388229845396758</v>
      </c>
      <c r="G30" s="163" t="s">
        <v>128</v>
      </c>
    </row>
    <row r="31" spans="1:7" ht="13.5" thickBot="1">
      <c r="A31" s="143" t="s">
        <v>118</v>
      </c>
      <c r="B31" s="132">
        <v>22.869874</v>
      </c>
      <c r="C31" s="123">
        <v>22.988892</v>
      </c>
      <c r="D31" s="123">
        <v>23.135377</v>
      </c>
      <c r="E31" s="123">
        <v>23.287965</v>
      </c>
      <c r="F31" s="124">
        <v>23.431397</v>
      </c>
      <c r="G31" s="165">
        <v>-210.2</v>
      </c>
    </row>
    <row r="32" spans="1:7" ht="15.75" thickBot="1" thickTop="1">
      <c r="A32" s="144" t="s">
        <v>119</v>
      </c>
      <c r="B32" s="138">
        <v>-0.31049999594688416</v>
      </c>
      <c r="C32" s="127">
        <v>0.15149999596178532</v>
      </c>
      <c r="D32" s="127">
        <v>-0.3930000066757202</v>
      </c>
      <c r="E32" s="127">
        <v>0.13200000673532486</v>
      </c>
      <c r="F32" s="125">
        <v>-0.19450000301003456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129</v>
      </c>
      <c r="B1" s="166" t="s">
        <v>130</v>
      </c>
      <c r="C1" s="166" t="s">
        <v>131</v>
      </c>
      <c r="D1" s="166" t="s">
        <v>132</v>
      </c>
      <c r="E1" s="166" t="s">
        <v>133</v>
      </c>
    </row>
    <row r="3" spans="1:7" ht="12.75">
      <c r="A3" s="166" t="s">
        <v>134</v>
      </c>
      <c r="B3" s="166" t="s">
        <v>84</v>
      </c>
      <c r="C3" s="166" t="s">
        <v>85</v>
      </c>
      <c r="D3" s="166" t="s">
        <v>86</v>
      </c>
      <c r="E3" s="166" t="s">
        <v>87</v>
      </c>
      <c r="F3" s="166" t="s">
        <v>88</v>
      </c>
      <c r="G3" s="166" t="s">
        <v>135</v>
      </c>
    </row>
    <row r="4" spans="1:7" ht="12.75">
      <c r="A4" s="166" t="s">
        <v>136</v>
      </c>
      <c r="B4" s="166">
        <v>0.00226</v>
      </c>
      <c r="C4" s="166">
        <v>0.003761</v>
      </c>
      <c r="D4" s="166">
        <v>0.003761</v>
      </c>
      <c r="E4" s="166">
        <v>0.003762</v>
      </c>
      <c r="F4" s="166">
        <v>0.002089</v>
      </c>
      <c r="G4" s="166">
        <v>0.011723</v>
      </c>
    </row>
    <row r="5" spans="1:7" ht="12.75">
      <c r="A5" s="166" t="s">
        <v>137</v>
      </c>
      <c r="B5" s="166">
        <v>3.787263</v>
      </c>
      <c r="C5" s="166">
        <v>3.182147</v>
      </c>
      <c r="D5" s="166">
        <v>0.135719</v>
      </c>
      <c r="E5" s="166">
        <v>-2.685863</v>
      </c>
      <c r="F5" s="166">
        <v>-5.296644</v>
      </c>
      <c r="G5" s="166">
        <v>-5.857245</v>
      </c>
    </row>
    <row r="6" spans="1:7" ht="12.75">
      <c r="A6" s="166" t="s">
        <v>138</v>
      </c>
      <c r="B6" s="167">
        <v>-211.3345</v>
      </c>
      <c r="C6" s="167">
        <v>-292.4189</v>
      </c>
      <c r="D6" s="167">
        <v>-3.962281</v>
      </c>
      <c r="E6" s="167">
        <v>-320.167</v>
      </c>
      <c r="F6" s="167">
        <v>-87.42539</v>
      </c>
      <c r="G6" s="167">
        <v>1239.008</v>
      </c>
    </row>
    <row r="7" spans="1:7" ht="12.75">
      <c r="A7" s="166" t="s">
        <v>139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91</v>
      </c>
      <c r="B8" s="167">
        <v>-0.5598593</v>
      </c>
      <c r="C8" s="167">
        <v>-0.9426691</v>
      </c>
      <c r="D8" s="167">
        <v>0.6300933</v>
      </c>
      <c r="E8" s="167">
        <v>1.223731</v>
      </c>
      <c r="F8" s="167">
        <v>-2.365012</v>
      </c>
      <c r="G8" s="167">
        <v>1.399491</v>
      </c>
    </row>
    <row r="9" spans="1:7" ht="12.75">
      <c r="A9" s="166" t="s">
        <v>93</v>
      </c>
      <c r="B9" s="167">
        <v>-0.05941257</v>
      </c>
      <c r="C9" s="167">
        <v>-0.1369064</v>
      </c>
      <c r="D9" s="167">
        <v>-0.1922703</v>
      </c>
      <c r="E9" s="167">
        <v>-0.5992892</v>
      </c>
      <c r="F9" s="167">
        <v>-4.629657</v>
      </c>
      <c r="G9" s="167">
        <v>0.8507164</v>
      </c>
    </row>
    <row r="10" spans="1:7" ht="12.75">
      <c r="A10" s="166" t="s">
        <v>140</v>
      </c>
      <c r="B10" s="167">
        <v>0.1323109</v>
      </c>
      <c r="C10" s="167">
        <v>0.001924469</v>
      </c>
      <c r="D10" s="167">
        <v>-0.5177833</v>
      </c>
      <c r="E10" s="167">
        <v>-0.9140626</v>
      </c>
      <c r="F10" s="167">
        <v>-0.3844718</v>
      </c>
      <c r="G10" s="167">
        <v>3.936139</v>
      </c>
    </row>
    <row r="11" spans="1:7" ht="12.75">
      <c r="A11" s="166" t="s">
        <v>97</v>
      </c>
      <c r="B11" s="167">
        <v>3.23053</v>
      </c>
      <c r="C11" s="167">
        <v>4.756483</v>
      </c>
      <c r="D11" s="167">
        <v>5.117653</v>
      </c>
      <c r="E11" s="167">
        <v>4.03991</v>
      </c>
      <c r="F11" s="167">
        <v>13.21458</v>
      </c>
      <c r="G11" s="167">
        <v>5.580617</v>
      </c>
    </row>
    <row r="12" spans="1:7" ht="12.75">
      <c r="A12" s="166" t="s">
        <v>99</v>
      </c>
      <c r="B12" s="167">
        <v>0.03125832</v>
      </c>
      <c r="C12" s="167">
        <v>-0.08548152</v>
      </c>
      <c r="D12" s="167">
        <v>0.2894695</v>
      </c>
      <c r="E12" s="167">
        <v>0.5770073</v>
      </c>
      <c r="F12" s="167">
        <v>-0.07564287</v>
      </c>
      <c r="G12" s="167">
        <v>0.02247348</v>
      </c>
    </row>
    <row r="13" spans="1:7" ht="12.75">
      <c r="A13" s="166" t="s">
        <v>101</v>
      </c>
      <c r="B13" s="167">
        <v>0.2093432</v>
      </c>
      <c r="C13" s="167">
        <v>0.1278913</v>
      </c>
      <c r="D13" s="167">
        <v>0.02086448</v>
      </c>
      <c r="E13" s="167">
        <v>-0.1459795</v>
      </c>
      <c r="F13" s="167">
        <v>0.03153836</v>
      </c>
      <c r="G13" s="167">
        <v>-0.03511095</v>
      </c>
    </row>
    <row r="14" spans="1:7" ht="12.75">
      <c r="A14" s="166" t="s">
        <v>103</v>
      </c>
      <c r="B14" s="167">
        <v>0.1362059</v>
      </c>
      <c r="C14" s="167">
        <v>-0.04657969</v>
      </c>
      <c r="D14" s="167">
        <v>-0.0105045</v>
      </c>
      <c r="E14" s="167">
        <v>0.05325859</v>
      </c>
      <c r="F14" s="167">
        <v>0.2929046</v>
      </c>
      <c r="G14" s="167">
        <v>-0.1169314</v>
      </c>
    </row>
    <row r="15" spans="1:7" ht="12.75">
      <c r="A15" s="166" t="s">
        <v>105</v>
      </c>
      <c r="B15" s="167">
        <v>-0.4429602</v>
      </c>
      <c r="C15" s="167">
        <v>-0.05269877</v>
      </c>
      <c r="D15" s="167">
        <v>-0.07221993</v>
      </c>
      <c r="E15" s="167">
        <v>-0.16464</v>
      </c>
      <c r="F15" s="167">
        <v>-0.390308</v>
      </c>
      <c r="G15" s="167">
        <v>-0.185864</v>
      </c>
    </row>
    <row r="16" spans="1:7" ht="12.75">
      <c r="A16" s="166" t="s">
        <v>107</v>
      </c>
      <c r="B16" s="167">
        <v>-0.07164054</v>
      </c>
      <c r="C16" s="167">
        <v>-0.03441333</v>
      </c>
      <c r="D16" s="167">
        <v>0.02914916</v>
      </c>
      <c r="E16" s="167">
        <v>-0.04438808</v>
      </c>
      <c r="F16" s="167">
        <v>0.002836312</v>
      </c>
      <c r="G16" s="167">
        <v>-0.07705</v>
      </c>
    </row>
    <row r="17" spans="1:7" ht="12.75">
      <c r="A17" s="166" t="s">
        <v>141</v>
      </c>
      <c r="B17" s="167">
        <v>0.2006618</v>
      </c>
      <c r="C17" s="167">
        <v>0.1445683</v>
      </c>
      <c r="D17" s="167">
        <v>0.1779612</v>
      </c>
      <c r="E17" s="167">
        <v>0.1877192</v>
      </c>
      <c r="F17" s="167">
        <v>0.140992</v>
      </c>
      <c r="G17" s="167">
        <v>-0.1706208</v>
      </c>
    </row>
    <row r="18" spans="1:7" ht="12.75">
      <c r="A18" s="166" t="s">
        <v>142</v>
      </c>
      <c r="B18" s="167">
        <v>0.02879544</v>
      </c>
      <c r="C18" s="167">
        <v>0.06079661</v>
      </c>
      <c r="D18" s="167">
        <v>0.003656998</v>
      </c>
      <c r="E18" s="167">
        <v>0.05936634</v>
      </c>
      <c r="F18" s="167">
        <v>-0.02843097</v>
      </c>
      <c r="G18" s="167">
        <v>-0.1857683</v>
      </c>
    </row>
    <row r="19" spans="1:7" ht="12.75">
      <c r="A19" s="166" t="s">
        <v>113</v>
      </c>
      <c r="B19" s="167">
        <v>-0.1867726</v>
      </c>
      <c r="C19" s="167">
        <v>-0.1774109</v>
      </c>
      <c r="D19" s="167">
        <v>-0.1889276</v>
      </c>
      <c r="E19" s="167">
        <v>-0.1713728</v>
      </c>
      <c r="F19" s="167">
        <v>-0.127782</v>
      </c>
      <c r="G19" s="167">
        <v>-0.1734494</v>
      </c>
    </row>
    <row r="20" spans="1:7" ht="12.75">
      <c r="A20" s="166" t="s">
        <v>115</v>
      </c>
      <c r="B20" s="167">
        <v>0.001939622</v>
      </c>
      <c r="C20" s="167">
        <v>-0.002197792</v>
      </c>
      <c r="D20" s="167">
        <v>0.008205532</v>
      </c>
      <c r="E20" s="167">
        <v>-0.00271892</v>
      </c>
      <c r="F20" s="167">
        <v>0.003774022</v>
      </c>
      <c r="G20" s="167">
        <v>-0.00287364</v>
      </c>
    </row>
    <row r="21" spans="1:7" ht="12.75">
      <c r="A21" s="166" t="s">
        <v>143</v>
      </c>
      <c r="B21" s="167">
        <v>-1273.295</v>
      </c>
      <c r="C21" s="167">
        <v>-1197.359</v>
      </c>
      <c r="D21" s="167">
        <v>-1205.348</v>
      </c>
      <c r="E21" s="167">
        <v>-1271.958</v>
      </c>
      <c r="F21" s="167">
        <v>-1278.149</v>
      </c>
      <c r="G21" s="167">
        <v>-190.5696</v>
      </c>
    </row>
    <row r="22" spans="1:7" ht="12.75">
      <c r="A22" s="166" t="s">
        <v>144</v>
      </c>
      <c r="B22" s="167">
        <v>75.74671</v>
      </c>
      <c r="C22" s="167">
        <v>63.6438</v>
      </c>
      <c r="D22" s="167">
        <v>2.714389</v>
      </c>
      <c r="E22" s="167">
        <v>-53.71778</v>
      </c>
      <c r="F22" s="167">
        <v>-105.9368</v>
      </c>
      <c r="G22" s="167">
        <v>0</v>
      </c>
    </row>
    <row r="23" spans="1:7" ht="12.75">
      <c r="A23" s="166" t="s">
        <v>92</v>
      </c>
      <c r="B23" s="167">
        <v>-2.646527</v>
      </c>
      <c r="C23" s="167">
        <v>0.1738853</v>
      </c>
      <c r="D23" s="167">
        <v>0.3886865</v>
      </c>
      <c r="E23" s="167">
        <v>0.9902028</v>
      </c>
      <c r="F23" s="167">
        <v>10.53911</v>
      </c>
      <c r="G23" s="167">
        <v>0.1776527</v>
      </c>
    </row>
    <row r="24" spans="1:7" ht="12.75">
      <c r="A24" s="166" t="s">
        <v>94</v>
      </c>
      <c r="B24" s="167">
        <v>2.097734</v>
      </c>
      <c r="C24" s="167">
        <v>0.7942191</v>
      </c>
      <c r="D24" s="167">
        <v>1.318523</v>
      </c>
      <c r="E24" s="167">
        <v>1.833561</v>
      </c>
      <c r="F24" s="167">
        <v>-0.764555</v>
      </c>
      <c r="G24" s="167">
        <v>-1.150576</v>
      </c>
    </row>
    <row r="25" spans="1:7" ht="12.75">
      <c r="A25" s="166" t="s">
        <v>96</v>
      </c>
      <c r="B25" s="167">
        <v>-3.112632</v>
      </c>
      <c r="C25" s="167">
        <v>-3.157278</v>
      </c>
      <c r="D25" s="167">
        <v>-3.364824</v>
      </c>
      <c r="E25" s="167">
        <v>-2.604021</v>
      </c>
      <c r="F25" s="167">
        <v>-9.656619</v>
      </c>
      <c r="G25" s="167">
        <v>-0.3761855</v>
      </c>
    </row>
    <row r="26" spans="1:7" ht="12.75">
      <c r="A26" s="166" t="s">
        <v>98</v>
      </c>
      <c r="B26" s="167">
        <v>0.6845671</v>
      </c>
      <c r="C26" s="167">
        <v>0.7108059</v>
      </c>
      <c r="D26" s="167">
        <v>0.3092384</v>
      </c>
      <c r="E26" s="167">
        <v>-0.2982766</v>
      </c>
      <c r="F26" s="167">
        <v>0.8055606</v>
      </c>
      <c r="G26" s="167">
        <v>0.3804942</v>
      </c>
    </row>
    <row r="27" spans="1:7" ht="12.75">
      <c r="A27" s="166" t="s">
        <v>100</v>
      </c>
      <c r="B27" s="167">
        <v>-0.2413877</v>
      </c>
      <c r="C27" s="167">
        <v>-0.1157388</v>
      </c>
      <c r="D27" s="167">
        <v>0.1022727</v>
      </c>
      <c r="E27" s="167">
        <v>0.006179656</v>
      </c>
      <c r="F27" s="167">
        <v>0.4422595</v>
      </c>
      <c r="G27" s="167">
        <v>-0.1823582</v>
      </c>
    </row>
    <row r="28" spans="1:7" ht="12.75">
      <c r="A28" s="166" t="s">
        <v>102</v>
      </c>
      <c r="B28" s="167">
        <v>0.01711468</v>
      </c>
      <c r="C28" s="167">
        <v>0.2748018</v>
      </c>
      <c r="D28" s="167">
        <v>0.3089247</v>
      </c>
      <c r="E28" s="167">
        <v>0.3875103</v>
      </c>
      <c r="F28" s="167">
        <v>-0.1842866</v>
      </c>
      <c r="G28" s="167">
        <v>-0.2115466</v>
      </c>
    </row>
    <row r="29" spans="1:7" ht="12.75">
      <c r="A29" s="166" t="s">
        <v>104</v>
      </c>
      <c r="B29" s="167">
        <v>0.4096291</v>
      </c>
      <c r="C29" s="167">
        <v>0.02982654</v>
      </c>
      <c r="D29" s="167">
        <v>-0.01806302</v>
      </c>
      <c r="E29" s="167">
        <v>-0.005785343</v>
      </c>
      <c r="F29" s="167">
        <v>0.4211952</v>
      </c>
      <c r="G29" s="167">
        <v>0.05790307</v>
      </c>
    </row>
    <row r="30" spans="1:7" ht="12.75">
      <c r="A30" s="166" t="s">
        <v>106</v>
      </c>
      <c r="B30" s="167">
        <v>0.03496834</v>
      </c>
      <c r="C30" s="167">
        <v>0.03144703</v>
      </c>
      <c r="D30" s="167">
        <v>0.04332121</v>
      </c>
      <c r="E30" s="167">
        <v>0.108514</v>
      </c>
      <c r="F30" s="167">
        <v>0.2173654</v>
      </c>
      <c r="G30" s="167">
        <v>0.07818874</v>
      </c>
    </row>
    <row r="31" spans="1:7" ht="12.75">
      <c r="A31" s="166" t="s">
        <v>108</v>
      </c>
      <c r="B31" s="167">
        <v>-0.0942458</v>
      </c>
      <c r="C31" s="167">
        <v>-0.04416908</v>
      </c>
      <c r="D31" s="167">
        <v>-0.07530968</v>
      </c>
      <c r="E31" s="167">
        <v>-0.1305883</v>
      </c>
      <c r="F31" s="167">
        <v>-0.02434049</v>
      </c>
      <c r="G31" s="167">
        <v>0.02191613</v>
      </c>
    </row>
    <row r="32" spans="1:7" ht="12.75">
      <c r="A32" s="166" t="s">
        <v>110</v>
      </c>
      <c r="B32" s="167">
        <v>-0.07212942</v>
      </c>
      <c r="C32" s="167">
        <v>-0.07938705</v>
      </c>
      <c r="D32" s="167">
        <v>0.02414463</v>
      </c>
      <c r="E32" s="167">
        <v>-0.0577221</v>
      </c>
      <c r="F32" s="167">
        <v>0.02902042</v>
      </c>
      <c r="G32" s="167">
        <v>0.03370968</v>
      </c>
    </row>
    <row r="33" spans="1:7" ht="12.75">
      <c r="A33" s="166" t="s">
        <v>112</v>
      </c>
      <c r="B33" s="167">
        <v>0.2113109</v>
      </c>
      <c r="C33" s="167">
        <v>0.179237</v>
      </c>
      <c r="D33" s="167">
        <v>0.1987234</v>
      </c>
      <c r="E33" s="167">
        <v>0.1856974</v>
      </c>
      <c r="F33" s="167">
        <v>0.1466763</v>
      </c>
      <c r="G33" s="167">
        <v>0.0301347</v>
      </c>
    </row>
    <row r="34" spans="1:7" ht="12.75">
      <c r="A34" s="166" t="s">
        <v>114</v>
      </c>
      <c r="B34" s="167">
        <v>-0.0143666</v>
      </c>
      <c r="C34" s="167">
        <v>-0.004340268</v>
      </c>
      <c r="D34" s="167">
        <v>0.003322908</v>
      </c>
      <c r="E34" s="167">
        <v>0.009757739</v>
      </c>
      <c r="F34" s="167">
        <v>-0.02255121</v>
      </c>
      <c r="G34" s="167">
        <v>-0.00300725</v>
      </c>
    </row>
    <row r="35" spans="1:7" ht="12.75">
      <c r="A35" s="166" t="s">
        <v>116</v>
      </c>
      <c r="B35" s="167">
        <v>-0.007710431</v>
      </c>
      <c r="C35" s="167">
        <v>0.0008906745</v>
      </c>
      <c r="D35" s="167">
        <v>-0.003827058</v>
      </c>
      <c r="E35" s="167">
        <v>-0.005037226</v>
      </c>
      <c r="F35" s="167">
        <v>0.001192888</v>
      </c>
      <c r="G35" s="167">
        <v>-0.001576254</v>
      </c>
    </row>
    <row r="36" spans="1:6" ht="12.75">
      <c r="A36" s="166" t="s">
        <v>145</v>
      </c>
      <c r="B36" s="167">
        <v>23.4314</v>
      </c>
      <c r="C36" s="167">
        <v>23.4314</v>
      </c>
      <c r="D36" s="167">
        <v>23.4375</v>
      </c>
      <c r="E36" s="167">
        <v>23.4375</v>
      </c>
      <c r="F36" s="167">
        <v>23.44055</v>
      </c>
    </row>
    <row r="37" spans="1:6" ht="12.75">
      <c r="A37" s="166" t="s">
        <v>146</v>
      </c>
      <c r="B37" s="167">
        <v>-0.2120972</v>
      </c>
      <c r="C37" s="167">
        <v>-0.163269</v>
      </c>
      <c r="D37" s="167">
        <v>-0.1586914</v>
      </c>
      <c r="E37" s="167">
        <v>-0.07273356</v>
      </c>
      <c r="F37" s="167">
        <v>-0.05645752</v>
      </c>
    </row>
    <row r="38" spans="1:7" ht="12.75">
      <c r="A38" s="166" t="s">
        <v>147</v>
      </c>
      <c r="B38" s="167">
        <v>0.0003756432</v>
      </c>
      <c r="C38" s="167">
        <v>0.0005100462</v>
      </c>
      <c r="D38" s="167">
        <v>0</v>
      </c>
      <c r="E38" s="167">
        <v>0.000532653</v>
      </c>
      <c r="F38" s="167">
        <v>0.0001255905</v>
      </c>
      <c r="G38" s="167">
        <v>0.000155814</v>
      </c>
    </row>
    <row r="39" spans="1:7" ht="12.75">
      <c r="A39" s="166" t="s">
        <v>148</v>
      </c>
      <c r="B39" s="167">
        <v>0.002161757</v>
      </c>
      <c r="C39" s="167">
        <v>0.002032265</v>
      </c>
      <c r="D39" s="167">
        <v>0.00204909</v>
      </c>
      <c r="E39" s="167">
        <v>0.00216519</v>
      </c>
      <c r="F39" s="167">
        <v>0.002174184</v>
      </c>
      <c r="G39" s="167">
        <v>0.001054063</v>
      </c>
    </row>
    <row r="40" spans="2:5" ht="12.75">
      <c r="B40" s="166" t="s">
        <v>149</v>
      </c>
      <c r="C40" s="166">
        <v>0.003761</v>
      </c>
      <c r="D40" s="166" t="s">
        <v>150</v>
      </c>
      <c r="E40" s="166">
        <v>3.116633</v>
      </c>
    </row>
    <row r="42" ht="12.75">
      <c r="A42" s="166" t="s">
        <v>151</v>
      </c>
    </row>
    <row r="50" spans="1:7" ht="12.75">
      <c r="A50" s="166" t="s">
        <v>152</v>
      </c>
      <c r="B50" s="166">
        <f>-0.017/(B7*B7+B22*B22)*(B21*B22+B6*B7)</f>
        <v>0.00037564324143693256</v>
      </c>
      <c r="C50" s="166">
        <f>-0.017/(C7*C7+C22*C22)*(C21*C22+C6*C7)</f>
        <v>0.0005100462314507737</v>
      </c>
      <c r="D50" s="166">
        <f>-0.017/(D7*D7+D22*D22)*(D21*D22+D6*D7)</f>
        <v>7.2920803326294965E-06</v>
      </c>
      <c r="E50" s="166">
        <f>-0.017/(E7*E7+E22*E22)*(E21*E22+E6*E7)</f>
        <v>0.0005326529805639379</v>
      </c>
      <c r="F50" s="166">
        <f>-0.017/(F7*F7+F22*F22)*(F21*F22+F6*F7)</f>
        <v>0.00012559055592010148</v>
      </c>
      <c r="G50" s="166">
        <f>(B50*B$4+C50*C$4+D50*D$4+E50*E$4+F50*F$4)/SUM(B$4:F$4)</f>
        <v>0.0003237294377575304</v>
      </c>
    </row>
    <row r="51" spans="1:7" ht="12.75">
      <c r="A51" s="166" t="s">
        <v>153</v>
      </c>
      <c r="B51" s="166">
        <f>-0.017/(B7*B7+B22*B22)*(B21*B7-B6*B22)</f>
        <v>0.002161756126032742</v>
      </c>
      <c r="C51" s="166">
        <f>-0.017/(C7*C7+C22*C22)*(C21*C7-C6*C22)</f>
        <v>0.0020322641719654794</v>
      </c>
      <c r="D51" s="166">
        <f>-0.017/(D7*D7+D22*D22)*(D21*D7-D6*D22)</f>
        <v>0.002049089620645736</v>
      </c>
      <c r="E51" s="166">
        <f>-0.017/(E7*E7+E22*E22)*(E21*E7-E6*E22)</f>
        <v>0.0021651898935626276</v>
      </c>
      <c r="F51" s="166">
        <f>-0.017/(F7*F7+F22*F22)*(F21*F7-F6*F22)</f>
        <v>0.00217418376616044</v>
      </c>
      <c r="G51" s="166">
        <f>(B51*B$4+C51*C$4+D51*D$4+E51*E$4+F51*F$4)/SUM(B$4:F$4)</f>
        <v>0.0021059844384274636</v>
      </c>
    </row>
    <row r="58" ht="12.75">
      <c r="A58" s="166" t="s">
        <v>155</v>
      </c>
    </row>
    <row r="60" spans="2:6" ht="12.75">
      <c r="B60" s="166" t="s">
        <v>84</v>
      </c>
      <c r="C60" s="166" t="s">
        <v>85</v>
      </c>
      <c r="D60" s="166" t="s">
        <v>86</v>
      </c>
      <c r="E60" s="166" t="s">
        <v>87</v>
      </c>
      <c r="F60" s="166" t="s">
        <v>88</v>
      </c>
    </row>
    <row r="61" spans="1:6" ht="12.75">
      <c r="A61" s="166" t="s">
        <v>157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160</v>
      </c>
      <c r="B62" s="166">
        <f>B7+(2/0.017)*(B8*B50-B23*B51)</f>
        <v>10000.64833395209</v>
      </c>
      <c r="C62" s="166">
        <f>C7+(2/0.017)*(C8*C50-C23*C51)</f>
        <v>9999.90186050739</v>
      </c>
      <c r="D62" s="166">
        <f>D7+(2/0.017)*(D8*D50-D23*D51)</f>
        <v>9999.906840143309</v>
      </c>
      <c r="E62" s="166">
        <f>E7+(2/0.017)*(E8*E50-E23*E51)</f>
        <v>9999.824452572873</v>
      </c>
      <c r="F62" s="166">
        <f>F7+(2/0.017)*(F8*F50-F23*F51)</f>
        <v>9997.269295877222</v>
      </c>
    </row>
    <row r="63" spans="1:6" ht="12.75">
      <c r="A63" s="166" t="s">
        <v>161</v>
      </c>
      <c r="B63" s="166">
        <f>B8+(3/0.017)*(B9*B50-B24*B51)</f>
        <v>-1.3640546980583648</v>
      </c>
      <c r="C63" s="166">
        <f>C8+(3/0.017)*(C9*C50-C24*C51)</f>
        <v>-1.2398264438239108</v>
      </c>
      <c r="D63" s="166">
        <f>D8+(3/0.017)*(D9*D50-D24*D51)</f>
        <v>0.15306262158426065</v>
      </c>
      <c r="E63" s="166">
        <f>E8+(3/0.017)*(E9*E50-E24*E51)</f>
        <v>0.46680966028875936</v>
      </c>
      <c r="F63" s="166">
        <f>F8+(3/0.017)*(F9*F50-F24*F51)</f>
        <v>-2.1742751988845757</v>
      </c>
    </row>
    <row r="64" spans="1:6" ht="12.75">
      <c r="A64" s="166" t="s">
        <v>162</v>
      </c>
      <c r="B64" s="166">
        <f>B9+(4/0.017)*(B10*B50-B25*B51)</f>
        <v>1.5355175451621137</v>
      </c>
      <c r="C64" s="166">
        <f>C9+(4/0.017)*(C10*C50-C25*C51)</f>
        <v>1.373071136116663</v>
      </c>
      <c r="D64" s="166">
        <f>D9+(4/0.017)*(D10*D50-D25*D51)</f>
        <v>1.4291532803014526</v>
      </c>
      <c r="E64" s="166">
        <f>E9+(4/0.017)*(E10*E50-E25*E51)</f>
        <v>0.6127865137677234</v>
      </c>
      <c r="F64" s="166">
        <f>F9+(4/0.017)*(F10*F50-F25*F51)</f>
        <v>0.2990437620467894</v>
      </c>
    </row>
    <row r="65" spans="1:6" ht="12.75">
      <c r="A65" s="166" t="s">
        <v>163</v>
      </c>
      <c r="B65" s="166">
        <f>B10+(5/0.017)*(B11*B50-B26*B51)</f>
        <v>0.053975499604054414</v>
      </c>
      <c r="C65" s="166">
        <f>C10+(5/0.017)*(C11*C50-C26*C51)</f>
        <v>0.2905953117405862</v>
      </c>
      <c r="D65" s="166">
        <f>D10+(5/0.017)*(D11*D50-D26*D51)</f>
        <v>-0.6931770820454622</v>
      </c>
      <c r="E65" s="166">
        <f>E10+(5/0.017)*(E11*E50-E26*E51)</f>
        <v>-0.09121095808344681</v>
      </c>
      <c r="F65" s="166">
        <f>F10+(5/0.017)*(F11*F50-F26*F51)</f>
        <v>-0.41147483844935556</v>
      </c>
    </row>
    <row r="66" spans="1:6" ht="12.75">
      <c r="A66" s="166" t="s">
        <v>164</v>
      </c>
      <c r="B66" s="166">
        <f>B11+(6/0.017)*(B12*B50-B27*B51)</f>
        <v>3.418846464424927</v>
      </c>
      <c r="C66" s="166">
        <f>C11+(6/0.017)*(C12*C50-C27*C51)</f>
        <v>4.824110866851151</v>
      </c>
      <c r="D66" s="166">
        <f>D11+(6/0.017)*(D12*D50-D27*D51)</f>
        <v>5.044433555342034</v>
      </c>
      <c r="E66" s="166">
        <f>E11+(6/0.017)*(E12*E50-E27*E51)</f>
        <v>4.143662186859502</v>
      </c>
      <c r="F66" s="166">
        <f>F11+(6/0.017)*(F12*F50-F27*F51)</f>
        <v>12.871855251026497</v>
      </c>
    </row>
    <row r="67" spans="1:6" ht="12.75">
      <c r="A67" s="166" t="s">
        <v>165</v>
      </c>
      <c r="B67" s="166">
        <f>B12+(7/0.017)*(B13*B50-B28*B51)</f>
        <v>0.04840444689410765</v>
      </c>
      <c r="C67" s="166">
        <f>C12+(7/0.017)*(C13*C50-C28*C51)</f>
        <v>-0.2885800869717047</v>
      </c>
      <c r="D67" s="166">
        <f>D12+(7/0.017)*(D13*D50-D28*D51)</f>
        <v>0.028879161407772136</v>
      </c>
      <c r="E67" s="166">
        <f>E12+(7/0.017)*(E13*E50-E28*E51)</f>
        <v>0.1995056172403773</v>
      </c>
      <c r="F67" s="166">
        <f>F12+(7/0.017)*(F13*F50-F28*F51)</f>
        <v>0.0909710699672221</v>
      </c>
    </row>
    <row r="68" spans="1:6" ht="12.75">
      <c r="A68" s="166" t="s">
        <v>166</v>
      </c>
      <c r="B68" s="166">
        <f>B13+(8/0.017)*(B14*B50-B29*B51)</f>
        <v>-0.18329368966938542</v>
      </c>
      <c r="C68" s="166">
        <f>C13+(8/0.017)*(C14*C50-C29*C51)</f>
        <v>0.08818626284125153</v>
      </c>
      <c r="D68" s="166">
        <f>D13+(8/0.017)*(D14*D50-D29*D51)</f>
        <v>0.0382461963019587</v>
      </c>
      <c r="E68" s="166">
        <f>E13+(8/0.017)*(E14*E50-E29*E51)</f>
        <v>-0.12673492922422305</v>
      </c>
      <c r="F68" s="166">
        <f>F13+(8/0.017)*(F14*F50-F29*F51)</f>
        <v>-0.3820944469078328</v>
      </c>
    </row>
    <row r="69" spans="1:6" ht="12.75">
      <c r="A69" s="166" t="s">
        <v>167</v>
      </c>
      <c r="B69" s="166">
        <f>B14+(9/0.017)*(B15*B50-B30*B51)</f>
        <v>0.008094590758251197</v>
      </c>
      <c r="C69" s="166">
        <f>C14+(9/0.017)*(C15*C50-C30*C51)</f>
        <v>-0.09464365075404896</v>
      </c>
      <c r="D69" s="166">
        <f>D14+(9/0.017)*(D15*D50-D30*D51)</f>
        <v>-0.057778681039054126</v>
      </c>
      <c r="E69" s="166">
        <f>E14+(9/0.017)*(E15*E50-E30*E51)</f>
        <v>-0.11755579973358327</v>
      </c>
      <c r="F69" s="166">
        <f>F14+(9/0.017)*(F15*F50-F30*F51)</f>
        <v>0.0167574291561588</v>
      </c>
    </row>
    <row r="70" spans="1:6" ht="12.75">
      <c r="A70" s="166" t="s">
        <v>168</v>
      </c>
      <c r="B70" s="166">
        <f>B15+(10/0.017)*(B16*B50-B31*B51)</f>
        <v>-0.33894540538884455</v>
      </c>
      <c r="C70" s="166">
        <f>C15+(10/0.017)*(C16*C50-C31*C51)</f>
        <v>-0.010221799697349904</v>
      </c>
      <c r="D70" s="166">
        <f>D15+(10/0.017)*(D16*D50-D31*D51)</f>
        <v>0.018679388610882613</v>
      </c>
      <c r="E70" s="166">
        <f>E15+(10/0.017)*(E16*E50-E31*E51)</f>
        <v>-0.012225279844697678</v>
      </c>
      <c r="F70" s="166">
        <f>F15+(10/0.017)*(F16*F50-F31*F51)</f>
        <v>-0.35896863987103916</v>
      </c>
    </row>
    <row r="71" spans="1:6" ht="12.75">
      <c r="A71" s="166" t="s">
        <v>169</v>
      </c>
      <c r="B71" s="166">
        <f>B16+(11/0.017)*(B17*B50-B32*B51)</f>
        <v>0.07802640764143168</v>
      </c>
      <c r="C71" s="166">
        <f>C16+(11/0.017)*(C17*C50-C32*C51)</f>
        <v>0.11769206496400275</v>
      </c>
      <c r="D71" s="166">
        <f>D16+(11/0.017)*(D17*D50-D32*D51)</f>
        <v>-0.0020240657040732635</v>
      </c>
      <c r="E71" s="166">
        <f>E16+(11/0.017)*(E17*E50-E32*E51)</f>
        <v>0.10117977225806957</v>
      </c>
      <c r="F71" s="166">
        <f>F16+(11/0.017)*(F17*F50-F32*F51)</f>
        <v>-0.026532693076445815</v>
      </c>
    </row>
    <row r="72" spans="1:6" ht="12.75">
      <c r="A72" s="166" t="s">
        <v>170</v>
      </c>
      <c r="B72" s="166">
        <f>B17+(12/0.017)*(B18*B50-B33*B51)</f>
        <v>-0.11415172010749841</v>
      </c>
      <c r="C72" s="166">
        <f>C17+(12/0.017)*(C18*C50-C33*C51)</f>
        <v>-0.09066547758241944</v>
      </c>
      <c r="D72" s="166">
        <f>D17+(12/0.017)*(D18*D50-D33*D51)</f>
        <v>-0.10945672178558011</v>
      </c>
      <c r="E72" s="166">
        <f>E17+(12/0.017)*(E18*E50-E33*E51)</f>
        <v>-0.07377384173742438</v>
      </c>
      <c r="F72" s="166">
        <f>F17+(12/0.017)*(F18*F50-F33*F51)</f>
        <v>-0.08663521764808912</v>
      </c>
    </row>
    <row r="73" spans="1:6" ht="12.75">
      <c r="A73" s="166" t="s">
        <v>171</v>
      </c>
      <c r="B73" s="166">
        <f>B18+(13/0.017)*(B19*B50-B34*B51)</f>
        <v>-0.001106685358790667</v>
      </c>
      <c r="C73" s="166">
        <f>C18+(13/0.017)*(C19*C50-C34*C51)</f>
        <v>-0.001654770443064911</v>
      </c>
      <c r="D73" s="166">
        <f>D18+(13/0.017)*(D19*D50-D34*D51)</f>
        <v>-0.0026033519930794375</v>
      </c>
      <c r="E73" s="166">
        <f>E18+(13/0.017)*(E19*E50-E34*E51)</f>
        <v>-0.026593935145136686</v>
      </c>
      <c r="F73" s="166">
        <f>F18+(13/0.017)*(F19*F50-F34*F51)</f>
        <v>-0.0032092400267645094</v>
      </c>
    </row>
    <row r="74" spans="1:6" ht="12.75">
      <c r="A74" s="166" t="s">
        <v>172</v>
      </c>
      <c r="B74" s="166">
        <f>B19+(14/0.017)*(B20*B50-B35*B51)</f>
        <v>-0.17244592454036284</v>
      </c>
      <c r="C74" s="166">
        <f>C19+(14/0.017)*(C20*C50-C35*C51)</f>
        <v>-0.1798247152725202</v>
      </c>
      <c r="D74" s="166">
        <f>D19+(14/0.017)*(D20*D50-D35*D51)</f>
        <v>-0.18242021863912045</v>
      </c>
      <c r="E74" s="166">
        <f>E19+(14/0.017)*(E20*E50-E35*E51)</f>
        <v>-0.16358360354186682</v>
      </c>
      <c r="F74" s="166">
        <f>F19+(14/0.017)*(F20*F50-F35*F51)</f>
        <v>-0.1295275333439871</v>
      </c>
    </row>
    <row r="75" spans="1:6" ht="12.75">
      <c r="A75" s="166" t="s">
        <v>173</v>
      </c>
      <c r="B75" s="167">
        <f>B20</f>
        <v>0.001939622</v>
      </c>
      <c r="C75" s="167">
        <f>C20</f>
        <v>-0.002197792</v>
      </c>
      <c r="D75" s="167">
        <f>D20</f>
        <v>0.008205532</v>
      </c>
      <c r="E75" s="167">
        <f>E20</f>
        <v>-0.00271892</v>
      </c>
      <c r="F75" s="167">
        <f>F20</f>
        <v>0.003774022</v>
      </c>
    </row>
    <row r="78" ht="12.75">
      <c r="A78" s="166" t="s">
        <v>155</v>
      </c>
    </row>
    <row r="80" spans="2:6" ht="12.75">
      <c r="B80" s="166" t="s">
        <v>84</v>
      </c>
      <c r="C80" s="166" t="s">
        <v>85</v>
      </c>
      <c r="D80" s="166" t="s">
        <v>86</v>
      </c>
      <c r="E80" s="166" t="s">
        <v>87</v>
      </c>
      <c r="F80" s="166" t="s">
        <v>88</v>
      </c>
    </row>
    <row r="81" spans="1:6" ht="12.75">
      <c r="A81" s="166" t="s">
        <v>174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175</v>
      </c>
      <c r="B82" s="166">
        <f>B22+(2/0.017)*(B8*B51+B23*B50)</f>
        <v>75.48736538207979</v>
      </c>
      <c r="C82" s="166">
        <f>C22+(2/0.017)*(C8*C51+C23*C50)</f>
        <v>63.42885140047303</v>
      </c>
      <c r="D82" s="166">
        <f>D22+(2/0.017)*(D8*D51+D23*D50)</f>
        <v>2.8666186440294856</v>
      </c>
      <c r="E82" s="166">
        <f>E22+(2/0.017)*(E8*E51+E23*E50)</f>
        <v>-53.344010062773876</v>
      </c>
      <c r="F82" s="166">
        <f>F22+(2/0.017)*(F8*F51+F23*F50)</f>
        <v>-106.38601858980842</v>
      </c>
    </row>
    <row r="83" spans="1:6" ht="12.75">
      <c r="A83" s="166" t="s">
        <v>176</v>
      </c>
      <c r="B83" s="166">
        <f>B23+(3/0.017)*(B9*B51+B24*B50)</f>
        <v>-2.5301333331285387</v>
      </c>
      <c r="C83" s="166">
        <f>C23+(3/0.017)*(C9*C51+C24*C50)</f>
        <v>0.196272091870903</v>
      </c>
      <c r="D83" s="166">
        <f>D23+(3/0.017)*(D9*D51+D24*D50)</f>
        <v>0.3208575058025843</v>
      </c>
      <c r="E83" s="166">
        <f>E23+(3/0.017)*(E9*E51+E24*E50)</f>
        <v>0.9335692963296287</v>
      </c>
      <c r="F83" s="166">
        <f>F23+(3/0.017)*(F9*F51+F24*F50)</f>
        <v>8.745860709451906</v>
      </c>
    </row>
    <row r="84" spans="1:6" ht="12.75">
      <c r="A84" s="166" t="s">
        <v>177</v>
      </c>
      <c r="B84" s="166">
        <f>B24+(4/0.017)*(B10*B51+B25*B50)</f>
        <v>1.8899186411142548</v>
      </c>
      <c r="C84" s="166">
        <f>C24+(4/0.017)*(C10*C51+C25*C50)</f>
        <v>0.4162316373779582</v>
      </c>
      <c r="D84" s="166">
        <f>D24+(4/0.017)*(D10*D51+D25*D50)</f>
        <v>1.0631063052501513</v>
      </c>
      <c r="E84" s="166">
        <f>E24+(4/0.017)*(E10*E51+E25*E50)</f>
        <v>1.041523670422432</v>
      </c>
      <c r="F84" s="166">
        <f>F24+(4/0.017)*(F10*F51+F25*F50)</f>
        <v>-1.246600292852964</v>
      </c>
    </row>
    <row r="85" spans="1:6" ht="12.75">
      <c r="A85" s="166" t="s">
        <v>178</v>
      </c>
      <c r="B85" s="166">
        <f>B25+(5/0.017)*(B11*B51+B26*B50)</f>
        <v>-0.9829934640418725</v>
      </c>
      <c r="C85" s="166">
        <f>C25+(5/0.017)*(C11*C51+C26*C50)</f>
        <v>-0.20757980704386592</v>
      </c>
      <c r="D85" s="166">
        <f>D25+(5/0.017)*(D11*D51+D26*D50)</f>
        <v>-0.27988734246434</v>
      </c>
      <c r="E85" s="166">
        <f>E25+(5/0.017)*(E11*E51+E26*E50)</f>
        <v>-0.07805206385878938</v>
      </c>
      <c r="F85" s="166">
        <f>F25+(5/0.017)*(F11*F51+F26*F50)</f>
        <v>-1.1765907305265415</v>
      </c>
    </row>
    <row r="86" spans="1:6" ht="12.75">
      <c r="A86" s="166" t="s">
        <v>179</v>
      </c>
      <c r="B86" s="166">
        <f>B26+(6/0.017)*(B12*B51+B27*B50)</f>
        <v>0.676413172945348</v>
      </c>
      <c r="C86" s="166">
        <f>C26+(6/0.017)*(C12*C51+C27*C50)</f>
        <v>0.6286577226233698</v>
      </c>
      <c r="D86" s="166">
        <f>D26+(6/0.017)*(D12*D51+D27*D50)</f>
        <v>0.5188483042427339</v>
      </c>
      <c r="E86" s="166">
        <f>E26+(6/0.017)*(E12*E51+E27*E50)</f>
        <v>0.1438252776443949</v>
      </c>
      <c r="F86" s="166">
        <f>F26+(6/0.017)*(F12*F51+F27*F50)</f>
        <v>0.7671189940539394</v>
      </c>
    </row>
    <row r="87" spans="1:6" ht="12.75">
      <c r="A87" s="166" t="s">
        <v>180</v>
      </c>
      <c r="B87" s="166">
        <f>B27+(7/0.017)*(B13*B51+B28*B50)</f>
        <v>-0.05239677574102511</v>
      </c>
      <c r="C87" s="166">
        <f>C27+(7/0.017)*(C13*C51+C28*C50)</f>
        <v>0.0489961238631674</v>
      </c>
      <c r="D87" s="166">
        <f>D27+(7/0.017)*(D13*D51+D28*D50)</f>
        <v>0.12080453835065459</v>
      </c>
      <c r="E87" s="166">
        <f>E27+(7/0.017)*(E13*E51+E28*E50)</f>
        <v>-0.03897644708304114</v>
      </c>
      <c r="F87" s="166">
        <f>F27+(7/0.017)*(F13*F51+F28*F50)</f>
        <v>0.4609641315567582</v>
      </c>
    </row>
    <row r="88" spans="1:6" ht="12.75">
      <c r="A88" s="166" t="s">
        <v>181</v>
      </c>
      <c r="B88" s="166">
        <f>B28+(8/0.017)*(B14*B51+B29*B50)</f>
        <v>0.22808801724126887</v>
      </c>
      <c r="C88" s="166">
        <f>C28+(8/0.017)*(C14*C51+C29*C50)</f>
        <v>0.23741388432750918</v>
      </c>
      <c r="D88" s="166">
        <f>D28+(8/0.017)*(D14*D51+D29*D50)</f>
        <v>0.298733462864488</v>
      </c>
      <c r="E88" s="166">
        <f>E28+(8/0.017)*(E14*E51+E29*E50)</f>
        <v>0.44032600852746395</v>
      </c>
      <c r="F88" s="166">
        <f>F28+(8/0.017)*(F14*F51+F29*F50)</f>
        <v>0.14029060737533902</v>
      </c>
    </row>
    <row r="89" spans="1:6" ht="12.75">
      <c r="A89" s="166" t="s">
        <v>182</v>
      </c>
      <c r="B89" s="166">
        <f>B29+(9/0.017)*(B15*B51+B30*B50)</f>
        <v>-0.09036659106945749</v>
      </c>
      <c r="C89" s="166">
        <f>C29+(9/0.017)*(C15*C51+C30*C50)</f>
        <v>-0.018380839254262843</v>
      </c>
      <c r="D89" s="166">
        <f>D29+(9/0.017)*(D15*D51+D30*D50)</f>
        <v>-0.09624083558882435</v>
      </c>
      <c r="E89" s="166">
        <f>E29+(9/0.017)*(E15*E51+E30*E50)</f>
        <v>-0.16390822693465426</v>
      </c>
      <c r="F89" s="166">
        <f>F29+(9/0.017)*(F15*F51+F30*F50)</f>
        <v>-0.013611887282869606</v>
      </c>
    </row>
    <row r="90" spans="1:6" ht="12.75">
      <c r="A90" s="166" t="s">
        <v>183</v>
      </c>
      <c r="B90" s="166">
        <f>B30+(10/0.017)*(B16*B51+B31*B50)</f>
        <v>-0.0769564682477121</v>
      </c>
      <c r="C90" s="166">
        <f>C30+(10/0.017)*(C16*C51+C31*C50)</f>
        <v>-0.02294429376333678</v>
      </c>
      <c r="D90" s="166">
        <f>D30+(10/0.017)*(D16*D51+D31*D50)</f>
        <v>0.07813301998244543</v>
      </c>
      <c r="E90" s="166">
        <f>E30+(10/0.017)*(E16*E51+E31*E50)</f>
        <v>0.011062900333866421</v>
      </c>
      <c r="F90" s="166">
        <f>F30+(10/0.017)*(F16*F51+F31*F50)</f>
        <v>0.21919465166805785</v>
      </c>
    </row>
    <row r="91" spans="1:6" ht="12.75">
      <c r="A91" s="166" t="s">
        <v>184</v>
      </c>
      <c r="B91" s="166">
        <f>B31+(11/0.017)*(B17*B51+B32*B50)</f>
        <v>0.16890457700405292</v>
      </c>
      <c r="C91" s="166">
        <f>C31+(11/0.017)*(C17*C51+C32*C50)</f>
        <v>0.11973733287929952</v>
      </c>
      <c r="D91" s="166">
        <f>D31+(11/0.017)*(D17*D51+D32*D50)</f>
        <v>0.16075971036302567</v>
      </c>
      <c r="E91" s="166">
        <f>E31+(11/0.017)*(E17*E51+E32*E50)</f>
        <v>0.11251290744945713</v>
      </c>
      <c r="F91" s="166">
        <f>F31+(11/0.017)*(F17*F51+F32*F50)</f>
        <v>0.17636888003721193</v>
      </c>
    </row>
    <row r="92" spans="1:6" ht="12.75">
      <c r="A92" s="166" t="s">
        <v>185</v>
      </c>
      <c r="B92" s="166">
        <f>B32+(12/0.017)*(B18*B51+B33*B50)</f>
        <v>0.02784203664618619</v>
      </c>
      <c r="C92" s="166">
        <f>C32+(12/0.017)*(C18*C51+C33*C50)</f>
        <v>0.07235925258811803</v>
      </c>
      <c r="D92" s="166">
        <f>D32+(12/0.017)*(D18*D51+D33*D50)</f>
        <v>0.030457070217385043</v>
      </c>
      <c r="E92" s="166">
        <f>E32+(12/0.017)*(E18*E51+E33*E50)</f>
        <v>0.10283202210266579</v>
      </c>
      <c r="F92" s="166">
        <f>F32+(12/0.017)*(F18*F51+F33*F50)</f>
        <v>-0.001609929674981813</v>
      </c>
    </row>
    <row r="93" spans="1:6" ht="12.75">
      <c r="A93" s="166" t="s">
        <v>186</v>
      </c>
      <c r="B93" s="166">
        <f>B33+(13/0.017)*(B19*B51+B34*B50)</f>
        <v>-0.10157120996631644</v>
      </c>
      <c r="C93" s="166">
        <f>C33+(13/0.017)*(C19*C51+C34*C50)</f>
        <v>-0.09816736415291052</v>
      </c>
      <c r="D93" s="166">
        <f>D33+(13/0.017)*(D19*D51+D34*D50)</f>
        <v>-0.09729834075992116</v>
      </c>
      <c r="E93" s="166">
        <f>E33+(13/0.017)*(E19*E51+E34*E50)</f>
        <v>-0.09407572681088167</v>
      </c>
      <c r="F93" s="166">
        <f>F33+(13/0.017)*(F19*F51+F34*F50)</f>
        <v>-0.06794128806500563</v>
      </c>
    </row>
    <row r="94" spans="1:6" ht="12.75">
      <c r="A94" s="166" t="s">
        <v>187</v>
      </c>
      <c r="B94" s="166">
        <f>B34+(14/0.017)*(B20*B51+B35*B50)</f>
        <v>-0.013298796573081825</v>
      </c>
      <c r="C94" s="166">
        <f>C34+(14/0.017)*(C20*C51+C35*C50)</f>
        <v>-0.007644439925647808</v>
      </c>
      <c r="D94" s="166">
        <f>D34+(14/0.017)*(D20*D51+D35*D50)</f>
        <v>0.017146642431872906</v>
      </c>
      <c r="E94" s="166">
        <f>E34+(14/0.017)*(E20*E51+E35*E50)</f>
        <v>0.0027000330192286787</v>
      </c>
      <c r="F94" s="166">
        <f>F34+(14/0.017)*(F20*F51+F35*F50)</f>
        <v>-0.01567043002020948</v>
      </c>
    </row>
    <row r="95" spans="1:6" ht="12.75">
      <c r="A95" s="166" t="s">
        <v>188</v>
      </c>
      <c r="B95" s="167">
        <f>B35</f>
        <v>-0.007710431</v>
      </c>
      <c r="C95" s="167">
        <f>C35</f>
        <v>0.0008906745</v>
      </c>
      <c r="D95" s="167">
        <f>D35</f>
        <v>-0.003827058</v>
      </c>
      <c r="E95" s="167">
        <f>E35</f>
        <v>-0.005037226</v>
      </c>
      <c r="F95" s="167">
        <f>F35</f>
        <v>0.001192888</v>
      </c>
    </row>
    <row r="98" ht="12.75">
      <c r="A98" s="166" t="s">
        <v>156</v>
      </c>
    </row>
    <row r="100" spans="2:11" ht="12.75">
      <c r="B100" s="166" t="s">
        <v>84</v>
      </c>
      <c r="C100" s="166" t="s">
        <v>85</v>
      </c>
      <c r="D100" s="166" t="s">
        <v>86</v>
      </c>
      <c r="E100" s="166" t="s">
        <v>87</v>
      </c>
      <c r="F100" s="166" t="s">
        <v>88</v>
      </c>
      <c r="G100" s="166" t="s">
        <v>158</v>
      </c>
      <c r="H100" s="166" t="s">
        <v>159</v>
      </c>
      <c r="I100" s="166" t="s">
        <v>154</v>
      </c>
      <c r="K100" s="166" t="s">
        <v>189</v>
      </c>
    </row>
    <row r="101" spans="1:9" ht="12.75">
      <c r="A101" s="166" t="s">
        <v>157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160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9999.999999999998</v>
      </c>
    </row>
    <row r="103" spans="1:11" ht="12.75">
      <c r="A103" s="166" t="s">
        <v>161</v>
      </c>
      <c r="B103" s="166">
        <f>B63*10000/B62</f>
        <v>-1.3639662674942927</v>
      </c>
      <c r="C103" s="166">
        <f>C63*10000/C62</f>
        <v>-1.2398386115371363</v>
      </c>
      <c r="D103" s="166">
        <f>D63*10000/D62</f>
        <v>0.1530640475267339</v>
      </c>
      <c r="E103" s="166">
        <f>E63*10000/E62</f>
        <v>0.4668178551561003</v>
      </c>
      <c r="F103" s="166">
        <f>F63*10000/F62</f>
        <v>-2.1748690912839828</v>
      </c>
      <c r="G103" s="166">
        <f>AVERAGE(C103:E103)</f>
        <v>-0.20665223628476734</v>
      </c>
      <c r="H103" s="166">
        <f>STDEV(C103:E103)</f>
        <v>0.9084139626050604</v>
      </c>
      <c r="I103" s="166">
        <f>(B103*B4+C103*C4+D103*D4+E103*E4+F103*F4)/SUM(B4:F4)</f>
        <v>-0.6369254564303214</v>
      </c>
      <c r="K103" s="166">
        <f>(LN(H103)+LN(H123))/2-LN(K114*K115^3)</f>
        <v>-4.391431831207915</v>
      </c>
    </row>
    <row r="104" spans="1:11" ht="12.75">
      <c r="A104" s="166" t="s">
        <v>162</v>
      </c>
      <c r="B104" s="166">
        <f>B64*10000/B62</f>
        <v>1.5354179988001866</v>
      </c>
      <c r="C104" s="166">
        <f>C64*10000/C62</f>
        <v>1.3730846114993713</v>
      </c>
      <c r="D104" s="166">
        <f>D64*10000/D62</f>
        <v>1.429166594396965</v>
      </c>
      <c r="E104" s="166">
        <f>E64*10000/E62</f>
        <v>0.6127972712661555</v>
      </c>
      <c r="F104" s="166">
        <f>F64*10000/F62</f>
        <v>0.2991254443552022</v>
      </c>
      <c r="G104" s="166">
        <f>AVERAGE(C104:E104)</f>
        <v>1.1383494923874973</v>
      </c>
      <c r="H104" s="166">
        <f>STDEV(C104:E104)</f>
        <v>0.4560045504659063</v>
      </c>
      <c r="I104" s="166">
        <f>(B104*B4+C104*C4+D104*D4+E104*E4+F104*F4)/SUM(B4:F4)</f>
        <v>1.0835749920313333</v>
      </c>
      <c r="K104" s="166">
        <f>(LN(H104)+LN(H124))/2-LN(K114*K115^4)</f>
        <v>-4.1805063687066335</v>
      </c>
    </row>
    <row r="105" spans="1:11" ht="12.75">
      <c r="A105" s="166" t="s">
        <v>163</v>
      </c>
      <c r="B105" s="166">
        <f>B65*10000/B62</f>
        <v>0.053972000416021224</v>
      </c>
      <c r="C105" s="166">
        <f>C65*10000/C62</f>
        <v>0.2905981636562197</v>
      </c>
      <c r="D105" s="166">
        <f>D65*10000/D62</f>
        <v>-0.6931835397333844</v>
      </c>
      <c r="E105" s="166">
        <f>E65*10000/E62</f>
        <v>-0.09121255929645743</v>
      </c>
      <c r="F105" s="166">
        <f>F65*10000/F62</f>
        <v>-0.41158723074414316</v>
      </c>
      <c r="G105" s="166">
        <f>AVERAGE(C105:E105)</f>
        <v>-0.16459931179120738</v>
      </c>
      <c r="H105" s="166">
        <f>STDEV(C105:E105)</f>
        <v>0.495979658415879</v>
      </c>
      <c r="I105" s="166">
        <f>(B105*B4+C105*C4+D105*D4+E105*E4+F105*F4)/SUM(B4:F4)</f>
        <v>-0.16600103956910361</v>
      </c>
      <c r="K105" s="166">
        <f>(LN(H105)+LN(H125))/2-LN(K114*K115^5)</f>
        <v>-4.186647736638002</v>
      </c>
    </row>
    <row r="106" spans="1:11" ht="12.75">
      <c r="A106" s="166" t="s">
        <v>164</v>
      </c>
      <c r="B106" s="166">
        <f>B66*10000/B62</f>
        <v>3.418624823370682</v>
      </c>
      <c r="C106" s="166">
        <f>C66*10000/C62</f>
        <v>4.824158210895059</v>
      </c>
      <c r="D106" s="166">
        <f>D66*10000/D62</f>
        <v>5.044480549650543</v>
      </c>
      <c r="E106" s="166">
        <f>E66*10000/E62</f>
        <v>4.143734929060051</v>
      </c>
      <c r="F106" s="166">
        <f>F66*10000/F62</f>
        <v>12.875371133930269</v>
      </c>
      <c r="G106" s="166">
        <f>AVERAGE(C106:E106)</f>
        <v>4.670791229868551</v>
      </c>
      <c r="H106" s="166">
        <f>STDEV(C106:E106)</f>
        <v>0.46954950900318165</v>
      </c>
      <c r="I106" s="166">
        <f>(B106*B4+C106*C4+D106*D4+E106*E4+F106*F4)/SUM(B4:F4)</f>
        <v>5.586095028537963</v>
      </c>
      <c r="K106" s="166">
        <f>(LN(H106)+LN(H126))/2-LN(K114*K115^6)</f>
        <v>-3.167379298957206</v>
      </c>
    </row>
    <row r="107" spans="1:11" ht="12.75">
      <c r="A107" s="166" t="s">
        <v>165</v>
      </c>
      <c r="B107" s="166">
        <f>B67*10000/B62</f>
        <v>0.048401308872920865</v>
      </c>
      <c r="C107" s="166">
        <f>C67*10000/C62</f>
        <v>-0.28858291910983036</v>
      </c>
      <c r="D107" s="166">
        <f>D67*10000/D62</f>
        <v>0.028879430448132324</v>
      </c>
      <c r="E107" s="166">
        <f>E67*10000/E62</f>
        <v>0.19950911957164022</v>
      </c>
      <c r="F107" s="166">
        <f>F67*10000/F62</f>
        <v>0.09099591826013698</v>
      </c>
      <c r="G107" s="166">
        <f>AVERAGE(C107:E107)</f>
        <v>-0.02006478969668593</v>
      </c>
      <c r="H107" s="166">
        <f>STDEV(C107:E107)</f>
        <v>0.24769964083592627</v>
      </c>
      <c r="I107" s="166">
        <f>(B107*B4+C107*C4+D107*D4+E107*E4+F107*F4)/SUM(B4:F4)</f>
        <v>0.004687898565220463</v>
      </c>
      <c r="K107" s="166">
        <f>(LN(H107)+LN(H127))/2-LN(K114*K115^7)</f>
        <v>-3.4737603643988213</v>
      </c>
    </row>
    <row r="108" spans="1:9" ht="12.75">
      <c r="A108" s="166" t="s">
        <v>166</v>
      </c>
      <c r="B108" s="166">
        <f>B68*10000/B62</f>
        <v>-0.18328180688756487</v>
      </c>
      <c r="C108" s="166">
        <f>C68*10000/C62</f>
        <v>0.08818712830525419</v>
      </c>
      <c r="D108" s="166">
        <f>D68*10000/D62</f>
        <v>0.03824655260629467</v>
      </c>
      <c r="E108" s="166">
        <f>E68*10000/E62</f>
        <v>-0.12673715406235475</v>
      </c>
      <c r="F108" s="166">
        <f>F68*10000/F62</f>
        <v>-0.38219881409556994</v>
      </c>
      <c r="G108" s="166">
        <f>AVERAGE(C108:E108)</f>
        <v>-0.00010115771693529803</v>
      </c>
      <c r="H108" s="166">
        <f>STDEV(C108:E108)</f>
        <v>0.11247676183587299</v>
      </c>
      <c r="I108" s="166">
        <f>(B108*B4+C108*C4+D108*D4+E108*E4+F108*F4)/SUM(B4:F4)</f>
        <v>-0.07764973491241511</v>
      </c>
    </row>
    <row r="109" spans="1:9" ht="12.75">
      <c r="A109" s="166" t="s">
        <v>167</v>
      </c>
      <c r="B109" s="166">
        <f>B69*10000/B62</f>
        <v>0.00809406599247186</v>
      </c>
      <c r="C109" s="166">
        <f>C69*10000/C62</f>
        <v>-0.0946445795911509</v>
      </c>
      <c r="D109" s="166">
        <f>D69*10000/D62</f>
        <v>-0.05777921930943319</v>
      </c>
      <c r="E109" s="166">
        <f>E69*10000/E62</f>
        <v>-0.11755786343162966</v>
      </c>
      <c r="F109" s="166">
        <f>F69*10000/F62</f>
        <v>0.01676200636414726</v>
      </c>
      <c r="G109" s="166">
        <f>AVERAGE(C109:E109)</f>
        <v>-0.08999388744407126</v>
      </c>
      <c r="H109" s="166">
        <f>STDEV(C109:E109)</f>
        <v>0.030159464125830125</v>
      </c>
      <c r="I109" s="166">
        <f>(B109*B4+C109*C4+D109*D4+E109*E4+F109*F4)/SUM(B4:F4)</f>
        <v>-0.061549937277374615</v>
      </c>
    </row>
    <row r="110" spans="1:11" ht="12.75">
      <c r="A110" s="166" t="s">
        <v>168</v>
      </c>
      <c r="B110" s="166">
        <f>B70*10000/B62</f>
        <v>-0.338923431832043</v>
      </c>
      <c r="C110" s="166">
        <f>C70*10000/C62</f>
        <v>-0.010221900014557998</v>
      </c>
      <c r="D110" s="166">
        <f>D70*10000/D62</f>
        <v>0.018679562629420377</v>
      </c>
      <c r="E110" s="166">
        <f>E70*10000/E62</f>
        <v>-0.01222549446010746</v>
      </c>
      <c r="F110" s="166">
        <f>F70*10000/F62</f>
        <v>-0.35906669036021105</v>
      </c>
      <c r="G110" s="166">
        <f>AVERAGE(C110:E110)</f>
        <v>-0.001255943948415027</v>
      </c>
      <c r="H110" s="166">
        <f>STDEV(C110:E110)</f>
        <v>0.017293695804013326</v>
      </c>
      <c r="I110" s="166">
        <f>(B110*B4+C110*C4+D110*D4+E110*E4+F110*F4)/SUM(B4:F4)</f>
        <v>-0.09788526278816125</v>
      </c>
      <c r="K110" s="166">
        <f>EXP(AVERAGE(K103:K107))</f>
        <v>0.020651958530474943</v>
      </c>
    </row>
    <row r="111" spans="1:9" ht="12.75">
      <c r="A111" s="166" t="s">
        <v>169</v>
      </c>
      <c r="B111" s="166">
        <f>B71*10000/B62</f>
        <v>0.07802134925246086</v>
      </c>
      <c r="C111" s="166">
        <f>C71*10000/C62</f>
        <v>0.11769321999929218</v>
      </c>
      <c r="D111" s="166">
        <f>D71*10000/D62</f>
        <v>-0.0020240845604160215</v>
      </c>
      <c r="E111" s="166">
        <f>E71*10000/E62</f>
        <v>0.1011815484741203</v>
      </c>
      <c r="F111" s="166">
        <f>F71*10000/F62</f>
        <v>-0.026539940348898717</v>
      </c>
      <c r="G111" s="166">
        <f>AVERAGE(C111:E111)</f>
        <v>0.07228356130433215</v>
      </c>
      <c r="H111" s="166">
        <f>STDEV(C111:E111)</f>
        <v>0.06487972333178844</v>
      </c>
      <c r="I111" s="166">
        <f>(B111*B4+C111*C4+D111*D4+E111*E4+F111*F4)/SUM(B4:F4)</f>
        <v>0.059909353141877175</v>
      </c>
    </row>
    <row r="112" spans="1:9" ht="12.75">
      <c r="A112" s="166" t="s">
        <v>170</v>
      </c>
      <c r="B112" s="166">
        <f>B72*10000/B62</f>
        <v>-0.11414431974370562</v>
      </c>
      <c r="C112" s="166">
        <f>C72*10000/C62</f>
        <v>-0.09066636737754856</v>
      </c>
      <c r="D112" s="166">
        <f>D72*10000/D62</f>
        <v>-0.10945774149233123</v>
      </c>
      <c r="E112" s="166">
        <f>E72*10000/E62</f>
        <v>-0.07377513684097022</v>
      </c>
      <c r="F112" s="166">
        <f>F72*10000/F62</f>
        <v>-0.08665888162462189</v>
      </c>
      <c r="G112" s="166">
        <f>AVERAGE(C112:E112)</f>
        <v>-0.09129974857028333</v>
      </c>
      <c r="H112" s="166">
        <f>STDEV(C112:E112)</f>
        <v>0.01784973242034222</v>
      </c>
      <c r="I112" s="166">
        <f>(B112*B4+C112*C4+D112*D4+E112*E4+F112*F4)/SUM(B4:F4)</f>
        <v>-0.09398102760762217</v>
      </c>
    </row>
    <row r="113" spans="1:9" ht="12.75">
      <c r="A113" s="166" t="s">
        <v>171</v>
      </c>
      <c r="B113" s="166">
        <f>B73*10000/B62</f>
        <v>-0.001106613613272934</v>
      </c>
      <c r="C113" s="166">
        <f>C73*10000/C62</f>
        <v>-0.001654786683057456</v>
      </c>
      <c r="D113" s="166">
        <f>D73*10000/D62</f>
        <v>-0.0026033762460952376</v>
      </c>
      <c r="E113" s="166">
        <f>E73*10000/E62</f>
        <v>-0.026594402003021447</v>
      </c>
      <c r="F113" s="166">
        <f>F73*10000/F62</f>
        <v>-0.003210116614631927</v>
      </c>
      <c r="G113" s="166">
        <f>AVERAGE(C113:E113)</f>
        <v>-0.010284188310724715</v>
      </c>
      <c r="H113" s="166">
        <f>STDEV(C113:E113)</f>
        <v>0.014133020149849924</v>
      </c>
      <c r="I113" s="166">
        <f>(B113*B4+C113*C4+D113*D4+E113*E4+F113*F4)/SUM(B4:F4)</f>
        <v>-0.008013175429276076</v>
      </c>
    </row>
    <row r="114" spans="1:11" ht="12.75">
      <c r="A114" s="166" t="s">
        <v>172</v>
      </c>
      <c r="B114" s="166">
        <f>B74*10000/B62</f>
        <v>-0.17243474501039183</v>
      </c>
      <c r="C114" s="166">
        <f>C74*10000/C62</f>
        <v>-0.17982648008047147</v>
      </c>
      <c r="D114" s="166">
        <f>D74*10000/D62</f>
        <v>-0.182421918079095</v>
      </c>
      <c r="E114" s="166">
        <f>E74*10000/E62</f>
        <v>-0.16358647526035128</v>
      </c>
      <c r="F114" s="166">
        <f>F74*10000/F62</f>
        <v>-0.1295629131420947</v>
      </c>
      <c r="G114" s="166">
        <f>AVERAGE(C114:E114)</f>
        <v>-0.1752782911399726</v>
      </c>
      <c r="H114" s="166">
        <f>STDEV(C114:E114)</f>
        <v>0.010208231655061734</v>
      </c>
      <c r="I114" s="166">
        <f>(B114*B4+C114*C4+D114*D4+E114*E4+F114*F4)/SUM(B4:F4)</f>
        <v>-0.16875762775442282</v>
      </c>
      <c r="J114" s="166" t="s">
        <v>190</v>
      </c>
      <c r="K114" s="166">
        <v>285</v>
      </c>
    </row>
    <row r="115" spans="1:11" ht="12.75">
      <c r="A115" s="166" t="s">
        <v>173</v>
      </c>
      <c r="B115" s="166">
        <f>B75*10000/B62</f>
        <v>0.0019394962558727368</v>
      </c>
      <c r="C115" s="166">
        <f>C75*10000/C62</f>
        <v>-0.0021978135692308537</v>
      </c>
      <c r="D115" s="166">
        <f>D75*10000/D62</f>
        <v>0.008205608443330663</v>
      </c>
      <c r="E115" s="166">
        <f>E75*10000/E62</f>
        <v>-0.002718967730778958</v>
      </c>
      <c r="F115" s="166">
        <f>F75*10000/F62</f>
        <v>0.0037750528552395507</v>
      </c>
      <c r="G115" s="166">
        <f>AVERAGE(C115:E115)</f>
        <v>0.0010962757144402841</v>
      </c>
      <c r="H115" s="166">
        <f>STDEV(C115:E115)</f>
        <v>0.006162374485746438</v>
      </c>
      <c r="I115" s="166">
        <f>(B115*B4+C115*C4+D115*D4+E115*E4+F115*F4)/SUM(B4:F4)</f>
        <v>0.001575891183468736</v>
      </c>
      <c r="J115" s="166" t="s">
        <v>191</v>
      </c>
      <c r="K115" s="166">
        <v>0.5536</v>
      </c>
    </row>
    <row r="118" ht="12.75">
      <c r="A118" s="166" t="s">
        <v>156</v>
      </c>
    </row>
    <row r="120" spans="2:9" ht="12.75">
      <c r="B120" s="166" t="s">
        <v>84</v>
      </c>
      <c r="C120" s="166" t="s">
        <v>85</v>
      </c>
      <c r="D120" s="166" t="s">
        <v>86</v>
      </c>
      <c r="E120" s="166" t="s">
        <v>87</v>
      </c>
      <c r="F120" s="166" t="s">
        <v>88</v>
      </c>
      <c r="G120" s="166" t="s">
        <v>158</v>
      </c>
      <c r="H120" s="166" t="s">
        <v>159</v>
      </c>
      <c r="I120" s="166" t="s">
        <v>154</v>
      </c>
    </row>
    <row r="121" spans="1:9" ht="12.75">
      <c r="A121" s="166" t="s">
        <v>174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175</v>
      </c>
      <c r="B122" s="166">
        <f>B82*10000/B62</f>
        <v>75.48247159716739</v>
      </c>
      <c r="C122" s="166">
        <f>C82*10000/C62</f>
        <v>63.429473894111474</v>
      </c>
      <c r="D122" s="166">
        <f>D82*10000/D62</f>
        <v>2.8666453496564817</v>
      </c>
      <c r="E122" s="166">
        <f>E82*10000/E62</f>
        <v>-53.34494651958505</v>
      </c>
      <c r="F122" s="166">
        <f>F82*10000/F62</f>
        <v>-106.4150773988663</v>
      </c>
      <c r="G122" s="166">
        <f>AVERAGE(C122:E122)</f>
        <v>4.317057574727637</v>
      </c>
      <c r="H122" s="166">
        <f>STDEV(C122:E122)</f>
        <v>58.40071992240903</v>
      </c>
      <c r="I122" s="166">
        <f>(B122*B4+C122*C4+D122*D4+E122*E4+F122*F4)/SUM(B4:F4)</f>
        <v>-0.1954004482505676</v>
      </c>
    </row>
    <row r="123" spans="1:9" ht="12.75">
      <c r="A123" s="166" t="s">
        <v>176</v>
      </c>
      <c r="B123" s="166">
        <f>B83*10000/B62</f>
        <v>-2.5299693066286157</v>
      </c>
      <c r="C123" s="166">
        <f>C83*10000/C62</f>
        <v>0.19627401809415781</v>
      </c>
      <c r="D123" s="166">
        <f>D83*10000/D62</f>
        <v>0.3208604949343569</v>
      </c>
      <c r="E123" s="166">
        <f>E83*10000/E62</f>
        <v>0.9335856851861324</v>
      </c>
      <c r="F123" s="166">
        <f>F83*10000/F62</f>
        <v>8.748249597576224</v>
      </c>
      <c r="G123" s="166">
        <f>AVERAGE(C123:E123)</f>
        <v>0.48357339940488236</v>
      </c>
      <c r="H123" s="166">
        <f>STDEV(C123:E123)</f>
        <v>0.39466915330237345</v>
      </c>
      <c r="I123" s="166">
        <f>(B123*B4+C123*C4+D123*D4+E123*E4+F123*F4)/SUM(B4:F4)</f>
        <v>1.1523351261770955</v>
      </c>
    </row>
    <row r="124" spans="1:9" ht="12.75">
      <c r="A124" s="166" t="s">
        <v>177</v>
      </c>
      <c r="B124" s="166">
        <f>B84*10000/B62</f>
        <v>1.8897961192155937</v>
      </c>
      <c r="C124" s="166">
        <f>C84*10000/C62</f>
        <v>0.4162357222942174</v>
      </c>
      <c r="D124" s="166">
        <f>D84*10000/D62</f>
        <v>1.063116209225521</v>
      </c>
      <c r="E124" s="166">
        <f>E84*10000/E62</f>
        <v>1.0415419544234663</v>
      </c>
      <c r="F124" s="166">
        <f>F84*10000/F62</f>
        <v>-1.2469407954900744</v>
      </c>
      <c r="G124" s="166">
        <f>AVERAGE(C124:E124)</f>
        <v>0.8402979619810683</v>
      </c>
      <c r="H124" s="166">
        <f>STDEV(C124:E124)</f>
        <v>0.3674070623487482</v>
      </c>
      <c r="I124" s="166">
        <f>(B124*B4+C124*C4+D124*D4+E124*E4+F124*F4)/SUM(B4:F4)</f>
        <v>0.7131198973092364</v>
      </c>
    </row>
    <row r="125" spans="1:9" ht="12.75">
      <c r="A125" s="166" t="s">
        <v>178</v>
      </c>
      <c r="B125" s="166">
        <f>B85*10000/B62</f>
        <v>-0.9829297373697471</v>
      </c>
      <c r="C125" s="166">
        <f>C85*10000/C62</f>
        <v>-0.2075818442415528</v>
      </c>
      <c r="D125" s="166">
        <f>D85*10000/D62</f>
        <v>-0.27988994991510235</v>
      </c>
      <c r="E125" s="166">
        <f>E85*10000/E62</f>
        <v>-0.07805343406674227</v>
      </c>
      <c r="F125" s="166">
        <f>F85*10000/F62</f>
        <v>-1.1769121104017435</v>
      </c>
      <c r="G125" s="166">
        <f>AVERAGE(C125:E125)</f>
        <v>-0.18850840940779914</v>
      </c>
      <c r="H125" s="166">
        <f>STDEV(C125:E125)</f>
        <v>0.10226114472134273</v>
      </c>
      <c r="I125" s="166">
        <f>(B125*B4+C125*C4+D125*D4+E125*E4+F125*F4)/SUM(B4:F4)</f>
        <v>-0.43542564075143186</v>
      </c>
    </row>
    <row r="126" spans="1:9" ht="12.75">
      <c r="A126" s="166" t="s">
        <v>179</v>
      </c>
      <c r="B126" s="166">
        <f>B86*10000/B62</f>
        <v>0.6763693216258119</v>
      </c>
      <c r="C126" s="166">
        <f>C86*10000/C62</f>
        <v>0.6286638922989111</v>
      </c>
      <c r="D126" s="166">
        <f>D86*10000/D62</f>
        <v>0.5188531378711306</v>
      </c>
      <c r="E126" s="166">
        <f>E86*10000/E62</f>
        <v>0.14382780250446278</v>
      </c>
      <c r="F126" s="166">
        <f>F86*10000/F62</f>
        <v>0.7673285287716435</v>
      </c>
      <c r="G126" s="166">
        <f>AVERAGE(C126:E126)</f>
        <v>0.43044827755816817</v>
      </c>
      <c r="H126" s="166">
        <f>STDEV(C126:E126)</f>
        <v>0.2542205203893039</v>
      </c>
      <c r="I126" s="166">
        <f>(B126*B4+C126*C4+D126*D4+E126*E4+F126*F4)/SUM(B4:F4)</f>
        <v>0.5109982541399356</v>
      </c>
    </row>
    <row r="127" spans="1:9" ht="12.75">
      <c r="A127" s="166" t="s">
        <v>180</v>
      </c>
      <c r="B127" s="166">
        <f>B87*10000/B62</f>
        <v>-0.052393378900384535</v>
      </c>
      <c r="C127" s="166">
        <f>C87*10000/C62</f>
        <v>0.048996604713360016</v>
      </c>
      <c r="D127" s="166">
        <f>D87*10000/D62</f>
        <v>0.12080566377448707</v>
      </c>
      <c r="E127" s="166">
        <f>E87*10000/E62</f>
        <v>-0.03897713131655308</v>
      </c>
      <c r="F127" s="166">
        <f>F87*10000/F62</f>
        <v>0.46109004160451633</v>
      </c>
      <c r="G127" s="166">
        <f>AVERAGE(C127:E127)</f>
        <v>0.043608379057097996</v>
      </c>
      <c r="H127" s="166">
        <f>STDEV(C127:E127)</f>
        <v>0.08002755858807908</v>
      </c>
      <c r="I127" s="166">
        <f>(B127*B4+C127*C4+D127*D4+E127*E4+F127*F4)/SUM(B4:F4)</f>
        <v>0.0855115732339849</v>
      </c>
    </row>
    <row r="128" spans="1:9" ht="12.75">
      <c r="A128" s="166" t="s">
        <v>181</v>
      </c>
      <c r="B128" s="166">
        <f>B88*10000/B62</f>
        <v>0.22807323047938063</v>
      </c>
      <c r="C128" s="166">
        <f>C88*10000/C62</f>
        <v>0.23741621431819024</v>
      </c>
      <c r="D128" s="166">
        <f>D88*10000/D62</f>
        <v>0.29873624588707354</v>
      </c>
      <c r="E128" s="166">
        <f>E88*10000/E62</f>
        <v>0.4403337384729505</v>
      </c>
      <c r="F128" s="166">
        <f>F88*10000/F62</f>
        <v>0.14032892705330396</v>
      </c>
      <c r="G128" s="166">
        <f>AVERAGE(C128:E128)</f>
        <v>0.32549539955940476</v>
      </c>
      <c r="H128" s="166">
        <f>STDEV(C128:E128)</f>
        <v>0.10407170427747875</v>
      </c>
      <c r="I128" s="166">
        <f>(B128*B4+C128*C4+D128*D4+E128*E4+F128*F4)/SUM(B4:F4)</f>
        <v>0.28667546577528236</v>
      </c>
    </row>
    <row r="129" spans="1:9" ht="12.75">
      <c r="A129" s="166" t="s">
        <v>182</v>
      </c>
      <c r="B129" s="166">
        <f>B89*10000/B62</f>
        <v>-0.09036073267636452</v>
      </c>
      <c r="C129" s="166">
        <f>C89*10000/C62</f>
        <v>-0.018381019644657</v>
      </c>
      <c r="D129" s="166">
        <f>D89*10000/D62</f>
        <v>-0.09624173217542206</v>
      </c>
      <c r="E129" s="166">
        <f>E89*10000/E62</f>
        <v>-0.1639111043519189</v>
      </c>
      <c r="F129" s="166">
        <f>F89*10000/F62</f>
        <v>-0.013615605301822785</v>
      </c>
      <c r="G129" s="166">
        <f>AVERAGE(C129:E129)</f>
        <v>-0.09284461872399934</v>
      </c>
      <c r="H129" s="166">
        <f>STDEV(C129:E129)</f>
        <v>0.07282449226446475</v>
      </c>
      <c r="I129" s="166">
        <f>(B129*B4+C129*C4+D129*D4+E129*E4+F129*F4)/SUM(B4:F4)</f>
        <v>-0.08190289768383087</v>
      </c>
    </row>
    <row r="130" spans="1:9" ht="12.75">
      <c r="A130" s="166" t="s">
        <v>183</v>
      </c>
      <c r="B130" s="166">
        <f>B90*10000/B62</f>
        <v>-0.07695147922204779</v>
      </c>
      <c r="C130" s="166">
        <f>C90*10000/C62</f>
        <v>-0.02294451893968147</v>
      </c>
      <c r="D130" s="166">
        <f>D90*10000/D62</f>
        <v>0.07813374787532092</v>
      </c>
      <c r="E130" s="166">
        <f>E90*10000/E62</f>
        <v>0.01106309454364474</v>
      </c>
      <c r="F130" s="166">
        <f>F90*10000/F62</f>
        <v>0.21925452359120867</v>
      </c>
      <c r="G130" s="166">
        <f>AVERAGE(C130:E130)</f>
        <v>0.02208410782642806</v>
      </c>
      <c r="H130" s="166">
        <f>STDEV(C130:E130)</f>
        <v>0.05143249027526927</v>
      </c>
      <c r="I130" s="166">
        <f>(B130*B4+C130*C4+D130*D4+E130*E4+F130*F4)/SUM(B4:F4)</f>
        <v>0.03411363196061782</v>
      </c>
    </row>
    <row r="131" spans="1:9" ht="12.75">
      <c r="A131" s="166" t="s">
        <v>184</v>
      </c>
      <c r="B131" s="166">
        <f>B91*10000/B62</f>
        <v>0.16889362705678168</v>
      </c>
      <c r="C131" s="166">
        <f>C91*10000/C62</f>
        <v>0.11973850798694148</v>
      </c>
      <c r="D131" s="166">
        <f>D91*10000/D62</f>
        <v>0.16076120801213567</v>
      </c>
      <c r="E131" s="166">
        <f>E91*10000/E62</f>
        <v>0.11251488261927287</v>
      </c>
      <c r="F131" s="166">
        <f>F91*10000/F62</f>
        <v>0.17641705431496657</v>
      </c>
      <c r="G131" s="166">
        <f>AVERAGE(C131:E131)</f>
        <v>0.13100486620611665</v>
      </c>
      <c r="H131" s="166">
        <f>STDEV(C131:E131)</f>
        <v>0.02602162752635944</v>
      </c>
      <c r="I131" s="166">
        <f>(B131*B4+C131*C4+D131*D4+E131*E4+F131*F4)/SUM(B4:F4)</f>
        <v>0.1425494303011914</v>
      </c>
    </row>
    <row r="132" spans="1:9" ht="12.75">
      <c r="A132" s="166" t="s">
        <v>185</v>
      </c>
      <c r="B132" s="166">
        <f>B92*10000/B62</f>
        <v>0.027840231669443653</v>
      </c>
      <c r="C132" s="166">
        <f>C92*10000/C62</f>
        <v>0.07235996272512073</v>
      </c>
      <c r="D132" s="166">
        <f>D92*10000/D62</f>
        <v>0.03045735395765803</v>
      </c>
      <c r="E132" s="166">
        <f>E92*10000/E62</f>
        <v>0.10283382732404663</v>
      </c>
      <c r="F132" s="166">
        <f>F92*10000/F62</f>
        <v>-0.0016103694192230397</v>
      </c>
      <c r="G132" s="166">
        <f>AVERAGE(C132:E132)</f>
        <v>0.06855038133560847</v>
      </c>
      <c r="H132" s="166">
        <f>STDEV(C132:E132)</f>
        <v>0.036338315274808485</v>
      </c>
      <c r="I132" s="166">
        <f>(B132*B4+C132*C4+D132*D4+E132*E4+F132*F4)/SUM(B4:F4)</f>
        <v>0.053291860058413604</v>
      </c>
    </row>
    <row r="133" spans="1:9" ht="12.75">
      <c r="A133" s="166" t="s">
        <v>186</v>
      </c>
      <c r="B133" s="166">
        <f>B93*10000/B62</f>
        <v>-0.10156462518683246</v>
      </c>
      <c r="C133" s="166">
        <f>C93*10000/C62</f>
        <v>-0.09816832757189635</v>
      </c>
      <c r="D133" s="166">
        <f>D93*10000/D62</f>
        <v>-0.09729924719831368</v>
      </c>
      <c r="E133" s="166">
        <f>E93*10000/E62</f>
        <v>-0.09407737831505307</v>
      </c>
      <c r="F133" s="166">
        <f>F93*10000/F62</f>
        <v>-0.06795984588814064</v>
      </c>
      <c r="G133" s="166">
        <f>AVERAGE(C133:E133)</f>
        <v>-0.09651498436175437</v>
      </c>
      <c r="H133" s="166">
        <f>STDEV(C133:E133)</f>
        <v>0.0021552882877052715</v>
      </c>
      <c r="I133" s="166">
        <f>(B133*B4+C133*C4+D133*D4+E133*E4+F133*F4)/SUM(B4:F4)</f>
        <v>-0.09342908059326788</v>
      </c>
    </row>
    <row r="134" spans="1:9" ht="12.75">
      <c r="A134" s="166" t="s">
        <v>187</v>
      </c>
      <c r="B134" s="166">
        <f>B94*10000/B62</f>
        <v>-0.013297934422843926</v>
      </c>
      <c r="C134" s="166">
        <f>C94*10000/C62</f>
        <v>-0.0076445149485296375</v>
      </c>
      <c r="D134" s="166">
        <f>D94*10000/D62</f>
        <v>0.017146802171236205</v>
      </c>
      <c r="E134" s="166">
        <f>E94*10000/E62</f>
        <v>0.002700080418445728</v>
      </c>
      <c r="F134" s="166">
        <f>F94*10000/F62</f>
        <v>-0.015674710319818846</v>
      </c>
      <c r="G134" s="166">
        <f>AVERAGE(C134:E134)</f>
        <v>0.004067455880384098</v>
      </c>
      <c r="H134" s="166">
        <f>STDEV(C134:E134)</f>
        <v>0.012452093714457506</v>
      </c>
      <c r="I134" s="166">
        <f>(B134*B4+C134*C4+D134*D4+E134*E4+F134*F4)/SUM(B4:F4)</f>
        <v>-0.0010811742387856853</v>
      </c>
    </row>
    <row r="135" spans="1:9" ht="12.75">
      <c r="A135" s="166" t="s">
        <v>188</v>
      </c>
      <c r="B135" s="166">
        <f>B95*10000/B62</f>
        <v>-0.007709931138987432</v>
      </c>
      <c r="C135" s="166">
        <f>C95*10000/C62</f>
        <v>0.000890683241120136</v>
      </c>
      <c r="D135" s="166">
        <f>D95*10000/D62</f>
        <v>-0.0038270936531496274</v>
      </c>
      <c r="E135" s="166">
        <f>E95*10000/E62</f>
        <v>-0.00503731442875876</v>
      </c>
      <c r="F135" s="166">
        <f>F95*10000/F62</f>
        <v>0.0011932138313928739</v>
      </c>
      <c r="G135" s="166">
        <f>AVERAGE(C135:E135)</f>
        <v>-0.0026579082802627506</v>
      </c>
      <c r="H135" s="166">
        <f>STDEV(C135:E135)</f>
        <v>0.0031321773450192557</v>
      </c>
      <c r="I135" s="166">
        <f>(B135*B4+C135*C4+D135*D4+E135*E4+F135*F4)/SUM(B4:F4)</f>
        <v>-0.0028737949927055105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2003-07-08T16:55:22Z</cp:lastPrinted>
  <dcterms:created xsi:type="dcterms:W3CDTF">1999-06-17T15:15:05Z</dcterms:created>
  <dcterms:modified xsi:type="dcterms:W3CDTF">2003-09-26T12:49:11Z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-1219192229</vt:i4>
  </property>
  <property fmtid="{D5CDD505-2E9C-101B-9397-08002B2CF9AE}" pid="3" name="_EmailSubject">
    <vt:lpwstr>WFM result of aperture 55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