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56_pos5ap2" sheetId="2" r:id="rId2"/>
    <sheet name="HCMQAP056_pos1ap2" sheetId="3" r:id="rId3"/>
    <sheet name="HCMQAP056_pos2ap2" sheetId="4" r:id="rId4"/>
    <sheet name="HCMQAP056_pos3ap2" sheetId="5" r:id="rId5"/>
    <sheet name="HCMQAP056_pos4ap2" sheetId="6" r:id="rId6"/>
    <sheet name="Lmag_hcmqap" sheetId="7" r:id="rId7"/>
    <sheet name="Result_HCMQAP" sheetId="8" r:id="rId8"/>
  </sheets>
  <definedNames>
    <definedName name="_xlnm.Print_Area" localSheetId="2">'HCMQAP056_pos1ap2'!$A$1:$N$28</definedName>
    <definedName name="_xlnm.Print_Area" localSheetId="3">'HCMQAP056_pos2ap2'!$A$1:$N$28</definedName>
    <definedName name="_xlnm.Print_Area" localSheetId="4">'HCMQAP056_pos3ap2'!$A$1:$N$28</definedName>
    <definedName name="_xlnm.Print_Area" localSheetId="5">'HCMQAP056_pos4ap2'!$A$1:$N$28</definedName>
    <definedName name="_xlnm.Print_Area" localSheetId="1">'HCMQAP056_pos5ap2'!$A$1:$N$28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<sst xmlns="http://schemas.openxmlformats.org/spreadsheetml/2006/main" count="505" uniqueCount="191">
  <si>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</si>
  <si>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</si>
  <si>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</si>
  <si>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</si>
  <si>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</si>
  <si>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</si>
  <si>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</si>
  <si>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</si>
  <si>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</si>
  <si>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</si>
  <si>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</si>
  <si>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</si>
  <si>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</si>
  <si>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</si>
  <si>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</si>
  <si>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hcmqap056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</si>
  <si>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</si>
  <si>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</si>
  <si>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</si>
  <si>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</si>
  <si>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</si>
  <si>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</si>
  <si>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</si>
  <si>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</si>
  <si>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</si>
  <si>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</si>
  <si>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</si>
  <si>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</si>
  <si>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</si>
  <si>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</si>
  <si>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</si>
  <si>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</si>
  <si>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</si>
  <si>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</si>
  <si>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</si>
  <si>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</si>
  <si>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</si>
  <si>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</si>
  <si>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</si>
  <si>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</si>
  <si>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</si>
  <si>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</si>
  <si>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</si>
  <si>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</si>
  <si>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</si>
  <si>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</si>
  <si>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</si>
  <si>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</si>
  <si>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</si>
  <si>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</si>
  <si>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</si>
  <si>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</si>
  <si>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</si>
  <si>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</si>
  <si>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</si>
  <si>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-2.094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</si>
  <si>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</si>
  <si>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</si>
  <si>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</si>
  <si>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</si>
  <si>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</si>
  <si>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</si>
  <si>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</si>
  <si>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</si>
  <si>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</si>
  <si>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</si>
  <si>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</si>
  <si>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</si>
  <si>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HCMQAP056_pos5ap2</t>
  </si>
  <si>
    <t>±12.5</t>
  </si>
  <si>
    <t>THCMQAP056_pos5ap2.xls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</si>
  <si>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-2.253 mT)</t>
    </r>
  </si>
  <si>
    <t>HCMQAP056_pos1ap2</t>
  </si>
  <si>
    <t>THCMQAP056_pos1ap2.xls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</si>
  <si>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</si>
  <si>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HCMQAP056_pos2ap2</t>
  </si>
  <si>
    <t>THCMQAP056_pos2ap2.xls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</si>
  <si>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</si>
  <si>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HCMQAP056_pos3ap2</t>
  </si>
  <si>
    <t>THCMQAP056_pos3ap2.xls</t>
  </si>
  <si>
    <t>HCMQAP056_pos4ap2</t>
  </si>
  <si>
    <t>THCMQAP056_pos4ap2.xls</t>
  </si>
  <si>
    <t>Sommaire : Valeurs intégrales calculées avec les fichiers: HCMQAP056_pos5ap2+HCMQAP056_pos1ap2+HCMQAP056_pos2ap2+HCMQAP056_pos3ap2+HCMQAP056_pos4ap2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</si>
  <si>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</si>
  <si>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</si>
  <si>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</si>
  <si>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</si>
  <si>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</si>
  <si>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</si>
  <si>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</si>
  <si>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</si>
  <si>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</si>
  <si>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</si>
  <si>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</si>
  <si>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</si>
  <si>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</si>
  <si>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</si>
  <si>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</si>
  <si>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</si>
  <si>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</si>
  <si>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</si>
  <si>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</si>
  <si>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</si>
  <si>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</si>
  <si>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</si>
  <si>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</si>
  <si>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</si>
  <si>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</si>
  <si>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</si>
  <si>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</si>
  <si>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</si>
  <si>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</si>
  <si>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</si>
  <si>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</si>
  <si>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</si>
  <si>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</si>
  <si>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</si>
  <si>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</si>
  <si>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</si>
  <si>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</si>
  <si>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</si>
  <si>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</si>
  <si>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</si>
  <si>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</si>
  <si>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</si>
  <si>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</si>
  <si>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</t>
    </r>
  </si>
  <si>
    <t>Gradient (T/m)</t>
  </si>
  <si>
    <t xml:space="preserve"> Wed 09/07/2003       09:43:27</t>
  </si>
  <si>
    <t>LISSNER</t>
  </si>
  <si>
    <t>HCMQAP056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</si>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</sst>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56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693517"/>
        <c:axId val="4479606"/>
      </c:lineChart>
      <c:catAx>
        <c:axId val="526935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479606"/>
        <c:crosses val="autoZero"/>
        <c:auto val="1"/>
        <c:lblOffset val="100"/>
        <c:noMultiLvlLbl val="0"/>
      </c:catAx>
      <c:valAx>
        <c:axId val="4479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269351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95250</xdr:rowOff>
    </xdr:from>
    <xdr:to>
      <xdr:col>7</xdr:col>
      <xdr:colOff>19050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171450" y="5915025"/>
        <a:ext cx="5381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37871</v>
      </c>
      <c r="B2" s="24">
        <v>80</v>
      </c>
      <c r="C2" s="24" t="s">
        <v>69</v>
      </c>
      <c r="D2" s="25">
        <v>5</v>
      </c>
      <c r="E2" s="25">
        <v>5</v>
      </c>
      <c r="F2" s="26"/>
      <c r="G2" s="26" t="s">
        <v>68</v>
      </c>
      <c r="H2" s="25">
        <v>1900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37871</v>
      </c>
      <c r="B3" s="24">
        <v>80</v>
      </c>
      <c r="C3" s="24" t="s">
        <v>69</v>
      </c>
      <c r="D3" s="25">
        <v>5</v>
      </c>
      <c r="E3" s="25">
        <v>1</v>
      </c>
      <c r="F3" s="26"/>
      <c r="G3" s="26" t="s">
        <v>72</v>
      </c>
      <c r="H3" s="25">
        <v>1900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37871</v>
      </c>
      <c r="B4" s="24">
        <v>80</v>
      </c>
      <c r="C4" s="24" t="s">
        <v>69</v>
      </c>
      <c r="D4" s="25">
        <v>5</v>
      </c>
      <c r="E4" s="25">
        <v>2</v>
      </c>
      <c r="F4" s="26"/>
      <c r="G4" s="26" t="s">
        <v>75</v>
      </c>
      <c r="H4" s="25">
        <v>1900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37871</v>
      </c>
      <c r="B5" s="24">
        <v>80</v>
      </c>
      <c r="C5" s="24" t="s">
        <v>69</v>
      </c>
      <c r="D5" s="25">
        <v>5</v>
      </c>
      <c r="E5" s="25">
        <v>3</v>
      </c>
      <c r="F5" s="26"/>
      <c r="G5" s="26" t="s">
        <v>78</v>
      </c>
      <c r="H5" s="25">
        <v>1900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>
        <v>37871</v>
      </c>
      <c r="B6" s="24">
        <v>80</v>
      </c>
      <c r="C6" s="24" t="s">
        <v>69</v>
      </c>
      <c r="D6" s="25">
        <v>5</v>
      </c>
      <c r="E6" s="25">
        <v>4</v>
      </c>
      <c r="F6" s="26"/>
      <c r="G6" s="26" t="s">
        <v>80</v>
      </c>
      <c r="H6" s="25">
        <v>1900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3.0419014459999998E-05</v>
      </c>
      <c r="L2" s="54">
        <v>9.245927249974681E-07</v>
      </c>
      <c r="M2" s="54">
        <v>0.00011310253</v>
      </c>
      <c r="N2" s="55">
        <v>1.13197484941324E-07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-2.9848363539999996E-05</v>
      </c>
      <c r="L3" s="54">
        <v>1.0901432106785885E-07</v>
      </c>
      <c r="M3" s="54">
        <v>9.412109999999998E-06</v>
      </c>
      <c r="N3" s="55">
        <v>1.2702349940072763E-07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-0.0020938319100735855</v>
      </c>
      <c r="L4" s="54">
        <v>3.314920285756394E-05</v>
      </c>
      <c r="M4" s="54">
        <v>6.821040249794441E-08</v>
      </c>
      <c r="N4" s="55">
        <v>-7.915256599999999</v>
      </c>
    </row>
    <row r="5" spans="1:14" ht="15" customHeight="1" thickBot="1">
      <c r="A5" t="s">
        <v>18</v>
      </c>
      <c r="B5" s="58">
        <v>37811.40163194444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1900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-1.3661343</v>
      </c>
      <c r="E8" s="77">
        <v>0.023948876359028825</v>
      </c>
      <c r="F8" s="78">
        <v>9.102864499999999</v>
      </c>
      <c r="G8" s="77">
        <v>0.03251531244390595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-1.9379455</v>
      </c>
      <c r="E9" s="80">
        <v>0.02035398975631055</v>
      </c>
      <c r="F9" s="80">
        <v>1.8613050999999998</v>
      </c>
      <c r="G9" s="80">
        <v>0.028762787727213714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-0.75726324</v>
      </c>
      <c r="E10" s="80">
        <v>0.06498717782043982</v>
      </c>
      <c r="F10" s="84">
        <v>-8.161571799999999</v>
      </c>
      <c r="G10" s="80">
        <v>0.014170756464755598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5">
        <v>14.36676</v>
      </c>
      <c r="E11" s="77">
        <v>0.007042373181497978</v>
      </c>
      <c r="F11" s="77">
        <v>1.7931730000000001</v>
      </c>
      <c r="G11" s="77">
        <v>0.00585567969578499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-0.19495617</v>
      </c>
      <c r="E12" s="80">
        <v>0.009879905316125117</v>
      </c>
      <c r="F12" s="80">
        <v>0.45738487999999994</v>
      </c>
      <c r="G12" s="80">
        <v>0.005762958569921704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24.496461</v>
      </c>
      <c r="D13" s="83">
        <v>0.14738742400000002</v>
      </c>
      <c r="E13" s="80">
        <v>0.004123158125424</v>
      </c>
      <c r="F13" s="80">
        <v>-0.024323476</v>
      </c>
      <c r="G13" s="80">
        <v>0.008809308239653339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0.24739109999999997</v>
      </c>
      <c r="E14" s="80">
        <v>0.004406147867810817</v>
      </c>
      <c r="F14" s="80">
        <v>0.35101758000000005</v>
      </c>
      <c r="G14" s="80">
        <v>0.002975777668706957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-0.36178331</v>
      </c>
      <c r="E15" s="77">
        <v>0.0029088925558362357</v>
      </c>
      <c r="F15" s="77">
        <v>0.20580400999999998</v>
      </c>
      <c r="G15" s="77">
        <v>0.005879630910304095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12.5055</v>
      </c>
      <c r="D16" s="83">
        <v>-0.0024643390000000003</v>
      </c>
      <c r="E16" s="80">
        <v>0.0013758829088930497</v>
      </c>
      <c r="F16" s="80">
        <v>0.017053160699999997</v>
      </c>
      <c r="G16" s="80">
        <v>0.0022968017056737367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0.4320000112056732</v>
      </c>
      <c r="D17" s="83">
        <v>0.08778475699999999</v>
      </c>
      <c r="E17" s="80">
        <v>0.0035754210288379347</v>
      </c>
      <c r="F17" s="80">
        <v>0.00725281418</v>
      </c>
      <c r="G17" s="80">
        <v>0.00243138005145113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21.871000289916992</v>
      </c>
      <c r="D18" s="83">
        <v>-0.019252902000000002</v>
      </c>
      <c r="E18" s="80">
        <v>0.0012966274688213026</v>
      </c>
      <c r="F18" s="80">
        <v>0.11692324999999999</v>
      </c>
      <c r="G18" s="80">
        <v>0.002698306296179442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0.08299999684095383</v>
      </c>
      <c r="D19" s="83">
        <v>-0.13197206</v>
      </c>
      <c r="E19" s="80">
        <v>0.0005616858137763112</v>
      </c>
      <c r="F19" s="80">
        <v>-0.032455946</v>
      </c>
      <c r="G19" s="80">
        <v>0.0023942080468317244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0.2323893</v>
      </c>
      <c r="D20" s="89">
        <v>0.0003516219500000001</v>
      </c>
      <c r="E20" s="90">
        <v>0.001847009102784527</v>
      </c>
      <c r="F20" s="90">
        <v>0.00700392046</v>
      </c>
      <c r="G20" s="90">
        <v>0.0015444295850639569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0.9219351999999998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-0.45351118000757573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-2.0940943000000005</v>
      </c>
      <c r="I25" s="102" t="s">
        <v>65</v>
      </c>
      <c r="J25" s="103"/>
      <c r="K25" s="102"/>
      <c r="L25" s="105">
        <v>14.478234087951781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9.20480662648579</v>
      </c>
      <c r="I26" s="107" t="s">
        <v>67</v>
      </c>
      <c r="J26" s="108"/>
      <c r="K26" s="107"/>
      <c r="L26" s="110">
        <v>0.4162240429463875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HCMQAP056_pos5ap2res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6.0927867999999996E-05</v>
      </c>
      <c r="L2" s="54">
        <v>1.6977538033102736E-07</v>
      </c>
      <c r="M2" s="54">
        <v>0.00011063001100000001</v>
      </c>
      <c r="N2" s="55">
        <v>9.980708913598302E-08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-3.1621184000000004E-05</v>
      </c>
      <c r="L3" s="54">
        <v>7.806434393404826E-08</v>
      </c>
      <c r="M3" s="54">
        <v>1.3892849000000001E-05</v>
      </c>
      <c r="N3" s="55">
        <v>1.6253245572496782E-07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-0.0022526534490643437</v>
      </c>
      <c r="L4" s="54">
        <v>2.5083656554120844E-05</v>
      </c>
      <c r="M4" s="54">
        <v>6.109287976457821E-08</v>
      </c>
      <c r="N4" s="55">
        <v>-5.5673499</v>
      </c>
    </row>
    <row r="5" spans="1:14" ht="15" customHeight="1" thickBot="1">
      <c r="A5" t="s">
        <v>18</v>
      </c>
      <c r="B5" s="58">
        <v>37811.3837037037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1900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1.06519379</v>
      </c>
      <c r="E8" s="77">
        <v>0.010050344144729132</v>
      </c>
      <c r="F8" s="77">
        <v>1.5219070000000001</v>
      </c>
      <c r="G8" s="77">
        <v>0.01843211685617424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0.05357386000000001</v>
      </c>
      <c r="E9" s="80">
        <v>0.013050618647228942</v>
      </c>
      <c r="F9" s="80">
        <v>1.03566438</v>
      </c>
      <c r="G9" s="80">
        <v>0.021071762208685688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-0.99217987</v>
      </c>
      <c r="E10" s="80">
        <v>0.012993554483577287</v>
      </c>
      <c r="F10" s="80">
        <v>-1.9128629</v>
      </c>
      <c r="G10" s="80">
        <v>0.009673284278843529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3.7560525</v>
      </c>
      <c r="E11" s="77">
        <v>0.010884640338664594</v>
      </c>
      <c r="F11" s="77">
        <v>0.56628772</v>
      </c>
      <c r="G11" s="77">
        <v>0.00544252994604325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0.03575137085</v>
      </c>
      <c r="E12" s="80">
        <v>0.005077138516780668</v>
      </c>
      <c r="F12" s="80">
        <v>-0.02911006</v>
      </c>
      <c r="G12" s="80">
        <v>0.010077279108006786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23.861695</v>
      </c>
      <c r="D13" s="83">
        <v>0.11570080999999999</v>
      </c>
      <c r="E13" s="80">
        <v>0.0027506087078353826</v>
      </c>
      <c r="F13" s="80">
        <v>-0.15746613</v>
      </c>
      <c r="G13" s="80">
        <v>0.008666205145713958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0.21581953</v>
      </c>
      <c r="E14" s="80">
        <v>0.002394276170493577</v>
      </c>
      <c r="F14" s="80">
        <v>0.33009702</v>
      </c>
      <c r="G14" s="80">
        <v>0.00205937963416057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-0.40666566</v>
      </c>
      <c r="E15" s="77">
        <v>0.0028882757344893466</v>
      </c>
      <c r="F15" s="77">
        <v>0.052327557999999996</v>
      </c>
      <c r="G15" s="77">
        <v>0.002938701398966291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12.5055</v>
      </c>
      <c r="D16" s="83">
        <v>-0.06038092700000001</v>
      </c>
      <c r="E16" s="80">
        <v>0.004436864976260347</v>
      </c>
      <c r="F16" s="80">
        <v>-0.0034274400000000003</v>
      </c>
      <c r="G16" s="80">
        <v>0.0022565496262480023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0.5059999823570251</v>
      </c>
      <c r="D17" s="83">
        <v>0.08751146800000001</v>
      </c>
      <c r="E17" s="80">
        <v>0.0021518865769492635</v>
      </c>
      <c r="F17" s="80">
        <v>-0.13537852</v>
      </c>
      <c r="G17" s="80">
        <v>0.0009512896071137694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44.75899887084961</v>
      </c>
      <c r="D18" s="83">
        <v>0.08468445799999999</v>
      </c>
      <c r="E18" s="80">
        <v>0.0012101214226830357</v>
      </c>
      <c r="F18" s="84">
        <v>0.16674332</v>
      </c>
      <c r="G18" s="80">
        <v>0.0019761585770375592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0.367000013589859</v>
      </c>
      <c r="D19" s="115">
        <v>-0.19246319</v>
      </c>
      <c r="E19" s="80">
        <v>0.0013533637712747153</v>
      </c>
      <c r="F19" s="80">
        <v>0.0014017640000000002</v>
      </c>
      <c r="G19" s="80">
        <v>0.0019772199772165717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0.45046379999999997</v>
      </c>
      <c r="D20" s="89">
        <v>0.0003592568999999998</v>
      </c>
      <c r="E20" s="90">
        <v>0.0015873354953370256</v>
      </c>
      <c r="F20" s="90">
        <v>8.372649000000075E-06</v>
      </c>
      <c r="G20" s="90">
        <v>0.0011542067118817266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0.8398816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-0.3189859217784625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-2.2527931</v>
      </c>
      <c r="I25" s="102" t="s">
        <v>65</v>
      </c>
      <c r="J25" s="103"/>
      <c r="K25" s="102"/>
      <c r="L25" s="105">
        <v>3.798501305064808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1.8576433260730016</v>
      </c>
      <c r="I26" s="107" t="s">
        <v>67</v>
      </c>
      <c r="J26" s="108"/>
      <c r="K26" s="107"/>
      <c r="L26" s="110">
        <v>0.41001845366944034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HCMQAP056_pos1ap2res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-2.8964519999999992E-06</v>
      </c>
      <c r="L2" s="54">
        <v>7.710773194693417E-08</v>
      </c>
      <c r="M2" s="54">
        <v>0.00017409163</v>
      </c>
      <c r="N2" s="55">
        <v>2.699110420228025E-07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-2.9362264E-05</v>
      </c>
      <c r="L3" s="54">
        <v>1.4452710677982845E-07</v>
      </c>
      <c r="M3" s="54">
        <v>1.2566349999999999E-05</v>
      </c>
      <c r="N3" s="55">
        <v>1.561611123168743E-07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-0.0037608880562709545</v>
      </c>
      <c r="L4" s="54">
        <v>4.934807653514594E-05</v>
      </c>
      <c r="M4" s="54">
        <v>4.853834897079835E-09</v>
      </c>
      <c r="N4" s="55">
        <v>-6.5603182</v>
      </c>
    </row>
    <row r="5" spans="1:14" ht="15" customHeight="1" thickBot="1">
      <c r="A5" t="s">
        <v>18</v>
      </c>
      <c r="B5" s="58">
        <v>37811.388125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1900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0.30528728000000005</v>
      </c>
      <c r="E8" s="77">
        <v>0.01902722403448751</v>
      </c>
      <c r="F8" s="77">
        <v>1.3064275</v>
      </c>
      <c r="G8" s="77">
        <v>0.01636689514232423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-0.19604003640000003</v>
      </c>
      <c r="E9" s="80">
        <v>0.019210316797063014</v>
      </c>
      <c r="F9" s="80">
        <v>1.5965539</v>
      </c>
      <c r="G9" s="80">
        <v>0.02077809060139966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0.104038904</v>
      </c>
      <c r="E10" s="80">
        <v>0.00396365299421553</v>
      </c>
      <c r="F10" s="80">
        <v>-1.9593549000000003</v>
      </c>
      <c r="G10" s="80">
        <v>0.005834995761748808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4.105512</v>
      </c>
      <c r="E11" s="77">
        <v>0.004800730850165161</v>
      </c>
      <c r="F11" s="77">
        <v>-0.094759421</v>
      </c>
      <c r="G11" s="77">
        <v>0.008226640858318453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0.18658406999999996</v>
      </c>
      <c r="E12" s="80">
        <v>0.004906178607287293</v>
      </c>
      <c r="F12" s="80">
        <v>-0.052171928</v>
      </c>
      <c r="G12" s="80">
        <v>0.00471212506533578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24.020386</v>
      </c>
      <c r="D13" s="83">
        <v>0.12404559400000001</v>
      </c>
      <c r="E13" s="80">
        <v>0.0028891908546786844</v>
      </c>
      <c r="F13" s="80">
        <v>-0.00561638591</v>
      </c>
      <c r="G13" s="80">
        <v>0.002089203418603898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-0.005942029</v>
      </c>
      <c r="E14" s="80">
        <v>0.004467929308385931</v>
      </c>
      <c r="F14" s="80">
        <v>0.12937423</v>
      </c>
      <c r="G14" s="80">
        <v>0.0016845546303380712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-0.107085095</v>
      </c>
      <c r="E15" s="77">
        <v>0.0024261080332640076</v>
      </c>
      <c r="F15" s="77">
        <v>0.043359700999999994</v>
      </c>
      <c r="G15" s="77">
        <v>0.002536084088052705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12.5055</v>
      </c>
      <c r="D16" s="83">
        <v>-0.001553893</v>
      </c>
      <c r="E16" s="80">
        <v>0.002096993292966265</v>
      </c>
      <c r="F16" s="80">
        <v>-0.0201228876</v>
      </c>
      <c r="G16" s="80">
        <v>0.0021180113505108933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0.08100000023841858</v>
      </c>
      <c r="D17" s="83">
        <v>0.1118045</v>
      </c>
      <c r="E17" s="80">
        <v>0.0017284260250295831</v>
      </c>
      <c r="F17" s="80">
        <v>-0.00737059991</v>
      </c>
      <c r="G17" s="80">
        <v>0.001268649090811954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25.940000534057617</v>
      </c>
      <c r="D18" s="83">
        <v>-0.0076331046</v>
      </c>
      <c r="E18" s="80">
        <v>0.0007577608882201128</v>
      </c>
      <c r="F18" s="80">
        <v>0.14714724999999998</v>
      </c>
      <c r="G18" s="80">
        <v>0.0011879719041310627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0.010999999940395355</v>
      </c>
      <c r="D19" s="115">
        <v>-0.17350998999999998</v>
      </c>
      <c r="E19" s="80">
        <v>0.00074135620211643</v>
      </c>
      <c r="F19" s="80">
        <v>0.0068764279999999995</v>
      </c>
      <c r="G19" s="80">
        <v>0.0011565279371435443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-0.0233996</v>
      </c>
      <c r="D20" s="89">
        <v>3.324945999999994E-05</v>
      </c>
      <c r="E20" s="90">
        <v>0.0009575030162134756</v>
      </c>
      <c r="F20" s="90">
        <v>-0.000273213148</v>
      </c>
      <c r="G20" s="90">
        <v>0.0013473829256938912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0.7866175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-0.375878862614154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-3.7612118</v>
      </c>
      <c r="I25" s="102" t="s">
        <v>65</v>
      </c>
      <c r="J25" s="103"/>
      <c r="K25" s="102"/>
      <c r="L25" s="105">
        <v>4.106605426628209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1.341623321236646</v>
      </c>
      <c r="I26" s="107" t="s">
        <v>67</v>
      </c>
      <c r="J26" s="108"/>
      <c r="K26" s="107"/>
      <c r="L26" s="110">
        <v>0.11553043426720262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HCMQAP056_pos2ap2res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3.8452522E-05</v>
      </c>
      <c r="L2" s="54">
        <v>8.333370282372963E-08</v>
      </c>
      <c r="M2" s="54">
        <v>0.00020199795</v>
      </c>
      <c r="N2" s="55">
        <v>1.6892056417537075E-07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-2.7805372E-05</v>
      </c>
      <c r="L3" s="54">
        <v>1.168637337494039E-07</v>
      </c>
      <c r="M3" s="54">
        <v>1.0760329999999998E-05</v>
      </c>
      <c r="N3" s="55">
        <v>1.2640651328160522E-07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-0.0037598182109632844</v>
      </c>
      <c r="L4" s="54">
        <v>4.977696579877526E-05</v>
      </c>
      <c r="M4" s="54">
        <v>7.503442079153873E-08</v>
      </c>
      <c r="N4" s="55">
        <v>-6.619210700000001</v>
      </c>
    </row>
    <row r="5" spans="1:14" ht="15" customHeight="1" thickBot="1">
      <c r="A5" t="s">
        <v>18</v>
      </c>
      <c r="B5" s="58">
        <v>37811.39263888889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1900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1.4650808</v>
      </c>
      <c r="E8" s="77">
        <v>0.012229304659721446</v>
      </c>
      <c r="F8" s="77">
        <v>3.27104</v>
      </c>
      <c r="G8" s="77">
        <v>0.01922656508328363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-0.10772987999999999</v>
      </c>
      <c r="E9" s="80">
        <v>0.03921795237971511</v>
      </c>
      <c r="F9" s="80">
        <v>0.98693188</v>
      </c>
      <c r="G9" s="80">
        <v>0.011730176817831107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-0.6091542799999999</v>
      </c>
      <c r="E10" s="80">
        <v>0.004243056624964935</v>
      </c>
      <c r="F10" s="80">
        <v>-1.4696840999999998</v>
      </c>
      <c r="G10" s="80">
        <v>0.0029404028874076347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4.1371833</v>
      </c>
      <c r="E11" s="77">
        <v>0.0041481799327177105</v>
      </c>
      <c r="F11" s="77">
        <v>0.39193034000000004</v>
      </c>
      <c r="G11" s="77">
        <v>0.0034556767528741636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0.106997382</v>
      </c>
      <c r="E12" s="80">
        <v>0.0036051920973195063</v>
      </c>
      <c r="F12" s="80">
        <v>-0.158499557</v>
      </c>
      <c r="G12" s="80">
        <v>0.0024058888921768815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24.20044</v>
      </c>
      <c r="D13" s="83">
        <v>0.05219047498</v>
      </c>
      <c r="E13" s="80">
        <v>0.004328902371170969</v>
      </c>
      <c r="F13" s="80">
        <v>-0.082754793</v>
      </c>
      <c r="G13" s="80">
        <v>0.0036393326498639455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0.064061359</v>
      </c>
      <c r="E14" s="80">
        <v>0.003153471817591611</v>
      </c>
      <c r="F14" s="80">
        <v>0.10468136800000001</v>
      </c>
      <c r="G14" s="80">
        <v>0.0022215267093385685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-0.11292686999999998</v>
      </c>
      <c r="E15" s="77">
        <v>0.0022501102085458195</v>
      </c>
      <c r="F15" s="77">
        <v>0.084551018</v>
      </c>
      <c r="G15" s="77">
        <v>0.004468081231474583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12.5055</v>
      </c>
      <c r="D16" s="83">
        <v>-0.07933384800000001</v>
      </c>
      <c r="E16" s="80">
        <v>0.0020161687937434868</v>
      </c>
      <c r="F16" s="80">
        <v>-0.049826432999999996</v>
      </c>
      <c r="G16" s="80">
        <v>0.002431629516572436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0.28200000524520874</v>
      </c>
      <c r="D17" s="83">
        <v>0.11716344999999999</v>
      </c>
      <c r="E17" s="80">
        <v>0.0023447583542878813</v>
      </c>
      <c r="F17" s="80">
        <v>-0.06562316399999998</v>
      </c>
      <c r="G17" s="80">
        <v>0.001547177003828416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8.647000312805176</v>
      </c>
      <c r="D18" s="83">
        <v>0.03474241</v>
      </c>
      <c r="E18" s="80">
        <v>0.0007944662297919678</v>
      </c>
      <c r="F18" s="84">
        <v>0.15240541999999999</v>
      </c>
      <c r="G18" s="80">
        <v>0.0013001807638181218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-0.027000000700354576</v>
      </c>
      <c r="D19" s="115">
        <v>-0.17339043999999998</v>
      </c>
      <c r="E19" s="80">
        <v>0.0006060646115764467</v>
      </c>
      <c r="F19" s="80">
        <v>0.004574008950000001</v>
      </c>
      <c r="G19" s="80">
        <v>0.0012568471198715105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0.1617701</v>
      </c>
      <c r="D20" s="89">
        <v>-0.002461751038</v>
      </c>
      <c r="E20" s="90">
        <v>0.0012600906596144954</v>
      </c>
      <c r="F20" s="90">
        <v>0.00155518818</v>
      </c>
      <c r="G20" s="90">
        <v>0.0008307211598229654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0.9154607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-0.3792531571592729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-3.7601476999999996</v>
      </c>
      <c r="I25" s="102" t="s">
        <v>65</v>
      </c>
      <c r="J25" s="103"/>
      <c r="K25" s="102"/>
      <c r="L25" s="105">
        <v>4.155706323744666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3.584154632842819</v>
      </c>
      <c r="I26" s="107" t="s">
        <v>67</v>
      </c>
      <c r="J26" s="108"/>
      <c r="K26" s="107"/>
      <c r="L26" s="110">
        <v>0.14107215392427105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HCMQAP056_pos3ap2res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8.746004E-06</v>
      </c>
      <c r="L2" s="54">
        <v>2.1234869911065867E-07</v>
      </c>
      <c r="M2" s="54">
        <v>0.00018292046999999998</v>
      </c>
      <c r="N2" s="55">
        <v>1.58747685351585E-07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-2.7893104E-05</v>
      </c>
      <c r="L3" s="54">
        <v>1.625378702760351E-07</v>
      </c>
      <c r="M3" s="54">
        <v>9.860130000000004E-06</v>
      </c>
      <c r="N3" s="55">
        <v>1.9815300048195064E-07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-0.003759674857970107</v>
      </c>
      <c r="L4" s="54">
        <v>4.940091444308246E-05</v>
      </c>
      <c r="M4" s="54">
        <v>3.1103699196749096E-08</v>
      </c>
      <c r="N4" s="55">
        <v>-6.569460599999999</v>
      </c>
    </row>
    <row r="5" spans="1:14" ht="15" customHeight="1" thickBot="1">
      <c r="A5" t="s">
        <v>18</v>
      </c>
      <c r="B5" s="58">
        <v>37811.397141203706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1900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1.7831988999999997</v>
      </c>
      <c r="E8" s="77">
        <v>0.00593294586536706</v>
      </c>
      <c r="F8" s="77">
        <v>1.4996141</v>
      </c>
      <c r="G8" s="77">
        <v>0.021599487358263884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0.05852123</v>
      </c>
      <c r="E9" s="80">
        <v>0.013395489826788714</v>
      </c>
      <c r="F9" s="80">
        <v>0.97228257</v>
      </c>
      <c r="G9" s="80">
        <v>0.007874754368851258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-0.5546579700000001</v>
      </c>
      <c r="E10" s="80">
        <v>0.007578850179187343</v>
      </c>
      <c r="F10" s="80">
        <v>-1.7365317</v>
      </c>
      <c r="G10" s="80">
        <v>0.00791268193849844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4.0495913</v>
      </c>
      <c r="E11" s="77">
        <v>0.0025514832278561075</v>
      </c>
      <c r="F11" s="77">
        <v>0.22325221</v>
      </c>
      <c r="G11" s="77">
        <v>0.005020063670053637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-0.021753201299999997</v>
      </c>
      <c r="E12" s="80">
        <v>0.002815157746653449</v>
      </c>
      <c r="F12" s="80">
        <v>0.009110313</v>
      </c>
      <c r="G12" s="80">
        <v>0.004161293018433812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24.365235</v>
      </c>
      <c r="D13" s="83">
        <v>-0.098828112</v>
      </c>
      <c r="E13" s="80">
        <v>0.0030641584921196406</v>
      </c>
      <c r="F13" s="80">
        <v>-0.071019176</v>
      </c>
      <c r="G13" s="80">
        <v>0.0026710616902504117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-0.005540861999999999</v>
      </c>
      <c r="E14" s="80">
        <v>0.0023037300029096295</v>
      </c>
      <c r="F14" s="80">
        <v>0.07671377900000001</v>
      </c>
      <c r="G14" s="80">
        <v>0.003063423512197351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-0.129117948</v>
      </c>
      <c r="E15" s="77">
        <v>0.0034318842522171582</v>
      </c>
      <c r="F15" s="77">
        <v>0.056852605</v>
      </c>
      <c r="G15" s="77">
        <v>0.0014009923118988227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12.5055</v>
      </c>
      <c r="D16" s="83">
        <v>-0.049513675</v>
      </c>
      <c r="E16" s="80">
        <v>0.002376303405684929</v>
      </c>
      <c r="F16" s="80">
        <v>-0.04651480400000001</v>
      </c>
      <c r="G16" s="80">
        <v>0.003194396462107338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-0.23600000143051147</v>
      </c>
      <c r="D17" s="83">
        <v>0.1107184</v>
      </c>
      <c r="E17" s="80">
        <v>0.0020216593785799776</v>
      </c>
      <c r="F17" s="80">
        <v>-0.027452004000000002</v>
      </c>
      <c r="G17" s="80">
        <v>0.0033087360458344053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121.0530014038086</v>
      </c>
      <c r="D18" s="83">
        <v>0.009700537700000001</v>
      </c>
      <c r="E18" s="80">
        <v>0.0019985681749397897</v>
      </c>
      <c r="F18" s="80">
        <v>0.14521098000000002</v>
      </c>
      <c r="G18" s="80">
        <v>0.0015081237839124693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-0.41100001335144043</v>
      </c>
      <c r="D19" s="115">
        <v>-0.17088362999999998</v>
      </c>
      <c r="E19" s="80">
        <v>0.0008625099371070733</v>
      </c>
      <c r="F19" s="80">
        <v>-0.00052743002</v>
      </c>
      <c r="G19" s="80">
        <v>0.0015041733597934803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0.0287009</v>
      </c>
      <c r="D20" s="89">
        <v>0.00121344065</v>
      </c>
      <c r="E20" s="90">
        <v>0.0006649590613172247</v>
      </c>
      <c r="F20" s="90">
        <v>-0.00269067198</v>
      </c>
      <c r="G20" s="90">
        <v>0.0006188641274095646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0.8274743999999998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-0.37640268399122734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-3.7599994</v>
      </c>
      <c r="I25" s="102" t="s">
        <v>65</v>
      </c>
      <c r="J25" s="103"/>
      <c r="K25" s="102"/>
      <c r="L25" s="105">
        <v>4.055740529953264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2.3299443696964137</v>
      </c>
      <c r="I26" s="107" t="s">
        <v>67</v>
      </c>
      <c r="J26" s="108"/>
      <c r="K26" s="107"/>
      <c r="L26" s="110">
        <v>0.14108034303550843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HCMQAP056_pos4ap2res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119</v>
      </c>
      <c r="B1" s="131" t="s">
        <v>72</v>
      </c>
      <c r="C1" s="121" t="s">
        <v>75</v>
      </c>
      <c r="D1" s="121" t="s">
        <v>78</v>
      </c>
      <c r="E1" s="121" t="s">
        <v>80</v>
      </c>
      <c r="F1" s="128" t="s">
        <v>68</v>
      </c>
      <c r="G1" s="163" t="s">
        <v>120</v>
      </c>
    </row>
    <row r="2" spans="1:7" ht="13.5" thickBot="1">
      <c r="A2" s="140" t="s">
        <v>89</v>
      </c>
      <c r="B2" s="132">
        <v>-2.2527931</v>
      </c>
      <c r="C2" s="123">
        <v>-3.7612118</v>
      </c>
      <c r="D2" s="123">
        <v>-3.7601476999999996</v>
      </c>
      <c r="E2" s="123">
        <v>-3.7599994</v>
      </c>
      <c r="F2" s="129">
        <v>-2.0940943000000005</v>
      </c>
      <c r="G2" s="164">
        <v>3.1165452684170876</v>
      </c>
    </row>
    <row r="3" spans="1:7" ht="14.25" thickBot="1" thickTop="1">
      <c r="A3" s="148" t="s">
        <v>88</v>
      </c>
      <c r="B3" s="149" t="s">
        <v>83</v>
      </c>
      <c r="C3" s="150" t="s">
        <v>84</v>
      </c>
      <c r="D3" s="150" t="s">
        <v>85</v>
      </c>
      <c r="E3" s="150" t="s">
        <v>86</v>
      </c>
      <c r="F3" s="151" t="s">
        <v>87</v>
      </c>
      <c r="G3" s="158" t="s">
        <v>121</v>
      </c>
    </row>
    <row r="4" spans="1:7" ht="12.75">
      <c r="A4" s="145" t="s">
        <v>90</v>
      </c>
      <c r="B4" s="146">
        <v>1.06519379</v>
      </c>
      <c r="C4" s="147">
        <v>0.30528728000000005</v>
      </c>
      <c r="D4" s="147">
        <v>1.4650808</v>
      </c>
      <c r="E4" s="147">
        <v>1.7831988999999997</v>
      </c>
      <c r="F4" s="152">
        <v>-1.3661343</v>
      </c>
      <c r="G4" s="159">
        <v>0.8254825292874404</v>
      </c>
    </row>
    <row r="5" spans="1:7" ht="12.75">
      <c r="A5" s="140" t="s">
        <v>92</v>
      </c>
      <c r="B5" s="134">
        <v>0.05357386000000001</v>
      </c>
      <c r="C5" s="118">
        <v>-0.19604003640000003</v>
      </c>
      <c r="D5" s="118">
        <v>-0.10772987999999999</v>
      </c>
      <c r="E5" s="118">
        <v>0.05852123</v>
      </c>
      <c r="F5" s="153">
        <v>-1.9379455</v>
      </c>
      <c r="G5" s="160">
        <v>-0.31097144739191934</v>
      </c>
    </row>
    <row r="6" spans="1:7" ht="12.75">
      <c r="A6" s="140" t="s">
        <v>94</v>
      </c>
      <c r="B6" s="134">
        <v>-0.99217987</v>
      </c>
      <c r="C6" s="118">
        <v>0.104038904</v>
      </c>
      <c r="D6" s="118">
        <v>-0.6091542799999999</v>
      </c>
      <c r="E6" s="118">
        <v>-0.5546579700000001</v>
      </c>
      <c r="F6" s="153">
        <v>-0.75726324</v>
      </c>
      <c r="G6" s="160">
        <v>-0.4994589793153526</v>
      </c>
    </row>
    <row r="7" spans="1:7" ht="12.75">
      <c r="A7" s="140" t="s">
        <v>96</v>
      </c>
      <c r="B7" s="133">
        <v>3.7560525</v>
      </c>
      <c r="C7" s="117">
        <v>4.105512</v>
      </c>
      <c r="D7" s="117">
        <v>4.1371833</v>
      </c>
      <c r="E7" s="117">
        <v>4.0495913</v>
      </c>
      <c r="F7" s="154">
        <v>14.36676</v>
      </c>
      <c r="G7" s="160">
        <v>5.4242516441762225</v>
      </c>
    </row>
    <row r="8" spans="1:7" ht="12.75">
      <c r="A8" s="140" t="s">
        <v>98</v>
      </c>
      <c r="B8" s="134">
        <v>0.03575137085</v>
      </c>
      <c r="C8" s="118">
        <v>0.18658406999999996</v>
      </c>
      <c r="D8" s="118">
        <v>0.106997382</v>
      </c>
      <c r="E8" s="118">
        <v>-0.021753201299999997</v>
      </c>
      <c r="F8" s="153">
        <v>-0.19495617</v>
      </c>
      <c r="G8" s="160">
        <v>0.044445164585924006</v>
      </c>
    </row>
    <row r="9" spans="1:7" ht="12.75">
      <c r="A9" s="140" t="s">
        <v>100</v>
      </c>
      <c r="B9" s="134">
        <v>0.11570080999999999</v>
      </c>
      <c r="C9" s="118">
        <v>0.12404559400000001</v>
      </c>
      <c r="D9" s="118">
        <v>0.05219047498</v>
      </c>
      <c r="E9" s="118">
        <v>-0.098828112</v>
      </c>
      <c r="F9" s="153">
        <v>0.14738742400000002</v>
      </c>
      <c r="G9" s="160">
        <v>0.05506089032191189</v>
      </c>
    </row>
    <row r="10" spans="1:7" ht="12.75">
      <c r="A10" s="140" t="s">
        <v>102</v>
      </c>
      <c r="B10" s="134">
        <v>0.21581953</v>
      </c>
      <c r="C10" s="118">
        <v>-0.005942029</v>
      </c>
      <c r="D10" s="118">
        <v>0.064061359</v>
      </c>
      <c r="E10" s="118">
        <v>-0.005540861999999999</v>
      </c>
      <c r="F10" s="153">
        <v>0.24739109999999997</v>
      </c>
      <c r="G10" s="160">
        <v>0.07690909918193907</v>
      </c>
    </row>
    <row r="11" spans="1:7" ht="12.75">
      <c r="A11" s="140" t="s">
        <v>104</v>
      </c>
      <c r="B11" s="133">
        <v>-0.40666566</v>
      </c>
      <c r="C11" s="117">
        <v>-0.107085095</v>
      </c>
      <c r="D11" s="117">
        <v>-0.11292686999999998</v>
      </c>
      <c r="E11" s="117">
        <v>-0.129117948</v>
      </c>
      <c r="F11" s="155">
        <v>-0.36178331</v>
      </c>
      <c r="G11" s="160">
        <v>-0.19110377090660072</v>
      </c>
    </row>
    <row r="12" spans="1:7" ht="12.75">
      <c r="A12" s="140" t="s">
        <v>106</v>
      </c>
      <c r="B12" s="134">
        <v>-0.06038092700000001</v>
      </c>
      <c r="C12" s="118">
        <v>-0.001553893</v>
      </c>
      <c r="D12" s="118">
        <v>-0.07933384800000001</v>
      </c>
      <c r="E12" s="118">
        <v>-0.049513675</v>
      </c>
      <c r="F12" s="153">
        <v>-0.0024643390000000003</v>
      </c>
      <c r="G12" s="160">
        <v>-0.04040819276306475</v>
      </c>
    </row>
    <row r="13" spans="1:7" ht="12.75">
      <c r="A13" s="140" t="s">
        <v>108</v>
      </c>
      <c r="B13" s="134">
        <v>0.08751146800000001</v>
      </c>
      <c r="C13" s="118">
        <v>0.1118045</v>
      </c>
      <c r="D13" s="118">
        <v>0.11716344999999999</v>
      </c>
      <c r="E13" s="118">
        <v>0.1107184</v>
      </c>
      <c r="F13" s="153">
        <v>0.08778475699999999</v>
      </c>
      <c r="G13" s="161">
        <v>0.10611223793199885</v>
      </c>
    </row>
    <row r="14" spans="1:7" ht="12.75">
      <c r="A14" s="140" t="s">
        <v>110</v>
      </c>
      <c r="B14" s="134">
        <v>0.08468445799999999</v>
      </c>
      <c r="C14" s="118">
        <v>-0.0076331046</v>
      </c>
      <c r="D14" s="118">
        <v>0.03474241</v>
      </c>
      <c r="E14" s="118">
        <v>0.009700537700000001</v>
      </c>
      <c r="F14" s="153">
        <v>-0.019252902000000002</v>
      </c>
      <c r="G14" s="160">
        <v>0.018483203468354685</v>
      </c>
    </row>
    <row r="15" spans="1:7" ht="12.75">
      <c r="A15" s="140" t="s">
        <v>112</v>
      </c>
      <c r="B15" s="135">
        <v>-0.19246319</v>
      </c>
      <c r="C15" s="119">
        <v>-0.17350998999999998</v>
      </c>
      <c r="D15" s="119">
        <v>-0.17339043999999998</v>
      </c>
      <c r="E15" s="119">
        <v>-0.17088362999999998</v>
      </c>
      <c r="F15" s="153">
        <v>-0.13197206</v>
      </c>
      <c r="G15" s="160">
        <v>-0.17001559012318218</v>
      </c>
    </row>
    <row r="16" spans="1:7" ht="12.75">
      <c r="A16" s="140" t="s">
        <v>114</v>
      </c>
      <c r="B16" s="134">
        <v>0.0003592568999999998</v>
      </c>
      <c r="C16" s="118">
        <v>3.324945999999994E-05</v>
      </c>
      <c r="D16" s="118">
        <v>-0.002461751038</v>
      </c>
      <c r="E16" s="118">
        <v>0.00121344065</v>
      </c>
      <c r="F16" s="153">
        <v>0.0003516219500000001</v>
      </c>
      <c r="G16" s="160">
        <v>-0.00019345050503713902</v>
      </c>
    </row>
    <row r="17" spans="1:7" ht="12.75">
      <c r="A17" s="140" t="s">
        <v>91</v>
      </c>
      <c r="B17" s="133">
        <v>1.5219070000000001</v>
      </c>
      <c r="C17" s="117">
        <v>1.3064275</v>
      </c>
      <c r="D17" s="117">
        <v>3.27104</v>
      </c>
      <c r="E17" s="117">
        <v>1.4996141</v>
      </c>
      <c r="F17" s="154">
        <v>9.102864499999999</v>
      </c>
      <c r="G17" s="160">
        <v>2.901329397991897</v>
      </c>
    </row>
    <row r="18" spans="1:7" ht="12.75">
      <c r="A18" s="140" t="s">
        <v>93</v>
      </c>
      <c r="B18" s="134">
        <v>1.03566438</v>
      </c>
      <c r="C18" s="118">
        <v>1.5965539</v>
      </c>
      <c r="D18" s="118">
        <v>0.98693188</v>
      </c>
      <c r="E18" s="118">
        <v>0.97228257</v>
      </c>
      <c r="F18" s="153">
        <v>1.8613050999999998</v>
      </c>
      <c r="G18" s="160">
        <v>1.2543093114763528</v>
      </c>
    </row>
    <row r="19" spans="1:7" ht="12.75">
      <c r="A19" s="140" t="s">
        <v>95</v>
      </c>
      <c r="B19" s="134">
        <v>-1.9128629</v>
      </c>
      <c r="C19" s="118">
        <v>-1.9593549000000003</v>
      </c>
      <c r="D19" s="118">
        <v>-1.4696840999999998</v>
      </c>
      <c r="E19" s="118">
        <v>-1.7365317</v>
      </c>
      <c r="F19" s="156">
        <v>-8.161571799999999</v>
      </c>
      <c r="G19" s="161">
        <v>-2.61229064047174</v>
      </c>
    </row>
    <row r="20" spans="1:7" ht="12.75">
      <c r="A20" s="140" t="s">
        <v>97</v>
      </c>
      <c r="B20" s="133">
        <v>0.56628772</v>
      </c>
      <c r="C20" s="117">
        <v>-0.094759421</v>
      </c>
      <c r="D20" s="117">
        <v>0.39193034000000004</v>
      </c>
      <c r="E20" s="117">
        <v>0.22325221</v>
      </c>
      <c r="F20" s="155">
        <v>1.7931730000000001</v>
      </c>
      <c r="G20" s="160">
        <v>0.4471094313491948</v>
      </c>
    </row>
    <row r="21" spans="1:7" ht="12.75">
      <c r="A21" s="140" t="s">
        <v>99</v>
      </c>
      <c r="B21" s="134">
        <v>-0.02911006</v>
      </c>
      <c r="C21" s="118">
        <v>-0.052171928</v>
      </c>
      <c r="D21" s="118">
        <v>-0.158499557</v>
      </c>
      <c r="E21" s="118">
        <v>0.009110313</v>
      </c>
      <c r="F21" s="153">
        <v>0.45738487999999994</v>
      </c>
      <c r="G21" s="160">
        <v>0.008591589914505695</v>
      </c>
    </row>
    <row r="22" spans="1:7" ht="12.75">
      <c r="A22" s="140" t="s">
        <v>101</v>
      </c>
      <c r="B22" s="134">
        <v>-0.15746613</v>
      </c>
      <c r="C22" s="118">
        <v>-0.00561638591</v>
      </c>
      <c r="D22" s="118">
        <v>-0.082754793</v>
      </c>
      <c r="E22" s="118">
        <v>-0.071019176</v>
      </c>
      <c r="F22" s="153">
        <v>-0.024323476</v>
      </c>
      <c r="G22" s="160">
        <v>-0.06430670242667957</v>
      </c>
    </row>
    <row r="23" spans="1:7" ht="12.75">
      <c r="A23" s="140" t="s">
        <v>103</v>
      </c>
      <c r="B23" s="134">
        <v>0.33009702</v>
      </c>
      <c r="C23" s="118">
        <v>0.12937423</v>
      </c>
      <c r="D23" s="118">
        <v>0.10468136800000001</v>
      </c>
      <c r="E23" s="118">
        <v>0.07671377900000001</v>
      </c>
      <c r="F23" s="153">
        <v>0.35101758000000005</v>
      </c>
      <c r="G23" s="160">
        <v>0.16939643772353757</v>
      </c>
    </row>
    <row r="24" spans="1:7" ht="12.75">
      <c r="A24" s="140" t="s">
        <v>105</v>
      </c>
      <c r="B24" s="133">
        <v>0.052327557999999996</v>
      </c>
      <c r="C24" s="117">
        <v>0.043359700999999994</v>
      </c>
      <c r="D24" s="117">
        <v>0.084551018</v>
      </c>
      <c r="E24" s="117">
        <v>0.056852605</v>
      </c>
      <c r="F24" s="155">
        <v>0.20580400999999998</v>
      </c>
      <c r="G24" s="160">
        <v>0.07957586779649486</v>
      </c>
    </row>
    <row r="25" spans="1:7" ht="12.75">
      <c r="A25" s="140" t="s">
        <v>107</v>
      </c>
      <c r="B25" s="134">
        <v>-0.0034274400000000003</v>
      </c>
      <c r="C25" s="118">
        <v>-0.0201228876</v>
      </c>
      <c r="D25" s="118">
        <v>-0.049826432999999996</v>
      </c>
      <c r="E25" s="118">
        <v>-0.04651480400000001</v>
      </c>
      <c r="F25" s="153">
        <v>0.017053160699999997</v>
      </c>
      <c r="G25" s="160">
        <v>-0.02623117165937392</v>
      </c>
    </row>
    <row r="26" spans="1:7" ht="12.75">
      <c r="A26" s="140" t="s">
        <v>109</v>
      </c>
      <c r="B26" s="134">
        <v>-0.13537852</v>
      </c>
      <c r="C26" s="118">
        <v>-0.00737059991</v>
      </c>
      <c r="D26" s="118">
        <v>-0.06562316399999998</v>
      </c>
      <c r="E26" s="118">
        <v>-0.027452004000000002</v>
      </c>
      <c r="F26" s="153">
        <v>0.00725281418</v>
      </c>
      <c r="G26" s="160">
        <v>-0.04271025687735713</v>
      </c>
    </row>
    <row r="27" spans="1:7" ht="12.75">
      <c r="A27" s="140" t="s">
        <v>111</v>
      </c>
      <c r="B27" s="135">
        <v>0.16674332</v>
      </c>
      <c r="C27" s="118">
        <v>0.14714724999999998</v>
      </c>
      <c r="D27" s="119">
        <v>0.15240541999999999</v>
      </c>
      <c r="E27" s="118">
        <v>0.14521098000000002</v>
      </c>
      <c r="F27" s="153">
        <v>0.11692324999999999</v>
      </c>
      <c r="G27" s="161">
        <v>0.14672142531571586</v>
      </c>
    </row>
    <row r="28" spans="1:7" ht="12.75">
      <c r="A28" s="140" t="s">
        <v>113</v>
      </c>
      <c r="B28" s="134">
        <v>0.0014017640000000002</v>
      </c>
      <c r="C28" s="118">
        <v>0.0068764279999999995</v>
      </c>
      <c r="D28" s="118">
        <v>0.004574008950000001</v>
      </c>
      <c r="E28" s="118">
        <v>-0.00052743002</v>
      </c>
      <c r="F28" s="153">
        <v>-0.032455946</v>
      </c>
      <c r="G28" s="160">
        <v>-0.0015183029488631168</v>
      </c>
    </row>
    <row r="29" spans="1:7" ht="13.5" thickBot="1">
      <c r="A29" s="141" t="s">
        <v>115</v>
      </c>
      <c r="B29" s="136">
        <v>8.372649000000075E-06</v>
      </c>
      <c r="C29" s="120">
        <v>-0.000273213148</v>
      </c>
      <c r="D29" s="120">
        <v>0.00155518818</v>
      </c>
      <c r="E29" s="120">
        <v>-0.00269067198</v>
      </c>
      <c r="F29" s="157">
        <v>0.00700392046</v>
      </c>
      <c r="G29" s="162">
        <v>0.0006007667968708641</v>
      </c>
    </row>
    <row r="30" spans="1:7" ht="13.5" thickTop="1">
      <c r="A30" s="142" t="s">
        <v>116</v>
      </c>
      <c r="B30" s="137">
        <v>-0.3189859217784625</v>
      </c>
      <c r="C30" s="126">
        <v>-0.375878862614154</v>
      </c>
      <c r="D30" s="126">
        <v>-0.3792531571592729</v>
      </c>
      <c r="E30" s="126">
        <v>-0.37640268399122734</v>
      </c>
      <c r="F30" s="122">
        <v>-0.45351118000757573</v>
      </c>
      <c r="G30" s="163" t="s">
        <v>127</v>
      </c>
    </row>
    <row r="31" spans="1:7" ht="13.5" thickBot="1">
      <c r="A31" s="143" t="s">
        <v>117</v>
      </c>
      <c r="B31" s="132">
        <v>23.861695</v>
      </c>
      <c r="C31" s="123">
        <v>24.020386</v>
      </c>
      <c r="D31" s="123">
        <v>24.20044</v>
      </c>
      <c r="E31" s="123">
        <v>24.365235</v>
      </c>
      <c r="F31" s="124">
        <v>24.496461</v>
      </c>
      <c r="G31" s="165">
        <v>-210.05</v>
      </c>
    </row>
    <row r="32" spans="1:7" ht="15.75" thickBot="1" thickTop="1">
      <c r="A32" s="144" t="s">
        <v>118</v>
      </c>
      <c r="B32" s="138">
        <v>0.4364999979734421</v>
      </c>
      <c r="C32" s="127">
        <v>0.04600000008940697</v>
      </c>
      <c r="D32" s="127">
        <v>0.12750000227242708</v>
      </c>
      <c r="E32" s="127">
        <v>-0.32350000739097595</v>
      </c>
      <c r="F32" s="125">
        <v>0.2575000040233135</v>
      </c>
      <c r="G32" s="130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128</v>
      </c>
      <c r="B1" s="166" t="s">
        <v>129</v>
      </c>
      <c r="C1" s="166" t="s">
        <v>130</v>
      </c>
      <c r="D1" s="166" t="s">
        <v>131</v>
      </c>
      <c r="E1" s="166" t="s">
        <v>132</v>
      </c>
    </row>
    <row r="3" spans="1:7" ht="12.75">
      <c r="A3" s="166" t="s">
        <v>133</v>
      </c>
      <c r="B3" s="166" t="s">
        <v>83</v>
      </c>
      <c r="C3" s="166" t="s">
        <v>84</v>
      </c>
      <c r="D3" s="166" t="s">
        <v>85</v>
      </c>
      <c r="E3" s="166" t="s">
        <v>86</v>
      </c>
      <c r="F3" s="166" t="s">
        <v>87</v>
      </c>
      <c r="G3" s="166" t="s">
        <v>134</v>
      </c>
    </row>
    <row r="4" spans="1:7" ht="12.75">
      <c r="A4" s="166" t="s">
        <v>135</v>
      </c>
      <c r="B4" s="166">
        <v>0.002252</v>
      </c>
      <c r="C4" s="166">
        <v>0.003759</v>
      </c>
      <c r="D4" s="166">
        <v>0.003758</v>
      </c>
      <c r="E4" s="166">
        <v>0.003758</v>
      </c>
      <c r="F4" s="166">
        <v>0.002093</v>
      </c>
      <c r="G4" s="166">
        <v>0.011714</v>
      </c>
    </row>
    <row r="5" spans="1:7" ht="12.75">
      <c r="A5" s="166" t="s">
        <v>136</v>
      </c>
      <c r="B5" s="166">
        <v>0.976395</v>
      </c>
      <c r="C5" s="166">
        <v>-0.280162</v>
      </c>
      <c r="D5" s="166">
        <v>0.030167</v>
      </c>
      <c r="E5" s="166">
        <v>0.143558</v>
      </c>
      <c r="F5" s="166">
        <v>-0.954315</v>
      </c>
      <c r="G5" s="166">
        <v>-6.710812</v>
      </c>
    </row>
    <row r="6" spans="1:7" ht="12.75">
      <c r="A6" s="166" t="s">
        <v>137</v>
      </c>
      <c r="B6" s="167">
        <v>-349.7583</v>
      </c>
      <c r="C6" s="167">
        <v>-73.16791</v>
      </c>
      <c r="D6" s="167">
        <v>-182.1487</v>
      </c>
      <c r="E6" s="167">
        <v>-103.3406</v>
      </c>
      <c r="F6" s="167">
        <v>-225.9455</v>
      </c>
      <c r="G6" s="167">
        <v>1002.847</v>
      </c>
    </row>
    <row r="7" spans="1:7" ht="12.75">
      <c r="A7" s="166" t="s">
        <v>138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90</v>
      </c>
      <c r="B8" s="167">
        <v>1.07072</v>
      </c>
      <c r="C8" s="167">
        <v>0.3366025</v>
      </c>
      <c r="D8" s="167">
        <v>1.460658</v>
      </c>
      <c r="E8" s="167">
        <v>1.792086</v>
      </c>
      <c r="F8" s="167">
        <v>-1.376853</v>
      </c>
      <c r="G8" s="167">
        <v>2.899045</v>
      </c>
    </row>
    <row r="9" spans="1:7" ht="12.75">
      <c r="A9" s="166" t="s">
        <v>92</v>
      </c>
      <c r="B9" s="167">
        <v>-0.01499371</v>
      </c>
      <c r="C9" s="167">
        <v>-0.2242221</v>
      </c>
      <c r="D9" s="167">
        <v>-0.08787173</v>
      </c>
      <c r="E9" s="167">
        <v>0.06439358</v>
      </c>
      <c r="F9" s="167">
        <v>-1.842934</v>
      </c>
      <c r="G9" s="167">
        <v>0.308794</v>
      </c>
    </row>
    <row r="10" spans="1:7" ht="12.75">
      <c r="A10" s="166" t="s">
        <v>139</v>
      </c>
      <c r="B10" s="167">
        <v>-0.6386915</v>
      </c>
      <c r="C10" s="167">
        <v>-0.09371639</v>
      </c>
      <c r="D10" s="167">
        <v>-0.5853091</v>
      </c>
      <c r="E10" s="167">
        <v>-0.6790143</v>
      </c>
      <c r="F10" s="167">
        <v>-0.4199593</v>
      </c>
      <c r="G10" s="167">
        <v>2.573335</v>
      </c>
    </row>
    <row r="11" spans="1:7" ht="12.75">
      <c r="A11" s="166" t="s">
        <v>96</v>
      </c>
      <c r="B11" s="167">
        <v>3.751972</v>
      </c>
      <c r="C11" s="167">
        <v>4.092347</v>
      </c>
      <c r="D11" s="167">
        <v>4.138407</v>
      </c>
      <c r="E11" s="167">
        <v>4.048741</v>
      </c>
      <c r="F11" s="167">
        <v>14.35658</v>
      </c>
      <c r="G11" s="167">
        <v>5.419273</v>
      </c>
    </row>
    <row r="12" spans="1:7" ht="12.75">
      <c r="A12" s="166" t="s">
        <v>98</v>
      </c>
      <c r="B12" s="167">
        <v>0.04997729</v>
      </c>
      <c r="C12" s="167">
        <v>0.1755622</v>
      </c>
      <c r="D12" s="167">
        <v>0.1067721</v>
      </c>
      <c r="E12" s="167">
        <v>-0.02035533</v>
      </c>
      <c r="F12" s="167">
        <v>-0.1934944</v>
      </c>
      <c r="G12" s="167">
        <v>0.006725804</v>
      </c>
    </row>
    <row r="13" spans="1:7" ht="12.75">
      <c r="A13" s="166" t="s">
        <v>100</v>
      </c>
      <c r="B13" s="167">
        <v>0.1409176</v>
      </c>
      <c r="C13" s="167">
        <v>0.1257434</v>
      </c>
      <c r="D13" s="167">
        <v>0.04778006</v>
      </c>
      <c r="E13" s="167">
        <v>-0.09974716</v>
      </c>
      <c r="F13" s="167">
        <v>0.1447447</v>
      </c>
      <c r="G13" s="167">
        <v>-0.05747463</v>
      </c>
    </row>
    <row r="14" spans="1:7" ht="12.75">
      <c r="A14" s="166" t="s">
        <v>102</v>
      </c>
      <c r="B14" s="167">
        <v>0.1460604</v>
      </c>
      <c r="C14" s="167">
        <v>0.003917489</v>
      </c>
      <c r="D14" s="167">
        <v>0.05988122</v>
      </c>
      <c r="E14" s="167">
        <v>0.0008359943</v>
      </c>
      <c r="F14" s="167">
        <v>0.2237819</v>
      </c>
      <c r="G14" s="167">
        <v>-0.1710012</v>
      </c>
    </row>
    <row r="15" spans="1:7" ht="12.75">
      <c r="A15" s="166" t="s">
        <v>104</v>
      </c>
      <c r="B15" s="167">
        <v>-0.4163818</v>
      </c>
      <c r="C15" s="167">
        <v>-0.1070975</v>
      </c>
      <c r="D15" s="167">
        <v>-0.1125914</v>
      </c>
      <c r="E15" s="167">
        <v>-0.1264226</v>
      </c>
      <c r="F15" s="167">
        <v>-0.3616434</v>
      </c>
      <c r="G15" s="167">
        <v>-0.1917709</v>
      </c>
    </row>
    <row r="16" spans="1:7" ht="12.75">
      <c r="A16" s="166" t="s">
        <v>106</v>
      </c>
      <c r="B16" s="167">
        <v>-0.04376264</v>
      </c>
      <c r="C16" s="167">
        <v>-0.01414194</v>
      </c>
      <c r="D16" s="167">
        <v>-0.07448902</v>
      </c>
      <c r="E16" s="167">
        <v>-0.05758355</v>
      </c>
      <c r="F16" s="167">
        <v>0.002754619</v>
      </c>
      <c r="G16" s="167">
        <v>-0.02927319</v>
      </c>
    </row>
    <row r="17" spans="1:7" ht="12.75">
      <c r="A17" s="166" t="s">
        <v>140</v>
      </c>
      <c r="B17" s="167">
        <v>0.1103184</v>
      </c>
      <c r="C17" s="167">
        <v>0.1197583</v>
      </c>
      <c r="D17" s="167">
        <v>0.1123633</v>
      </c>
      <c r="E17" s="167">
        <v>0.1131529</v>
      </c>
      <c r="F17" s="167">
        <v>0.08173285</v>
      </c>
      <c r="G17" s="167">
        <v>-0.1099403</v>
      </c>
    </row>
    <row r="18" spans="1:7" ht="12.75">
      <c r="A18" s="166" t="s">
        <v>141</v>
      </c>
      <c r="B18" s="167">
        <v>0.06823562</v>
      </c>
      <c r="C18" s="167">
        <v>-0.0003955139</v>
      </c>
      <c r="D18" s="167">
        <v>0.03403485</v>
      </c>
      <c r="E18" s="167">
        <v>0.01437501</v>
      </c>
      <c r="F18" s="167">
        <v>-0.01971016</v>
      </c>
      <c r="G18" s="167">
        <v>-0.1469227</v>
      </c>
    </row>
    <row r="19" spans="1:7" ht="12.75">
      <c r="A19" s="166" t="s">
        <v>112</v>
      </c>
      <c r="B19" s="167">
        <v>-0.1917808</v>
      </c>
      <c r="C19" s="167">
        <v>-0.173601</v>
      </c>
      <c r="D19" s="167">
        <v>-0.1736118</v>
      </c>
      <c r="E19" s="167">
        <v>-0.1710458</v>
      </c>
      <c r="F19" s="167">
        <v>-0.1331758</v>
      </c>
      <c r="G19" s="167">
        <v>-0.170192</v>
      </c>
    </row>
    <row r="20" spans="1:7" ht="12.75">
      <c r="A20" s="166" t="s">
        <v>114</v>
      </c>
      <c r="B20" s="167">
        <v>-1.254033E-05</v>
      </c>
      <c r="C20" s="167">
        <v>-0.0001227846</v>
      </c>
      <c r="D20" s="167">
        <v>-0.00258035</v>
      </c>
      <c r="E20" s="167">
        <v>0.001238711</v>
      </c>
      <c r="F20" s="167">
        <v>0.0003377805</v>
      </c>
      <c r="G20" s="167">
        <v>0.0005869107</v>
      </c>
    </row>
    <row r="21" spans="1:7" ht="12.75">
      <c r="A21" s="166" t="s">
        <v>142</v>
      </c>
      <c r="B21" s="167">
        <v>-994.4417</v>
      </c>
      <c r="C21" s="167">
        <v>-964.1928</v>
      </c>
      <c r="D21" s="167">
        <v>-1039.304</v>
      </c>
      <c r="E21" s="167">
        <v>-988.0981</v>
      </c>
      <c r="F21" s="167">
        <v>-1042.316</v>
      </c>
      <c r="G21" s="167">
        <v>-166.9771</v>
      </c>
    </row>
    <row r="22" spans="1:7" ht="12.75">
      <c r="A22" s="166" t="s">
        <v>143</v>
      </c>
      <c r="B22" s="167">
        <v>19.52793</v>
      </c>
      <c r="C22" s="167">
        <v>-5.603236</v>
      </c>
      <c r="D22" s="167">
        <v>0.6033475</v>
      </c>
      <c r="E22" s="167">
        <v>2.871165</v>
      </c>
      <c r="F22" s="167">
        <v>-19.08631</v>
      </c>
      <c r="G22" s="167">
        <v>0</v>
      </c>
    </row>
    <row r="23" spans="1:7" ht="12.75">
      <c r="A23" s="166" t="s">
        <v>91</v>
      </c>
      <c r="B23" s="167">
        <v>1.581145</v>
      </c>
      <c r="C23" s="167">
        <v>1.262876</v>
      </c>
      <c r="D23" s="167">
        <v>3.27445</v>
      </c>
      <c r="E23" s="167">
        <v>1.482099</v>
      </c>
      <c r="F23" s="167">
        <v>9.124913</v>
      </c>
      <c r="G23" s="167">
        <v>-0.8333231</v>
      </c>
    </row>
    <row r="24" spans="1:7" ht="12.75">
      <c r="A24" s="166" t="s">
        <v>93</v>
      </c>
      <c r="B24" s="167">
        <v>0.9012065</v>
      </c>
      <c r="C24" s="167">
        <v>1.671175</v>
      </c>
      <c r="D24" s="167">
        <v>0.9692666</v>
      </c>
      <c r="E24" s="167">
        <v>1.018143</v>
      </c>
      <c r="F24" s="167">
        <v>1.688014</v>
      </c>
      <c r="G24" s="167">
        <v>-1.236437</v>
      </c>
    </row>
    <row r="25" spans="1:7" ht="12.75">
      <c r="A25" s="166" t="s">
        <v>95</v>
      </c>
      <c r="B25" s="167">
        <v>-1.878484</v>
      </c>
      <c r="C25" s="167">
        <v>-2.035694</v>
      </c>
      <c r="D25" s="167">
        <v>-1.393715</v>
      </c>
      <c r="E25" s="167">
        <v>-1.777861</v>
      </c>
      <c r="F25" s="167">
        <v>-7.832335</v>
      </c>
      <c r="G25" s="167">
        <v>-0.4749181</v>
      </c>
    </row>
    <row r="26" spans="1:7" ht="12.75">
      <c r="A26" s="166" t="s">
        <v>97</v>
      </c>
      <c r="B26" s="167">
        <v>0.578305</v>
      </c>
      <c r="C26" s="167">
        <v>-0.1033521</v>
      </c>
      <c r="D26" s="167">
        <v>0.3914599</v>
      </c>
      <c r="E26" s="167">
        <v>0.225417</v>
      </c>
      <c r="F26" s="167">
        <v>1.71653</v>
      </c>
      <c r="G26" s="167">
        <v>0.4373395</v>
      </c>
    </row>
    <row r="27" spans="1:7" ht="12.75">
      <c r="A27" s="166" t="s">
        <v>99</v>
      </c>
      <c r="B27" s="167">
        <v>-0.04597477</v>
      </c>
      <c r="C27" s="167">
        <v>-0.05493175</v>
      </c>
      <c r="D27" s="167">
        <v>-0.1584914</v>
      </c>
      <c r="E27" s="167">
        <v>0.01259017</v>
      </c>
      <c r="F27" s="167">
        <v>0.4602387</v>
      </c>
      <c r="G27" s="167">
        <v>-0.04431839</v>
      </c>
    </row>
    <row r="28" spans="1:7" ht="12.75">
      <c r="A28" s="166" t="s">
        <v>101</v>
      </c>
      <c r="B28" s="167">
        <v>-0.1104544</v>
      </c>
      <c r="C28" s="167">
        <v>-0.01412339</v>
      </c>
      <c r="D28" s="167">
        <v>-0.07985904</v>
      </c>
      <c r="E28" s="167">
        <v>-0.07329883</v>
      </c>
      <c r="F28" s="167">
        <v>-0.004183892</v>
      </c>
      <c r="G28" s="167">
        <v>0.05672423</v>
      </c>
    </row>
    <row r="29" spans="1:7" ht="12.75">
      <c r="A29" s="166" t="s">
        <v>103</v>
      </c>
      <c r="B29" s="167">
        <v>0.3426752</v>
      </c>
      <c r="C29" s="167">
        <v>0.130359</v>
      </c>
      <c r="D29" s="167">
        <v>0.1034749</v>
      </c>
      <c r="E29" s="167">
        <v>0.0767059</v>
      </c>
      <c r="F29" s="167">
        <v>0.3498068</v>
      </c>
      <c r="G29" s="167">
        <v>0.06657311</v>
      </c>
    </row>
    <row r="30" spans="1:7" ht="12.75">
      <c r="A30" s="166" t="s">
        <v>105</v>
      </c>
      <c r="B30" s="167">
        <v>0.04738838</v>
      </c>
      <c r="C30" s="167">
        <v>0.04609067</v>
      </c>
      <c r="D30" s="167">
        <v>0.08147464</v>
      </c>
      <c r="E30" s="167">
        <v>0.06062629</v>
      </c>
      <c r="F30" s="167">
        <v>0.2118294</v>
      </c>
      <c r="G30" s="167">
        <v>0.08047313</v>
      </c>
    </row>
    <row r="31" spans="1:7" ht="12.75">
      <c r="A31" s="166" t="s">
        <v>107</v>
      </c>
      <c r="B31" s="167">
        <v>-0.02947367</v>
      </c>
      <c r="C31" s="167">
        <v>-0.02340062</v>
      </c>
      <c r="D31" s="167">
        <v>-0.04653642</v>
      </c>
      <c r="E31" s="167">
        <v>-0.04574804</v>
      </c>
      <c r="F31" s="167">
        <v>0.02101346</v>
      </c>
      <c r="G31" s="167">
        <v>0.04111439</v>
      </c>
    </row>
    <row r="32" spans="1:7" ht="12.75">
      <c r="A32" s="166" t="s">
        <v>109</v>
      </c>
      <c r="B32" s="167">
        <v>-0.09916446</v>
      </c>
      <c r="C32" s="167">
        <v>-0.02487765</v>
      </c>
      <c r="D32" s="167">
        <v>-0.06184886</v>
      </c>
      <c r="E32" s="167">
        <v>-0.03954454</v>
      </c>
      <c r="F32" s="167">
        <v>0.01208251</v>
      </c>
      <c r="G32" s="167">
        <v>0.04304018</v>
      </c>
    </row>
    <row r="33" spans="1:7" ht="12.75">
      <c r="A33" s="166" t="s">
        <v>111</v>
      </c>
      <c r="B33" s="167">
        <v>0.1687701</v>
      </c>
      <c r="C33" s="167">
        <v>0.1495954</v>
      </c>
      <c r="D33" s="167">
        <v>0.1499939</v>
      </c>
      <c r="E33" s="167">
        <v>0.1462366</v>
      </c>
      <c r="F33" s="167">
        <v>0.1143158</v>
      </c>
      <c r="G33" s="167">
        <v>0.01872237</v>
      </c>
    </row>
    <row r="34" spans="1:7" ht="12.75">
      <c r="A34" s="166" t="s">
        <v>113</v>
      </c>
      <c r="B34" s="167">
        <v>-0.001151817</v>
      </c>
      <c r="C34" s="167">
        <v>0.00755448</v>
      </c>
      <c r="D34" s="167">
        <v>0.004477154</v>
      </c>
      <c r="E34" s="167">
        <v>-0.000879407</v>
      </c>
      <c r="F34" s="167">
        <v>-0.03074698</v>
      </c>
      <c r="G34" s="167">
        <v>-0.001632894</v>
      </c>
    </row>
    <row r="35" spans="1:7" ht="12.75">
      <c r="A35" s="166" t="s">
        <v>115</v>
      </c>
      <c r="B35" s="167">
        <v>-2.87247E-05</v>
      </c>
      <c r="C35" s="167">
        <v>-0.0002884933</v>
      </c>
      <c r="D35" s="167">
        <v>0.001541182</v>
      </c>
      <c r="E35" s="167">
        <v>-0.002686403</v>
      </c>
      <c r="F35" s="167">
        <v>0.006985277</v>
      </c>
      <c r="G35" s="167">
        <v>0.0003090226</v>
      </c>
    </row>
    <row r="36" spans="1:6" ht="12.75">
      <c r="A36" s="166" t="s">
        <v>144</v>
      </c>
      <c r="B36" s="167">
        <v>24.49646</v>
      </c>
      <c r="C36" s="167">
        <v>24.49951</v>
      </c>
      <c r="D36" s="167">
        <v>24.51172</v>
      </c>
      <c r="E36" s="167">
        <v>24.50867</v>
      </c>
      <c r="F36" s="167">
        <v>24.52393</v>
      </c>
    </row>
    <row r="37" spans="1:6" ht="12.75">
      <c r="A37" s="166" t="s">
        <v>145</v>
      </c>
      <c r="B37" s="167">
        <v>0.2924601</v>
      </c>
      <c r="C37" s="167">
        <v>0.239563</v>
      </c>
      <c r="D37" s="167">
        <v>0.1988729</v>
      </c>
      <c r="E37" s="167">
        <v>0.1642863</v>
      </c>
      <c r="F37" s="167">
        <v>0.146993</v>
      </c>
    </row>
    <row r="38" spans="1:7" ht="12.75">
      <c r="A38" s="166" t="s">
        <v>146</v>
      </c>
      <c r="B38" s="167">
        <v>0.0005978882</v>
      </c>
      <c r="C38" s="167">
        <v>0.000123467</v>
      </c>
      <c r="D38" s="167">
        <v>0.0003097593</v>
      </c>
      <c r="E38" s="167">
        <v>0.0001761613</v>
      </c>
      <c r="F38" s="167">
        <v>0.0003807241</v>
      </c>
      <c r="G38" s="167">
        <v>0.0001362112</v>
      </c>
    </row>
    <row r="39" spans="1:7" ht="12.75">
      <c r="A39" s="166" t="s">
        <v>147</v>
      </c>
      <c r="B39" s="167">
        <v>0.001689383</v>
      </c>
      <c r="C39" s="167">
        <v>0.001639197</v>
      </c>
      <c r="D39" s="167">
        <v>0.001766798</v>
      </c>
      <c r="E39" s="167">
        <v>0.001679716</v>
      </c>
      <c r="F39" s="167">
        <v>0.001772665</v>
      </c>
      <c r="G39" s="167">
        <v>0.0008533446</v>
      </c>
    </row>
    <row r="40" spans="2:5" ht="12.75">
      <c r="B40" s="166" t="s">
        <v>148</v>
      </c>
      <c r="C40" s="166">
        <v>0.003759</v>
      </c>
      <c r="D40" s="166" t="s">
        <v>149</v>
      </c>
      <c r="E40" s="166">
        <v>3.116545</v>
      </c>
    </row>
    <row r="42" ht="12.75">
      <c r="A42" s="166" t="s">
        <v>150</v>
      </c>
    </row>
    <row r="50" spans="1:7" ht="12.75">
      <c r="A50" s="166" t="s">
        <v>151</v>
      </c>
      <c r="B50" s="166">
        <f>-0.017/(B7*B7+B22*B22)*(B21*B22+B6*B7)</f>
        <v>0.0005978881259572569</v>
      </c>
      <c r="C50" s="166">
        <f>-0.017/(C7*C7+C22*C22)*(C21*C22+C6*C7)</f>
        <v>0.00012346696626865496</v>
      </c>
      <c r="D50" s="166">
        <f>-0.017/(D7*D7+D22*D22)*(D21*D22+D6*D7)</f>
        <v>0.0003097593893223123</v>
      </c>
      <c r="E50" s="166">
        <f>-0.017/(E7*E7+E22*E22)*(E21*E22+E6*E7)</f>
        <v>0.00017616129423380657</v>
      </c>
      <c r="F50" s="166">
        <f>-0.017/(F7*F7+F22*F22)*(F21*F22+F6*F7)</f>
        <v>0.0003807239888011563</v>
      </c>
      <c r="G50" s="166">
        <f>(B50*B$4+C50*C$4+D50*D$4+E50*E$4+F50*F$4)/SUM(B$4:F$4)</f>
        <v>0.00028383493106429777</v>
      </c>
    </row>
    <row r="51" spans="1:7" ht="12.75">
      <c r="A51" s="166" t="s">
        <v>152</v>
      </c>
      <c r="B51" s="166">
        <f>-0.017/(B7*B7+B22*B22)*(B21*B7-B6*B22)</f>
        <v>0.0016893833382528479</v>
      </c>
      <c r="C51" s="166">
        <f>-0.017/(C7*C7+C22*C22)*(C21*C7-C6*C22)</f>
        <v>0.001639196941455021</v>
      </c>
      <c r="D51" s="166">
        <f>-0.017/(D7*D7+D22*D22)*(D21*D7-D6*D22)</f>
        <v>0.0017667981107446853</v>
      </c>
      <c r="E51" s="166">
        <f>-0.017/(E7*E7+E22*E22)*(E21*E7-E6*E22)</f>
        <v>0.001679716191185764</v>
      </c>
      <c r="F51" s="166">
        <f>-0.017/(F7*F7+F22*F22)*(F21*F7-F6*F22)</f>
        <v>0.0017726638616074697</v>
      </c>
      <c r="G51" s="166">
        <f>(B51*B$4+C51*C$4+D51*D$4+E51*E$4+F51*F$4)/SUM(B$4:F$4)</f>
        <v>0.001704764327123809</v>
      </c>
    </row>
    <row r="58" ht="12.75">
      <c r="A58" s="166" t="s">
        <v>154</v>
      </c>
    </row>
    <row r="60" spans="2:6" ht="12.75">
      <c r="B60" s="166" t="s">
        <v>83</v>
      </c>
      <c r="C60" s="166" t="s">
        <v>84</v>
      </c>
      <c r="D60" s="166" t="s">
        <v>85</v>
      </c>
      <c r="E60" s="166" t="s">
        <v>86</v>
      </c>
      <c r="F60" s="166" t="s">
        <v>87</v>
      </c>
    </row>
    <row r="61" spans="1:6" ht="12.75">
      <c r="A61" s="166" t="s">
        <v>156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159</v>
      </c>
      <c r="B62" s="166">
        <f>B7+(2/0.017)*(B8*B50-B23*B51)</f>
        <v>9999.761060088926</v>
      </c>
      <c r="C62" s="166">
        <f>C7+(2/0.017)*(C8*C50-C23*C51)</f>
        <v>9999.761347860338</v>
      </c>
      <c r="D62" s="166">
        <f>D7+(2/0.017)*(D8*D50-D23*D51)</f>
        <v>9999.372607112513</v>
      </c>
      <c r="E62" s="166">
        <f>E7+(2/0.017)*(E8*E50-E23*E51)</f>
        <v>9999.744257706107</v>
      </c>
      <c r="F62" s="166">
        <f>F7+(2/0.017)*(F8*F50-F23*F51)</f>
        <v>9998.035340649227</v>
      </c>
    </row>
    <row r="63" spans="1:6" ht="12.75">
      <c r="A63" s="166" t="s">
        <v>160</v>
      </c>
      <c r="B63" s="166">
        <f>B8+(3/0.017)*(B9*B50-B24*B51)</f>
        <v>0.8004645047179625</v>
      </c>
      <c r="C63" s="166">
        <f>C8+(3/0.017)*(C9*C50-C24*C51)</f>
        <v>-0.15170378901649678</v>
      </c>
      <c r="D63" s="166">
        <f>D8+(3/0.017)*(D9*D50-D24*D51)</f>
        <v>1.1536490309803378</v>
      </c>
      <c r="E63" s="166">
        <f>E8+(3/0.017)*(E9*E50-E24*E51)</f>
        <v>1.4922893601795355</v>
      </c>
      <c r="F63" s="166">
        <f>F8+(3/0.017)*(F9*F50-F24*F51)</f>
        <v>-2.0287231057526016</v>
      </c>
    </row>
    <row r="64" spans="1:6" ht="12.75">
      <c r="A64" s="166" t="s">
        <v>161</v>
      </c>
      <c r="B64" s="166">
        <f>B9+(4/0.017)*(B10*B50-B25*B51)</f>
        <v>0.6418565268881725</v>
      </c>
      <c r="C64" s="166">
        <f>C9+(4/0.017)*(C10*C50-C25*C51)</f>
        <v>0.5582090765118558</v>
      </c>
      <c r="D64" s="166">
        <f>D9+(4/0.017)*(D10*D50-D25*D51)</f>
        <v>0.4488595734201733</v>
      </c>
      <c r="E64" s="166">
        <f>E9+(4/0.017)*(E10*E50-E25*E51)</f>
        <v>0.7389079022321061</v>
      </c>
      <c r="F64" s="166">
        <f>F9+(4/0.017)*(F10*F50-F25*F51)</f>
        <v>1.3862915592172231</v>
      </c>
    </row>
    <row r="65" spans="1:6" ht="12.75">
      <c r="A65" s="166" t="s">
        <v>162</v>
      </c>
      <c r="B65" s="166">
        <f>B10+(5/0.017)*(B11*B50-B26*B51)</f>
        <v>-0.2662560069718271</v>
      </c>
      <c r="C65" s="166">
        <f>C10+(5/0.017)*(C11*C50-C26*C51)</f>
        <v>0.10472011447693667</v>
      </c>
      <c r="D65" s="166">
        <f>D10+(5/0.017)*(D11*D50-D26*D51)</f>
        <v>-0.41169739019562385</v>
      </c>
      <c r="E65" s="166">
        <f>E10+(5/0.017)*(E11*E50-E26*E51)</f>
        <v>-0.580604044144425</v>
      </c>
      <c r="F65" s="166">
        <f>F10+(5/0.017)*(F11*F50-F26*F51)</f>
        <v>0.2927064955228926</v>
      </c>
    </row>
    <row r="66" spans="1:6" ht="12.75">
      <c r="A66" s="166" t="s">
        <v>163</v>
      </c>
      <c r="B66" s="166">
        <f>B11+(6/0.017)*(B12*B50-B27*B51)</f>
        <v>3.789930766591716</v>
      </c>
      <c r="C66" s="166">
        <f>C11+(6/0.017)*(C12*C50-C27*C51)</f>
        <v>4.131777619581491</v>
      </c>
      <c r="D66" s="166">
        <f>D11+(6/0.017)*(D12*D50-D27*D51)</f>
        <v>4.248911458793626</v>
      </c>
      <c r="E66" s="166">
        <f>E11+(6/0.017)*(E12*E50-E27*E51)</f>
        <v>4.040011446937833</v>
      </c>
      <c r="F66" s="166">
        <f>F11+(6/0.017)*(F12*F50-F27*F51)</f>
        <v>14.042633010241685</v>
      </c>
    </row>
    <row r="67" spans="1:6" ht="12.75">
      <c r="A67" s="166" t="s">
        <v>164</v>
      </c>
      <c r="B67" s="166">
        <f>B12+(7/0.017)*(B13*B50-B28*B51)</f>
        <v>0.16150490643680987</v>
      </c>
      <c r="C67" s="166">
        <f>C12+(7/0.017)*(C13*C50-C28*C51)</f>
        <v>0.19148768333652805</v>
      </c>
      <c r="D67" s="166">
        <f>D12+(7/0.017)*(D13*D50-D28*D51)</f>
        <v>0.1709642095551102</v>
      </c>
      <c r="E67" s="166">
        <f>E12+(7/0.017)*(E13*E50-E28*E51)</f>
        <v>0.023106287600563737</v>
      </c>
      <c r="F67" s="166">
        <f>F12+(7/0.017)*(F13*F50-F28*F51)</f>
        <v>-0.16774905318601957</v>
      </c>
    </row>
    <row r="68" spans="1:6" ht="12.75">
      <c r="A68" s="166" t="s">
        <v>165</v>
      </c>
      <c r="B68" s="166">
        <f>B13+(8/0.017)*(B14*B50-B29*B51)</f>
        <v>-0.09041510328465643</v>
      </c>
      <c r="C68" s="166">
        <f>C13+(8/0.017)*(C14*C50-C29*C51)</f>
        <v>0.025413803007569763</v>
      </c>
      <c r="D68" s="166">
        <f>D13+(8/0.017)*(D14*D50-D29*D51)</f>
        <v>-0.029523698913138913</v>
      </c>
      <c r="E68" s="166">
        <f>E13+(8/0.017)*(E14*E50-E29*E51)</f>
        <v>-0.1603103940478193</v>
      </c>
      <c r="F68" s="166">
        <f>F13+(8/0.017)*(F14*F50-F29*F51)</f>
        <v>-0.10696858720708247</v>
      </c>
    </row>
    <row r="69" spans="1:6" ht="12.75">
      <c r="A69" s="166" t="s">
        <v>166</v>
      </c>
      <c r="B69" s="166">
        <f>B14+(9/0.017)*(B15*B50-B30*B51)</f>
        <v>-0.0281197095971491</v>
      </c>
      <c r="C69" s="166">
        <f>C14+(9/0.017)*(C15*C50-C30*C51)</f>
        <v>-0.04308087561306645</v>
      </c>
      <c r="D69" s="166">
        <f>D14+(9/0.017)*(D15*D50-D30*D51)</f>
        <v>-0.03479109470546635</v>
      </c>
      <c r="E69" s="166">
        <f>E14+(9/0.017)*(E15*E50-E30*E51)</f>
        <v>-0.06486703910284339</v>
      </c>
      <c r="F69" s="166">
        <f>F14+(9/0.017)*(F15*F50-F30*F51)</f>
        <v>-0.047906203517555784</v>
      </c>
    </row>
    <row r="70" spans="1:6" ht="12.75">
      <c r="A70" s="166" t="s">
        <v>167</v>
      </c>
      <c r="B70" s="166">
        <f>B15+(10/0.017)*(B16*B50-B31*B51)</f>
        <v>-0.4024834681184584</v>
      </c>
      <c r="C70" s="166">
        <f>C15+(10/0.017)*(C16*C50-C31*C51)</f>
        <v>-0.08556093393929538</v>
      </c>
      <c r="D70" s="166">
        <f>D15+(10/0.017)*(D16*D50-D31*D51)</f>
        <v>-0.07779917318211549</v>
      </c>
      <c r="E70" s="166">
        <f>E15+(10/0.017)*(E16*E50-E31*E51)</f>
        <v>-0.08718746423033125</v>
      </c>
      <c r="F70" s="166">
        <f>F15+(10/0.017)*(F16*F50-F31*F51)</f>
        <v>-0.38293813624472156</v>
      </c>
    </row>
    <row r="71" spans="1:6" ht="12.75">
      <c r="A71" s="166" t="s">
        <v>168</v>
      </c>
      <c r="B71" s="166">
        <f>B16+(11/0.017)*(B17*B50-B32*B51)</f>
        <v>0.10731579099764027</v>
      </c>
      <c r="C71" s="166">
        <f>C16+(11/0.017)*(C17*C50-C32*C51)</f>
        <v>0.021812247032228213</v>
      </c>
      <c r="D71" s="166">
        <f>D16+(11/0.017)*(D17*D50-D32*D51)</f>
        <v>0.018739238711145606</v>
      </c>
      <c r="E71" s="166">
        <f>E16+(11/0.017)*(E17*E50-E32*E51)</f>
        <v>-0.001705642962687208</v>
      </c>
      <c r="F71" s="166">
        <f>F16+(11/0.017)*(F17*F50-F32*F51)</f>
        <v>0.009030719362901935</v>
      </c>
    </row>
    <row r="72" spans="1:6" ht="12.75">
      <c r="A72" s="166" t="s">
        <v>169</v>
      </c>
      <c r="B72" s="166">
        <f>B17+(12/0.017)*(B18*B50-B33*B51)</f>
        <v>-0.062142866802307364</v>
      </c>
      <c r="C72" s="166">
        <f>C17+(12/0.017)*(C18*C50-C33*C51)</f>
        <v>-0.0533700447320639</v>
      </c>
      <c r="D72" s="166">
        <f>D17+(12/0.017)*(D18*D50-D33*D51)</f>
        <v>-0.06725998808815348</v>
      </c>
      <c r="E72" s="166">
        <f>E17+(12/0.017)*(E18*E50-E33*E51)</f>
        <v>-0.05844968663369332</v>
      </c>
      <c r="F72" s="166">
        <f>F17+(12/0.017)*(F18*F50-F33*F51)</f>
        <v>-0.06660664520413376</v>
      </c>
    </row>
    <row r="73" spans="1:6" ht="12.75">
      <c r="A73" s="166" t="s">
        <v>170</v>
      </c>
      <c r="B73" s="166">
        <f>B18+(13/0.017)*(B19*B50-B34*B51)</f>
        <v>-0.01796019379734544</v>
      </c>
      <c r="C73" s="166">
        <f>C18+(13/0.017)*(C19*C50-C34*C51)</f>
        <v>-0.02625577867525545</v>
      </c>
      <c r="D73" s="166">
        <f>D18+(13/0.017)*(D19*D50-D34*D51)</f>
        <v>-0.013138412405069737</v>
      </c>
      <c r="E73" s="166">
        <f>E18+(13/0.017)*(E19*E50-E34*E51)</f>
        <v>-0.0075372511306642034</v>
      </c>
      <c r="F73" s="166">
        <f>F18+(13/0.017)*(F19*F50-F34*F51)</f>
        <v>-0.016803636432166247</v>
      </c>
    </row>
    <row r="74" spans="1:6" ht="12.75">
      <c r="A74" s="166" t="s">
        <v>171</v>
      </c>
      <c r="B74" s="166">
        <f>B19+(14/0.017)*(B20*B50-B35*B51)</f>
        <v>-0.19174701115220988</v>
      </c>
      <c r="C74" s="166">
        <f>C19+(14/0.017)*(C20*C50-C35*C51)</f>
        <v>-0.17322403971170985</v>
      </c>
      <c r="D74" s="166">
        <f>D19+(14/0.017)*(D20*D50-D35*D51)</f>
        <v>-0.1765124724238895</v>
      </c>
      <c r="E74" s="166">
        <f>E19+(14/0.017)*(E20*E50-E35*E51)</f>
        <v>-0.16715000554863038</v>
      </c>
      <c r="F74" s="166">
        <f>F19+(14/0.017)*(F20*F50-F35*F51)</f>
        <v>-0.14326728573334474</v>
      </c>
    </row>
    <row r="75" spans="1:6" ht="12.75">
      <c r="A75" s="166" t="s">
        <v>172</v>
      </c>
      <c r="B75" s="167">
        <f>B20</f>
        <v>-1.254033E-05</v>
      </c>
      <c r="C75" s="167">
        <f>C20</f>
        <v>-0.0001227846</v>
      </c>
      <c r="D75" s="167">
        <f>D20</f>
        <v>-0.00258035</v>
      </c>
      <c r="E75" s="167">
        <f>E20</f>
        <v>0.001238711</v>
      </c>
      <c r="F75" s="167">
        <f>F20</f>
        <v>0.0003377805</v>
      </c>
    </row>
    <row r="78" ht="12.75">
      <c r="A78" s="166" t="s">
        <v>154</v>
      </c>
    </row>
    <row r="80" spans="2:6" ht="12.75">
      <c r="B80" s="166" t="s">
        <v>83</v>
      </c>
      <c r="C80" s="166" t="s">
        <v>84</v>
      </c>
      <c r="D80" s="166" t="s">
        <v>85</v>
      </c>
      <c r="E80" s="166" t="s">
        <v>86</v>
      </c>
      <c r="F80" s="166" t="s">
        <v>87</v>
      </c>
    </row>
    <row r="81" spans="1:6" ht="12.75">
      <c r="A81" s="166" t="s">
        <v>173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174</v>
      </c>
      <c r="B82" s="166">
        <f>B22+(2/0.017)*(B8*B51+B23*B50)</f>
        <v>19.851954041041267</v>
      </c>
      <c r="C82" s="166">
        <f>C22+(2/0.017)*(C8*C51+C23*C50)</f>
        <v>-5.519979381531811</v>
      </c>
      <c r="D82" s="166">
        <f>D22+(2/0.017)*(D8*D51+D23*D50)</f>
        <v>1.0262862561424184</v>
      </c>
      <c r="E82" s="166">
        <f>E22+(2/0.017)*(E8*E51+E23*E50)</f>
        <v>3.256021982143525</v>
      </c>
      <c r="F82" s="166">
        <f>F22+(2/0.017)*(F8*F51+F23*F50)</f>
        <v>-18.964736386002624</v>
      </c>
    </row>
    <row r="83" spans="1:6" ht="12.75">
      <c r="A83" s="166" t="s">
        <v>175</v>
      </c>
      <c r="B83" s="166">
        <f>B23+(3/0.017)*(B9*B51+B24*B50)</f>
        <v>1.6717609779175713</v>
      </c>
      <c r="C83" s="166">
        <f>C23+(3/0.017)*(C9*C51+C24*C50)</f>
        <v>1.2344273047342467</v>
      </c>
      <c r="D83" s="166">
        <f>D23+(3/0.017)*(D9*D51+D24*D50)</f>
        <v>3.3000360865096434</v>
      </c>
      <c r="E83" s="166">
        <f>E23+(3/0.017)*(E9*E51+E24*E50)</f>
        <v>1.5328378813287364</v>
      </c>
      <c r="F83" s="166">
        <f>F23+(3/0.017)*(F9*F51+F24*F50)</f>
        <v>8.661812692136087</v>
      </c>
    </row>
    <row r="84" spans="1:6" ht="12.75">
      <c r="A84" s="166" t="s">
        <v>176</v>
      </c>
      <c r="B84" s="166">
        <f>B24+(4/0.017)*(B10*B51+B25*B50)</f>
        <v>0.38306107487425634</v>
      </c>
      <c r="C84" s="166">
        <f>C24+(4/0.017)*(C10*C51+C25*C50)</f>
        <v>1.5758901571097625</v>
      </c>
      <c r="D84" s="166">
        <f>D24+(4/0.017)*(D10*D51+D25*D50)</f>
        <v>0.6243632307362309</v>
      </c>
      <c r="E84" s="166">
        <f>E24+(4/0.017)*(E10*E51+E25*E50)</f>
        <v>0.6760861509448289</v>
      </c>
      <c r="F84" s="166">
        <f>F24+(4/0.017)*(F10*F51+F25*F50)</f>
        <v>0.8112129418157942</v>
      </c>
    </row>
    <row r="85" spans="1:6" ht="12.75">
      <c r="A85" s="166" t="s">
        <v>177</v>
      </c>
      <c r="B85" s="166">
        <f>B25+(5/0.017)*(B11*B51+B26*B50)</f>
        <v>0.08748090443321344</v>
      </c>
      <c r="C85" s="166">
        <f>C25+(5/0.017)*(C11*C51+C26*C50)</f>
        <v>-0.06645808366819494</v>
      </c>
      <c r="D85" s="166">
        <f>D25+(5/0.017)*(D11*D51+D26*D50)</f>
        <v>0.7924579554884572</v>
      </c>
      <c r="E85" s="166">
        <f>E25+(5/0.017)*(E11*E51+E26*E50)</f>
        <v>0.23403475355292458</v>
      </c>
      <c r="F85" s="166">
        <f>F25+(5/0.017)*(F11*F51+F26*F50)</f>
        <v>-0.1550071497725245</v>
      </c>
    </row>
    <row r="86" spans="1:6" ht="12.75">
      <c r="A86" s="166" t="s">
        <v>178</v>
      </c>
      <c r="B86" s="166">
        <f>B26+(6/0.017)*(B12*B51+B27*B50)</f>
        <v>0.5984025406848522</v>
      </c>
      <c r="C86" s="166">
        <f>C26+(6/0.017)*(C12*C51+C27*C50)</f>
        <v>-0.004176065382075364</v>
      </c>
      <c r="D86" s="166">
        <f>D26+(6/0.017)*(D12*D51+D27*D50)</f>
        <v>0.4407130336294368</v>
      </c>
      <c r="E86" s="166">
        <f>E26+(6/0.017)*(E12*E51+E27*E50)</f>
        <v>0.21413231409313918</v>
      </c>
      <c r="F86" s="166">
        <f>F26+(6/0.017)*(F12*F51+F27*F50)</f>
        <v>1.6573147235392605</v>
      </c>
    </row>
    <row r="87" spans="1:6" ht="12.75">
      <c r="A87" s="166" t="s">
        <v>179</v>
      </c>
      <c r="B87" s="166">
        <f>B27+(7/0.017)*(B13*B51+B28*B50)</f>
        <v>0.024858835823995534</v>
      </c>
      <c r="C87" s="166">
        <f>C27+(7/0.017)*(C13*C51+C28*C50)</f>
        <v>0.02922242482352845</v>
      </c>
      <c r="D87" s="166">
        <f>D27+(7/0.017)*(D13*D51+D28*D50)</f>
        <v>-0.13391702200358757</v>
      </c>
      <c r="E87" s="166">
        <f>E27+(7/0.017)*(E13*E51+E28*E50)</f>
        <v>-0.06171661559105561</v>
      </c>
      <c r="F87" s="166">
        <f>F27+(7/0.017)*(F13*F51+F28*F50)</f>
        <v>0.5652349079757547</v>
      </c>
    </row>
    <row r="88" spans="1:6" ht="12.75">
      <c r="A88" s="166" t="s">
        <v>180</v>
      </c>
      <c r="B88" s="166">
        <f>B28+(8/0.017)*(B14*B51+B29*B50)</f>
        <v>0.10207898318991739</v>
      </c>
      <c r="C88" s="166">
        <f>C28+(8/0.017)*(C14*C51+C29*C50)</f>
        <v>-0.0035273588269179867</v>
      </c>
      <c r="D88" s="166">
        <f>D28+(8/0.017)*(D14*D51+D29*D50)</f>
        <v>-0.014988287906223918</v>
      </c>
      <c r="E88" s="166">
        <f>E28+(8/0.017)*(E14*E51+E29*E50)</f>
        <v>-0.06627913880902685</v>
      </c>
      <c r="F88" s="166">
        <f>F28+(8/0.017)*(F14*F51+F29*F50)</f>
        <v>0.24516666198476472</v>
      </c>
    </row>
    <row r="89" spans="1:6" ht="12.75">
      <c r="A89" s="166" t="s">
        <v>181</v>
      </c>
      <c r="B89" s="166">
        <f>B29+(9/0.017)*(B15*B51+B30*B50)</f>
        <v>-0.01472831353249493</v>
      </c>
      <c r="C89" s="166">
        <f>C29+(9/0.017)*(C15*C51+C30*C50)</f>
        <v>0.040431413343905626</v>
      </c>
      <c r="D89" s="166">
        <f>D29+(9/0.017)*(D15*D51+D30*D50)</f>
        <v>0.011522038666470863</v>
      </c>
      <c r="E89" s="166">
        <f>E29+(9/0.017)*(E15*E51+E30*E50)</f>
        <v>-0.03006273188042738</v>
      </c>
      <c r="F89" s="166">
        <f>F29+(9/0.017)*(F15*F51+F30*F50)</f>
        <v>0.053111925488265155</v>
      </c>
    </row>
    <row r="90" spans="1:6" ht="12.75">
      <c r="A90" s="166" t="s">
        <v>182</v>
      </c>
      <c r="B90" s="166">
        <f>B30+(10/0.017)*(B16*B51+B31*B50)</f>
        <v>-0.006466815397258963</v>
      </c>
      <c r="C90" s="166">
        <f>C30+(10/0.017)*(C16*C51+C31*C50)</f>
        <v>0.03075500626209057</v>
      </c>
      <c r="D90" s="166">
        <f>D30+(10/0.017)*(D16*D51+D31*D50)</f>
        <v>-0.004420744028041018</v>
      </c>
      <c r="E90" s="166">
        <f>E30+(10/0.017)*(E16*E51+E31*E50)</f>
        <v>-0.0010108013035382002</v>
      </c>
      <c r="F90" s="166">
        <f>F30+(10/0.017)*(F16*F51+F31*F50)</f>
        <v>0.2194078363903005</v>
      </c>
    </row>
    <row r="91" spans="1:6" ht="12.75">
      <c r="A91" s="166" t="s">
        <v>183</v>
      </c>
      <c r="B91" s="166">
        <f>B31+(11/0.017)*(B17*B51+B32*B50)</f>
        <v>0.05275509181348504</v>
      </c>
      <c r="C91" s="166">
        <f>C31+(11/0.017)*(C17*C51+C32*C50)</f>
        <v>0.10163435541794434</v>
      </c>
      <c r="D91" s="166">
        <f>D31+(11/0.017)*(D17*D51+D32*D50)</f>
        <v>0.06952328656380752</v>
      </c>
      <c r="E91" s="166">
        <f>E31+(11/0.017)*(E17*E51+E32*E50)</f>
        <v>0.0727274864409867</v>
      </c>
      <c r="F91" s="166">
        <f>F31+(11/0.017)*(F17*F51+F32*F50)</f>
        <v>0.11773902940789724</v>
      </c>
    </row>
    <row r="92" spans="1:6" ht="12.75">
      <c r="A92" s="166" t="s">
        <v>184</v>
      </c>
      <c r="B92" s="166">
        <f>B32+(12/0.017)*(B18*B51+B33*B50)</f>
        <v>0.05343442821880352</v>
      </c>
      <c r="C92" s="166">
        <f>C32+(12/0.017)*(C18*C51+C33*C50)</f>
        <v>-0.012297580566661416</v>
      </c>
      <c r="D92" s="166">
        <f>D32+(12/0.017)*(D18*D51+D33*D50)</f>
        <v>0.013394477090976985</v>
      </c>
      <c r="E92" s="166">
        <f>E32+(12/0.017)*(E18*E51+E33*E50)</f>
        <v>-0.004315952400605595</v>
      </c>
      <c r="F92" s="166">
        <f>F32+(12/0.017)*(F18*F51+F33*F50)</f>
        <v>0.01814129519093704</v>
      </c>
    </row>
    <row r="93" spans="1:6" ht="12.75">
      <c r="A93" s="166" t="s">
        <v>185</v>
      </c>
      <c r="B93" s="166">
        <f>B33+(13/0.017)*(B19*B51+B34*B50)</f>
        <v>-0.0795145644539357</v>
      </c>
      <c r="C93" s="166">
        <f>C33+(13/0.017)*(C19*C51+C34*C50)</f>
        <v>-0.06730080550473802</v>
      </c>
      <c r="D93" s="166">
        <f>D33+(13/0.017)*(D19*D51+D34*D50)</f>
        <v>-0.08350916334132641</v>
      </c>
      <c r="E93" s="166">
        <f>E33+(13/0.017)*(E19*E51+E34*E50)</f>
        <v>-0.07358828960028249</v>
      </c>
      <c r="F93" s="166">
        <f>F33+(13/0.017)*(F19*F51+F34*F50)</f>
        <v>-0.07516458411812324</v>
      </c>
    </row>
    <row r="94" spans="1:6" ht="12.75">
      <c r="A94" s="166" t="s">
        <v>186</v>
      </c>
      <c r="B94" s="166">
        <f>B34+(14/0.017)*(B20*B51+B35*B50)</f>
        <v>-0.0011834072436787222</v>
      </c>
      <c r="C94" s="166">
        <f>C34+(14/0.017)*(C20*C51+C35*C50)</f>
        <v>0.007359396149032555</v>
      </c>
      <c r="D94" s="166">
        <f>D34+(14/0.017)*(D20*D51+D35*D50)</f>
        <v>0.0011158677212542863</v>
      </c>
      <c r="E94" s="166">
        <f>E34+(14/0.017)*(E20*E51+E35*E50)</f>
        <v>0.00044436933589462333</v>
      </c>
      <c r="F94" s="166">
        <f>F34+(14/0.017)*(F20*F51+F35*F50)</f>
        <v>-0.02806372862884862</v>
      </c>
    </row>
    <row r="95" spans="1:6" ht="12.75">
      <c r="A95" s="166" t="s">
        <v>187</v>
      </c>
      <c r="B95" s="167">
        <f>B35</f>
        <v>-2.87247E-05</v>
      </c>
      <c r="C95" s="167">
        <f>C35</f>
        <v>-0.0002884933</v>
      </c>
      <c r="D95" s="167">
        <f>D35</f>
        <v>0.001541182</v>
      </c>
      <c r="E95" s="167">
        <f>E35</f>
        <v>-0.002686403</v>
      </c>
      <c r="F95" s="167">
        <f>F35</f>
        <v>0.006985277</v>
      </c>
    </row>
    <row r="98" ht="12.75">
      <c r="A98" s="166" t="s">
        <v>155</v>
      </c>
    </row>
    <row r="100" spans="2:11" ht="12.75">
      <c r="B100" s="166" t="s">
        <v>83</v>
      </c>
      <c r="C100" s="166" t="s">
        <v>84</v>
      </c>
      <c r="D100" s="166" t="s">
        <v>85</v>
      </c>
      <c r="E100" s="166" t="s">
        <v>86</v>
      </c>
      <c r="F100" s="166" t="s">
        <v>87</v>
      </c>
      <c r="G100" s="166" t="s">
        <v>157</v>
      </c>
      <c r="H100" s="166" t="s">
        <v>158</v>
      </c>
      <c r="I100" s="166" t="s">
        <v>153</v>
      </c>
      <c r="K100" s="166" t="s">
        <v>188</v>
      </c>
    </row>
    <row r="101" spans="1:9" ht="12.75">
      <c r="A101" s="166" t="s">
        <v>156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159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160</v>
      </c>
      <c r="B103" s="166">
        <f>B63*10000/B62</f>
        <v>0.8004836314667344</v>
      </c>
      <c r="C103" s="166">
        <f>C63*10000/C62</f>
        <v>-0.15170740954628587</v>
      </c>
      <c r="D103" s="166">
        <f>D63*10000/D62</f>
        <v>1.1537214146413064</v>
      </c>
      <c r="E103" s="166">
        <f>E63*10000/E62</f>
        <v>1.4923275253059918</v>
      </c>
      <c r="F103" s="166">
        <f>F63*10000/F62</f>
        <v>-2.0291217590563804</v>
      </c>
      <c r="G103" s="166">
        <f>AVERAGE(C103:E103)</f>
        <v>0.8314471768003374</v>
      </c>
      <c r="H103" s="166">
        <f>STDEV(C103:E103)</f>
        <v>0.868106116805812</v>
      </c>
      <c r="I103" s="166">
        <f>(B103*B4+C103*C4+D103*D4+E103*E4+F103*F4)/SUM(B4:F4)</f>
        <v>0.4436185057743624</v>
      </c>
      <c r="K103" s="166">
        <f>(LN(H103)+LN(H123))/2-LN(K114*K115^3)</f>
        <v>-3.8941491803728487</v>
      </c>
    </row>
    <row r="104" spans="1:11" ht="12.75">
      <c r="A104" s="166" t="s">
        <v>161</v>
      </c>
      <c r="B104" s="166">
        <f>B64*10000/B62</f>
        <v>0.6418718637687776</v>
      </c>
      <c r="C104" s="166">
        <f>C64*10000/C62</f>
        <v>0.5582223986088394</v>
      </c>
      <c r="D104" s="166">
        <f>D64*10000/D62</f>
        <v>0.44888773631747786</v>
      </c>
      <c r="E104" s="166">
        <f>E64*10000/E62</f>
        <v>0.7389267997155841</v>
      </c>
      <c r="F104" s="166">
        <f>F64*10000/F62</f>
        <v>1.3865639718044882</v>
      </c>
      <c r="G104" s="166">
        <f>AVERAGE(C104:E104)</f>
        <v>0.5820123115473005</v>
      </c>
      <c r="H104" s="166">
        <f>STDEV(C104:E104)</f>
        <v>0.14647571314872412</v>
      </c>
      <c r="I104" s="166">
        <f>(B104*B4+C104*C4+D104*D4+E104*E4+F104*F4)/SUM(B4:F4)</f>
        <v>0.6984467895631852</v>
      </c>
      <c r="K104" s="166">
        <f>(LN(H104)+LN(H124))/2-LN(K114*K115^4)</f>
        <v>-4.560370481136879</v>
      </c>
    </row>
    <row r="105" spans="1:11" ht="12.75">
      <c r="A105" s="166" t="s">
        <v>162</v>
      </c>
      <c r="B105" s="166">
        <f>B65*10000/B62</f>
        <v>-0.2662623690425053</v>
      </c>
      <c r="C105" s="166">
        <f>C65*10000/C62</f>
        <v>0.10472261370451982</v>
      </c>
      <c r="D105" s="166">
        <f>D65*10000/D62</f>
        <v>-0.4117232214176969</v>
      </c>
      <c r="E105" s="166">
        <f>E65*10000/E62</f>
        <v>-0.580618893025183</v>
      </c>
      <c r="F105" s="166">
        <f>F65*10000/F62</f>
        <v>0.2927640136785969</v>
      </c>
      <c r="G105" s="166">
        <f>AVERAGE(C105:E105)</f>
        <v>-0.2958731669127867</v>
      </c>
      <c r="H105" s="166">
        <f>STDEV(C105:E105)</f>
        <v>0.35705625825383297</v>
      </c>
      <c r="I105" s="166">
        <f>(B105*B4+C105*C4+D105*D4+E105*E4+F105*F4)/SUM(B4:F4)</f>
        <v>-0.21270404197282147</v>
      </c>
      <c r="K105" s="166">
        <f>(LN(H105)+LN(H125))/2-LN(K114*K115^5)</f>
        <v>-3.6260362196976974</v>
      </c>
    </row>
    <row r="106" spans="1:11" ht="12.75">
      <c r="A106" s="166" t="s">
        <v>163</v>
      </c>
      <c r="B106" s="166">
        <f>B66*10000/B62</f>
        <v>3.79002132532756</v>
      </c>
      <c r="C106" s="166">
        <f>C66*10000/C62</f>
        <v>4.1318762276917465</v>
      </c>
      <c r="D106" s="166">
        <f>D66*10000/D62</f>
        <v>4.249178049202199</v>
      </c>
      <c r="E106" s="166">
        <f>E66*10000/E62</f>
        <v>4.040114769759715</v>
      </c>
      <c r="F106" s="166">
        <f>F66*10000/F62</f>
        <v>14.04539245140318</v>
      </c>
      <c r="G106" s="166">
        <f>AVERAGE(C106:E106)</f>
        <v>4.1403896822178865</v>
      </c>
      <c r="H106" s="166">
        <f>STDEV(C106:E106)</f>
        <v>0.10479133019383063</v>
      </c>
      <c r="I106" s="166">
        <f>(B106*B4+C106*C4+D106*D4+E106*E4+F106*F4)/SUM(B4:F4)</f>
        <v>5.417094723365983</v>
      </c>
      <c r="K106" s="166">
        <f>(LN(H106)+LN(H126))/2-LN(K114*K115^6)</f>
        <v>-3.983982652562883</v>
      </c>
    </row>
    <row r="107" spans="1:11" ht="12.75">
      <c r="A107" s="166" t="s">
        <v>164</v>
      </c>
      <c r="B107" s="166">
        <f>B67*10000/B62</f>
        <v>0.1615087655258171</v>
      </c>
      <c r="C107" s="166">
        <f>C67*10000/C62</f>
        <v>0.19149225334012687</v>
      </c>
      <c r="D107" s="166">
        <f>D67*10000/D62</f>
        <v>0.17097493640101386</v>
      </c>
      <c r="E107" s="166">
        <f>E67*10000/E62</f>
        <v>0.02310687854117602</v>
      </c>
      <c r="F107" s="166">
        <f>F67*10000/F62</f>
        <v>-0.16778201663680728</v>
      </c>
      <c r="G107" s="166">
        <f>AVERAGE(C107:E107)</f>
        <v>0.12852468942743892</v>
      </c>
      <c r="H107" s="166">
        <f>STDEV(C107:E107)</f>
        <v>0.09186907103391175</v>
      </c>
      <c r="I107" s="166">
        <f>(B107*B4+C107*C4+D107*D4+E107*E4+F107*F4)/SUM(B4:F4)</f>
        <v>0.09358059026898777</v>
      </c>
      <c r="K107" s="166">
        <f>(LN(H107)+LN(H127))/2-LN(K114*K115^7)</f>
        <v>-3.9590187690880727</v>
      </c>
    </row>
    <row r="108" spans="1:9" ht="12.75">
      <c r="A108" s="166" t="s">
        <v>165</v>
      </c>
      <c r="B108" s="166">
        <f>B68*10000/B62</f>
        <v>-0.09041726371395158</v>
      </c>
      <c r="C108" s="166">
        <f>C68*10000/C62</f>
        <v>0.02541440952789097</v>
      </c>
      <c r="D108" s="166">
        <f>D68*10000/D62</f>
        <v>-0.02952555132522897</v>
      </c>
      <c r="E108" s="166">
        <f>E68*10000/E62</f>
        <v>-0.16031449396746245</v>
      </c>
      <c r="F108" s="166">
        <f>F68*10000/F62</f>
        <v>-0.10698960702026926</v>
      </c>
      <c r="G108" s="166">
        <f>AVERAGE(C108:E108)</f>
        <v>-0.054808545254933484</v>
      </c>
      <c r="H108" s="166">
        <f>STDEV(C108:E108)</f>
        <v>0.095410841810214</v>
      </c>
      <c r="I108" s="166">
        <f>(B108*B4+C108*C4+D108*D4+E108*E4+F108*F4)/SUM(B4:F4)</f>
        <v>-0.06692926057438121</v>
      </c>
    </row>
    <row r="109" spans="1:9" ht="12.75">
      <c r="A109" s="166" t="s">
        <v>166</v>
      </c>
      <c r="B109" s="166">
        <f>B69*10000/B62</f>
        <v>-0.028120381505294726</v>
      </c>
      <c r="C109" s="166">
        <f>C69*10000/C62</f>
        <v>-0.04308190377191804</v>
      </c>
      <c r="D109" s="166">
        <f>D69*10000/D62</f>
        <v>-0.034793277610956894</v>
      </c>
      <c r="E109" s="166">
        <f>E69*10000/E62</f>
        <v>-0.06486869806980801</v>
      </c>
      <c r="F109" s="166">
        <f>F69*10000/F62</f>
        <v>-0.04791561730411425</v>
      </c>
      <c r="G109" s="166">
        <f>AVERAGE(C109:E109)</f>
        <v>-0.04758129315089432</v>
      </c>
      <c r="H109" s="166">
        <f>STDEV(C109:E109)</f>
        <v>0.015534352497993046</v>
      </c>
      <c r="I109" s="166">
        <f>(B109*B4+C109*C4+D109*D4+E109*E4+F109*F4)/SUM(B4:F4)</f>
        <v>-0.044820042705146564</v>
      </c>
    </row>
    <row r="110" spans="1:11" ht="12.75">
      <c r="A110" s="166" t="s">
        <v>167</v>
      </c>
      <c r="B110" s="166">
        <f>B70*10000/B62</f>
        <v>-0.402493085284659</v>
      </c>
      <c r="C110" s="166">
        <f>C70*10000/C62</f>
        <v>-0.08556297591802325</v>
      </c>
      <c r="D110" s="166">
        <f>D70*10000/D62</f>
        <v>-0.07780405455315992</v>
      </c>
      <c r="E110" s="166">
        <f>E70*10000/E62</f>
        <v>-0.087189694039567</v>
      </c>
      <c r="F110" s="166">
        <f>F70*10000/F62</f>
        <v>-0.3830133853276171</v>
      </c>
      <c r="G110" s="166">
        <f>AVERAGE(C110:E110)</f>
        <v>-0.08351890817025005</v>
      </c>
      <c r="H110" s="166">
        <f>STDEV(C110:E110)</f>
        <v>0.00501559735827312</v>
      </c>
      <c r="I110" s="166">
        <f>(B110*B4+C110*C4+D110*D4+E110*E4+F110*F4)/SUM(B4:F4)</f>
        <v>-0.1696375913725398</v>
      </c>
      <c r="K110" s="166">
        <f>EXP(AVERAGE(K103:K107))</f>
        <v>0.018229548443386194</v>
      </c>
    </row>
    <row r="111" spans="1:9" ht="12.75">
      <c r="A111" s="166" t="s">
        <v>168</v>
      </c>
      <c r="B111" s="166">
        <f>B71*10000/B62</f>
        <v>0.10731835526146655</v>
      </c>
      <c r="C111" s="166">
        <f>C71*10000/C62</f>
        <v>0.02181276759859415</v>
      </c>
      <c r="D111" s="166">
        <f>D71*10000/D62</f>
        <v>0.0187404144714204</v>
      </c>
      <c r="E111" s="166">
        <f>E71*10000/E62</f>
        <v>-0.0017056865843071815</v>
      </c>
      <c r="F111" s="166">
        <f>F71*10000/F62</f>
        <v>0.009032493940269991</v>
      </c>
      <c r="G111" s="166">
        <f>AVERAGE(C111:E111)</f>
        <v>0.012949165161902455</v>
      </c>
      <c r="H111" s="166">
        <f>STDEV(C111:E111)</f>
        <v>0.012784105295719812</v>
      </c>
      <c r="I111" s="166">
        <f>(B111*B4+C111*C4+D111*D4+E111*E4+F111*F4)/SUM(B4:F4)</f>
        <v>0.02603051515164499</v>
      </c>
    </row>
    <row r="112" spans="1:9" ht="12.75">
      <c r="A112" s="166" t="s">
        <v>169</v>
      </c>
      <c r="B112" s="166">
        <f>B72*10000/B62</f>
        <v>-0.06214435167889376</v>
      </c>
      <c r="C112" s="166">
        <f>C72*10000/C62</f>
        <v>-0.053371318449998366</v>
      </c>
      <c r="D112" s="166">
        <f>D72*10000/D62</f>
        <v>-0.06726420819673398</v>
      </c>
      <c r="E112" s="166">
        <f>E72*10000/E62</f>
        <v>-0.05845118147761651</v>
      </c>
      <c r="F112" s="166">
        <f>F72*10000/F62</f>
        <v>-0.06661973371241217</v>
      </c>
      <c r="G112" s="166">
        <f>AVERAGE(C112:E112)</f>
        <v>-0.05969556937478295</v>
      </c>
      <c r="H112" s="166">
        <f>STDEV(C112:E112)</f>
        <v>0.007029542823519838</v>
      </c>
      <c r="I112" s="166">
        <f>(B112*B4+C112*C4+D112*D4+E112*E4+F112*F4)/SUM(B4:F4)</f>
        <v>-0.060976018123604384</v>
      </c>
    </row>
    <row r="113" spans="1:9" ht="12.75">
      <c r="A113" s="166" t="s">
        <v>170</v>
      </c>
      <c r="B113" s="166">
        <f>B73*10000/B62</f>
        <v>-0.01796062294831045</v>
      </c>
      <c r="C113" s="166">
        <f>C73*10000/C62</f>
        <v>-0.026256405289985678</v>
      </c>
      <c r="D113" s="166">
        <f>D73*10000/D62</f>
        <v>-0.013139236751438224</v>
      </c>
      <c r="E113" s="166">
        <f>E73*10000/E62</f>
        <v>-0.007537443894983384</v>
      </c>
      <c r="F113" s="166">
        <f>F73*10000/F62</f>
        <v>-0.016806938423039316</v>
      </c>
      <c r="G113" s="166">
        <f>AVERAGE(C113:E113)</f>
        <v>-0.015644361978802427</v>
      </c>
      <c r="H113" s="166">
        <f>STDEV(C113:E113)</f>
        <v>0.00960763333139223</v>
      </c>
      <c r="I113" s="166">
        <f>(B113*B4+C113*C4+D113*D4+E113*E4+F113*F4)/SUM(B4:F4)</f>
        <v>-0.01613476557959827</v>
      </c>
    </row>
    <row r="114" spans="1:11" ht="12.75">
      <c r="A114" s="166" t="s">
        <v>171</v>
      </c>
      <c r="B114" s="166">
        <f>B74*10000/B62</f>
        <v>-0.1917515928630646</v>
      </c>
      <c r="C114" s="166">
        <f>C74*10000/C62</f>
        <v>-0.17322817383914352</v>
      </c>
      <c r="D114" s="166">
        <f>D74*10000/D62</f>
        <v>-0.1765235473856999</v>
      </c>
      <c r="E114" s="166">
        <f>E74*10000/E62</f>
        <v>-0.1671542803905405</v>
      </c>
      <c r="F114" s="166">
        <f>F74*10000/F62</f>
        <v>-0.1432954384056434</v>
      </c>
      <c r="G114" s="166">
        <f>AVERAGE(C114:E114)</f>
        <v>-0.17230200053846131</v>
      </c>
      <c r="H114" s="166">
        <f>STDEV(C114:E114)</f>
        <v>0.004752803251116692</v>
      </c>
      <c r="I114" s="166">
        <f>(B114*B4+C114*C4+D114*D4+E114*E4+F114*F4)/SUM(B4:F4)</f>
        <v>-0.1712194572314395</v>
      </c>
      <c r="J114" s="166" t="s">
        <v>189</v>
      </c>
      <c r="K114" s="166">
        <v>285</v>
      </c>
    </row>
    <row r="115" spans="1:11" ht="12.75">
      <c r="A115" s="166" t="s">
        <v>172</v>
      </c>
      <c r="B115" s="166">
        <f>B75*10000/B62</f>
        <v>-1.2540629645693235E-05</v>
      </c>
      <c r="C115" s="166">
        <f>C75*10000/C62</f>
        <v>-0.0001227875303506842</v>
      </c>
      <c r="D115" s="166">
        <f>D75*10000/D62</f>
        <v>-0.002580511899481181</v>
      </c>
      <c r="E115" s="166">
        <f>E75*10000/E62</f>
        <v>0.0012387426798894498</v>
      </c>
      <c r="F115" s="166">
        <f>F75*10000/F62</f>
        <v>0.00033784687540228884</v>
      </c>
      <c r="G115" s="166">
        <f>AVERAGE(C115:E115)</f>
        <v>-0.00048818558331413845</v>
      </c>
      <c r="H115" s="166">
        <f>STDEV(C115:E115)</f>
        <v>0.00193566866698384</v>
      </c>
      <c r="I115" s="166">
        <f>(B115*B4+C115*C4+D115*D4+E115*E4+F115*F4)/SUM(B4:F4)</f>
        <v>-0.00030890237141863376</v>
      </c>
      <c r="J115" s="166" t="s">
        <v>190</v>
      </c>
      <c r="K115" s="166">
        <v>0.5536</v>
      </c>
    </row>
    <row r="118" ht="12.75">
      <c r="A118" s="166" t="s">
        <v>155</v>
      </c>
    </row>
    <row r="120" spans="2:9" ht="12.75">
      <c r="B120" s="166" t="s">
        <v>83</v>
      </c>
      <c r="C120" s="166" t="s">
        <v>84</v>
      </c>
      <c r="D120" s="166" t="s">
        <v>85</v>
      </c>
      <c r="E120" s="166" t="s">
        <v>86</v>
      </c>
      <c r="F120" s="166" t="s">
        <v>87</v>
      </c>
      <c r="G120" s="166" t="s">
        <v>157</v>
      </c>
      <c r="H120" s="166" t="s">
        <v>158</v>
      </c>
      <c r="I120" s="166" t="s">
        <v>153</v>
      </c>
    </row>
    <row r="121" spans="1:9" ht="12.75">
      <c r="A121" s="166" t="s">
        <v>173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174</v>
      </c>
      <c r="B122" s="166">
        <f>B82*10000/B62</f>
        <v>19.852428394788795</v>
      </c>
      <c r="C122" s="166">
        <f>C82*10000/C62</f>
        <v>-5.5201111201648105</v>
      </c>
      <c r="D122" s="166">
        <f>D82*10000/D62</f>
        <v>1.0263506486521217</v>
      </c>
      <c r="E122" s="166">
        <f>E82*10000/E62</f>
        <v>3.25610525452622</v>
      </c>
      <c r="F122" s="166">
        <f>F82*10000/F62</f>
        <v>-18.968463042831313</v>
      </c>
      <c r="G122" s="166">
        <f>AVERAGE(C122:E122)</f>
        <v>-0.4125517389954895</v>
      </c>
      <c r="H122" s="166">
        <f>STDEV(C122:E122)</f>
        <v>4.561614135887892</v>
      </c>
      <c r="I122" s="166">
        <f>(B122*B4+C122*C4+D122*D4+E122*E4+F122*F4)/SUM(B4:F4)</f>
        <v>0.022410190772286596</v>
      </c>
    </row>
    <row r="123" spans="1:9" ht="12.75">
      <c r="A123" s="166" t="s">
        <v>175</v>
      </c>
      <c r="B123" s="166">
        <f>B83*10000/B62</f>
        <v>1.6718009239139806</v>
      </c>
      <c r="C123" s="166">
        <f>C83*10000/C62</f>
        <v>1.2344567653090828</v>
      </c>
      <c r="D123" s="166">
        <f>D83*10000/D62</f>
        <v>3.3002431414170332</v>
      </c>
      <c r="E123" s="166">
        <f>E83*10000/E62</f>
        <v>1.5328770834788952</v>
      </c>
      <c r="F123" s="166">
        <f>F83*10000/F62</f>
        <v>8.663514777667936</v>
      </c>
      <c r="G123" s="166">
        <f>AVERAGE(C123:E123)</f>
        <v>2.0225256634016704</v>
      </c>
      <c r="H123" s="166">
        <f>STDEV(C123:E123)</f>
        <v>1.116550552726386</v>
      </c>
      <c r="I123" s="166">
        <f>(B123*B4+C123*C4+D123*D4+E123*E4+F123*F4)/SUM(B4:F4)</f>
        <v>2.861768303218247</v>
      </c>
    </row>
    <row r="124" spans="1:9" ht="12.75">
      <c r="A124" s="166" t="s">
        <v>176</v>
      </c>
      <c r="B124" s="166">
        <f>B84*10000/B62</f>
        <v>0.38307022795087653</v>
      </c>
      <c r="C124" s="166">
        <f>C84*10000/C62</f>
        <v>1.5759277669631164</v>
      </c>
      <c r="D124" s="166">
        <f>D84*10000/D62</f>
        <v>0.6244024052990323</v>
      </c>
      <c r="E124" s="166">
        <f>E84*10000/E62</f>
        <v>0.6761034417693397</v>
      </c>
      <c r="F124" s="166">
        <f>F84*10000/F62</f>
        <v>0.8113723488430055</v>
      </c>
      <c r="G124" s="166">
        <f>AVERAGE(C124:E124)</f>
        <v>0.9588112046771627</v>
      </c>
      <c r="H124" s="166">
        <f>STDEV(C124:E124)</f>
        <v>0.5350634428539769</v>
      </c>
      <c r="I124" s="166">
        <f>(B124*B4+C124*C4+D124*D4+E124*E4+F124*F4)/SUM(B4:F4)</f>
        <v>0.8560877035064711</v>
      </c>
    </row>
    <row r="125" spans="1:9" ht="12.75">
      <c r="A125" s="166" t="s">
        <v>177</v>
      </c>
      <c r="B125" s="166">
        <f>B85*10000/B62</f>
        <v>0.08748299475111207</v>
      </c>
      <c r="C125" s="166">
        <f>C85*10000/C62</f>
        <v>-0.06645966974243347</v>
      </c>
      <c r="D125" s="166">
        <f>D85*10000/D62</f>
        <v>0.7925076768564311</v>
      </c>
      <c r="E125" s="166">
        <f>E85*10000/E62</f>
        <v>0.2340407389644693</v>
      </c>
      <c r="F125" s="166">
        <f>F85*10000/F62</f>
        <v>-0.15503760938142377</v>
      </c>
      <c r="G125" s="166">
        <f>AVERAGE(C125:E125)</f>
        <v>0.32002958202615567</v>
      </c>
      <c r="H125" s="166">
        <f>STDEV(C125:E125)</f>
        <v>0.4358919435813066</v>
      </c>
      <c r="I125" s="166">
        <f>(B125*B4+C125*C4+D125*D4+E125*E4+F125*F4)/SUM(B4:F4)</f>
        <v>0.22282106503439952</v>
      </c>
    </row>
    <row r="126" spans="1:9" ht="12.75">
      <c r="A126" s="166" t="s">
        <v>178</v>
      </c>
      <c r="B126" s="166">
        <f>B86*10000/B62</f>
        <v>0.5984168392514878</v>
      </c>
      <c r="C126" s="166">
        <f>C86*10000/C62</f>
        <v>-0.004176165047147773</v>
      </c>
      <c r="D126" s="166">
        <f>D86*10000/D62</f>
        <v>0.4407406853865606</v>
      </c>
      <c r="E126" s="166">
        <f>E86*10000/E62</f>
        <v>0.2141377905021144</v>
      </c>
      <c r="F126" s="166">
        <f>F86*10000/F62</f>
        <v>1.6576403934091735</v>
      </c>
      <c r="G126" s="166">
        <f>AVERAGE(C126:E126)</f>
        <v>0.21690077028050905</v>
      </c>
      <c r="H126" s="166">
        <f>STDEV(C126:E126)</f>
        <v>0.2224712936378637</v>
      </c>
      <c r="I126" s="166">
        <f>(B126*B4+C126*C4+D126*D4+E126*E4+F126*F4)/SUM(B4:F4)</f>
        <v>0.46494309688714225</v>
      </c>
    </row>
    <row r="127" spans="1:9" ht="12.75">
      <c r="A127" s="166" t="s">
        <v>179</v>
      </c>
      <c r="B127" s="166">
        <f>B87*10000/B62</f>
        <v>0.02485942981499047</v>
      </c>
      <c r="C127" s="166">
        <f>C87*10000/C62</f>
        <v>0.02922312223959346</v>
      </c>
      <c r="D127" s="166">
        <f>D87*10000/D62</f>
        <v>-0.13392542438945912</v>
      </c>
      <c r="E127" s="166">
        <f>E87*10000/E62</f>
        <v>-0.06171819398630611</v>
      </c>
      <c r="F127" s="166">
        <f>F87*10000/F62</f>
        <v>0.5653459792022009</v>
      </c>
      <c r="G127" s="166">
        <f>AVERAGE(C127:E127)</f>
        <v>-0.055473498712057256</v>
      </c>
      <c r="H127" s="166">
        <f>STDEV(C127:E127)</f>
        <v>0.08175334385267802</v>
      </c>
      <c r="I127" s="166">
        <f>(B127*B4+C127*C4+D127*D4+E127*E4+F127*F4)/SUM(B4:F4)</f>
        <v>0.03930048457465242</v>
      </c>
    </row>
    <row r="128" spans="1:9" ht="12.75">
      <c r="A128" s="166" t="s">
        <v>180</v>
      </c>
      <c r="B128" s="166">
        <f>B88*10000/B62</f>
        <v>0.10208142232251459</v>
      </c>
      <c r="C128" s="166">
        <f>C88*10000/C62</f>
        <v>-0.0035274430101001762</v>
      </c>
      <c r="D128" s="166">
        <f>D88*10000/D62</f>
        <v>-0.01498922831974759</v>
      </c>
      <c r="E128" s="166">
        <f>E88*10000/E62</f>
        <v>-0.06628083389027688</v>
      </c>
      <c r="F128" s="166">
        <f>F88*10000/F62</f>
        <v>0.24521483834727548</v>
      </c>
      <c r="G128" s="166">
        <f>AVERAGE(C128:E128)</f>
        <v>-0.02826583507337488</v>
      </c>
      <c r="H128" s="166">
        <f>STDEV(C128:E128)</f>
        <v>0.0334170350556106</v>
      </c>
      <c r="I128" s="166">
        <f>(B128*B4+C128*C4+D128*D4+E128*E4+F128*F4)/SUM(B4:F4)</f>
        <v>0.027173461438598712</v>
      </c>
    </row>
    <row r="129" spans="1:9" ht="12.75">
      <c r="A129" s="166" t="s">
        <v>181</v>
      </c>
      <c r="B129" s="166">
        <f>B89*10000/B62</f>
        <v>-0.014728665459096433</v>
      </c>
      <c r="C129" s="166">
        <f>C89*10000/C62</f>
        <v>0.04043237827126423</v>
      </c>
      <c r="D129" s="166">
        <f>D89*10000/D62</f>
        <v>0.011522761596337838</v>
      </c>
      <c r="E129" s="166">
        <f>E89*10000/E62</f>
        <v>-0.030063500731291326</v>
      </c>
      <c r="F129" s="166">
        <f>F89*10000/F62</f>
        <v>0.053122362222832786</v>
      </c>
      <c r="G129" s="166">
        <f>AVERAGE(C129:E129)</f>
        <v>0.007297213045436915</v>
      </c>
      <c r="H129" s="166">
        <f>STDEV(C129:E129)</f>
        <v>0.035437391051017765</v>
      </c>
      <c r="I129" s="166">
        <f>(B129*B4+C129*C4+D129*D4+E129*E4+F129*F4)/SUM(B4:F4)</f>
        <v>0.010264107667799673</v>
      </c>
    </row>
    <row r="130" spans="1:9" ht="12.75">
      <c r="A130" s="166" t="s">
        <v>182</v>
      </c>
      <c r="B130" s="166">
        <f>B90*10000/B62</f>
        <v>-0.006466969918980698</v>
      </c>
      <c r="C130" s="166">
        <f>C90*10000/C62</f>
        <v>0.03075574025441243</v>
      </c>
      <c r="D130" s="166">
        <f>D90*10000/D62</f>
        <v>-0.0044210213997791835</v>
      </c>
      <c r="E130" s="166">
        <f>E90*10000/E62</f>
        <v>-0.0010108271546637264</v>
      </c>
      <c r="F130" s="166">
        <f>F90*10000/F62</f>
        <v>0.21945095102659756</v>
      </c>
      <c r="G130" s="166">
        <f>AVERAGE(C130:E130)</f>
        <v>0.008441297233323174</v>
      </c>
      <c r="H130" s="166">
        <f>STDEV(C130:E130)</f>
        <v>0.01939995184796689</v>
      </c>
      <c r="I130" s="166">
        <f>(B130*B4+C130*C4+D130*D4+E130*E4+F130*F4)/SUM(B4:F4)</f>
        <v>0.03456755217604763</v>
      </c>
    </row>
    <row r="131" spans="1:9" ht="12.75">
      <c r="A131" s="166" t="s">
        <v>183</v>
      </c>
      <c r="B131" s="166">
        <f>B91*10000/B62</f>
        <v>0.0527563523732995</v>
      </c>
      <c r="C131" s="166">
        <f>C91*10000/C62</f>
        <v>0.10163678100146978</v>
      </c>
      <c r="D131" s="166">
        <f>D91*10000/D62</f>
        <v>0.06952764867903401</v>
      </c>
      <c r="E131" s="166">
        <f>E91*10000/E62</f>
        <v>0.07272934643797584</v>
      </c>
      <c r="F131" s="166">
        <f>F91*10000/F62</f>
        <v>0.11776216566189072</v>
      </c>
      <c r="G131" s="166">
        <f>AVERAGE(C131:E131)</f>
        <v>0.08129792537282654</v>
      </c>
      <c r="H131" s="166">
        <f>STDEV(C131:E131)</f>
        <v>0.017686562790632875</v>
      </c>
      <c r="I131" s="166">
        <f>(B131*B4+C131*C4+D131*D4+E131*E4+F131*F4)/SUM(B4:F4)</f>
        <v>0.08207029229892802</v>
      </c>
    </row>
    <row r="132" spans="1:9" ht="12.75">
      <c r="A132" s="166" t="s">
        <v>184</v>
      </c>
      <c r="B132" s="166">
        <f>B92*10000/B62</f>
        <v>0.05343570501106387</v>
      </c>
      <c r="C132" s="166">
        <f>C92*10000/C62</f>
        <v>-0.012297874058057141</v>
      </c>
      <c r="D132" s="166">
        <f>D92*10000/D62</f>
        <v>0.01339531750366973</v>
      </c>
      <c r="E132" s="166">
        <f>E92*10000/E62</f>
        <v>-0.004316062780585205</v>
      </c>
      <c r="F132" s="166">
        <f>F92*10000/F62</f>
        <v>0.018144860037831216</v>
      </c>
      <c r="G132" s="166">
        <f>AVERAGE(C132:E132)</f>
        <v>-0.0010728731116575387</v>
      </c>
      <c r="H132" s="166">
        <f>STDEV(C132:E132)</f>
        <v>0.013150046866014493</v>
      </c>
      <c r="I132" s="166">
        <f>(B132*B4+C132*C4+D132*D4+E132*E4+F132*F4)/SUM(B4:F4)</f>
        <v>0.009360213214418144</v>
      </c>
    </row>
    <row r="133" spans="1:9" ht="12.75">
      <c r="A133" s="166" t="s">
        <v>185</v>
      </c>
      <c r="B133" s="166">
        <f>B93*10000/B62</f>
        <v>-0.07951646441962944</v>
      </c>
      <c r="C133" s="166">
        <f>C93*10000/C62</f>
        <v>-0.06730241169119348</v>
      </c>
      <c r="D133" s="166">
        <f>D93*10000/D62</f>
        <v>-0.08351440297556936</v>
      </c>
      <c r="E133" s="166">
        <f>E93*10000/E62</f>
        <v>-0.07359017161221211</v>
      </c>
      <c r="F133" s="166">
        <f>F93*10000/F62</f>
        <v>-0.07517935430026436</v>
      </c>
      <c r="G133" s="166">
        <f>AVERAGE(C133:E133)</f>
        <v>-0.07480232875965831</v>
      </c>
      <c r="H133" s="166">
        <f>STDEV(C133:E133)</f>
        <v>0.008173686993257757</v>
      </c>
      <c r="I133" s="166">
        <f>(B133*B4+C133*C4+D133*D4+E133*E4+F133*F4)/SUM(B4:F4)</f>
        <v>-0.07553202453723033</v>
      </c>
    </row>
    <row r="134" spans="1:9" ht="12.75">
      <c r="A134" s="166" t="s">
        <v>186</v>
      </c>
      <c r="B134" s="166">
        <f>B94*10000/B62</f>
        <v>-0.0011834355206765295</v>
      </c>
      <c r="C134" s="166">
        <f>C94*10000/C62</f>
        <v>0.007359571786787947</v>
      </c>
      <c r="D134" s="166">
        <f>D94*10000/D62</f>
        <v>0.00111593773439403</v>
      </c>
      <c r="E134" s="166">
        <f>E94*10000/E62</f>
        <v>0.0004443807005885964</v>
      </c>
      <c r="F134" s="166">
        <f>F94*10000/F62</f>
        <v>-0.028069243278976332</v>
      </c>
      <c r="G134" s="166">
        <f>AVERAGE(C134:E134)</f>
        <v>0.0029732967405901914</v>
      </c>
      <c r="H134" s="166">
        <f>STDEV(C134:E134)</f>
        <v>0.003813437268146184</v>
      </c>
      <c r="I134" s="166">
        <f>(B134*B4+C134*C4+D134*D4+E134*E4+F134*F4)/SUM(B4:F4)</f>
        <v>-0.001785257103089654</v>
      </c>
    </row>
    <row r="135" spans="1:9" ht="12.75">
      <c r="A135" s="166" t="s">
        <v>187</v>
      </c>
      <c r="B135" s="166">
        <f>B95*10000/B62</f>
        <v>-2.8725386364126338E-05</v>
      </c>
      <c r="C135" s="166">
        <f>C95*10000/C62</f>
        <v>-0.00028850018511864716</v>
      </c>
      <c r="D135" s="166">
        <f>D95*10000/D62</f>
        <v>0.0015412786987293219</v>
      </c>
      <c r="E135" s="166">
        <f>E95*10000/E62</f>
        <v>-0.0026864717044436173</v>
      </c>
      <c r="F135" s="166">
        <f>F95*10000/F62</f>
        <v>0.006986649638654315</v>
      </c>
      <c r="G135" s="166">
        <f>AVERAGE(C135:E135)</f>
        <v>-0.0004778977302776475</v>
      </c>
      <c r="H135" s="166">
        <f>STDEV(C135:E135)</f>
        <v>0.0021202292188502708</v>
      </c>
      <c r="I135" s="166">
        <f>(B135*B4+C135*C4+D135*D4+E135*E4+F135*F4)/SUM(B4:F4)</f>
        <v>0.0005870845462404705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2003-07-09T11:19:32Z</cp:lastPrinted>
  <dcterms:created xsi:type="dcterms:W3CDTF">1999-06-17T15:15:05Z</dcterms:created>
  <dcterms:modified xsi:type="dcterms:W3CDTF">2003-09-26T12:49:40Z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-1646654416</vt:i4>
  </property>
  <property fmtid="{D5CDD505-2E9C-101B-9397-08002B2CF9AE}" pid="3" name="_EmailSubject">
    <vt:lpwstr>WFM result of aperture 55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