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58_pos1ap2" sheetId="2" r:id="rId2"/>
    <sheet name="HCMQAP058_pos2ap2" sheetId="3" r:id="rId3"/>
    <sheet name="HCMQAP058_pos3ap2" sheetId="4" r:id="rId4"/>
    <sheet name="HCMQAP058_pos4ap2" sheetId="5" r:id="rId5"/>
    <sheet name="HCMQAP058_pos5ap2" sheetId="6" r:id="rId6"/>
    <sheet name="Lmag_hcmqap" sheetId="7" r:id="rId7"/>
    <sheet name="Result_HCMQAP" sheetId="8" r:id="rId8"/>
  </sheets>
  <definedNames>
    <definedName name="_xlnm.Print_Area" localSheetId="1">'HCMQAP058_pos1ap2'!$A$1:$N$28</definedName>
    <definedName name="_xlnm.Print_Area" localSheetId="2">'HCMQAP058_pos2ap2'!$A$1:$N$28</definedName>
    <definedName name="_xlnm.Print_Area" localSheetId="3">'HCMQAP058_pos3ap2'!$A$1:$N$28</definedName>
    <definedName name="_xlnm.Print_Area" localSheetId="4">'HCMQAP058_pos4ap2'!$A$1:$N$28</definedName>
    <definedName name="_xlnm.Print_Area" localSheetId="5">'HCMQAP058_pos5ap2'!$A$1:$N$28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<sst xmlns="http://schemas.openxmlformats.org/spreadsheetml/2006/main" count="505" uniqueCount="191">
  <si>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</si>
  <si>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</si>
  <si>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</si>
  <si>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</si>
  <si>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</si>
  <si>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</si>
  <si>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</si>
  <si>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</si>
  <si>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</si>
  <si>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</si>
  <si>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</si>
  <si>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</si>
  <si>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</si>
  <si>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</si>
  <si>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</si>
  <si>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hcmqap058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</si>
  <si>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</si>
  <si>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</si>
  <si>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</si>
  <si>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</si>
  <si>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</si>
  <si>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</si>
  <si>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</si>
  <si>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</si>
  <si>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</si>
  <si>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</si>
  <si>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</si>
  <si>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</si>
  <si>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</si>
  <si>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</si>
  <si>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</si>
  <si>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</si>
  <si>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</si>
  <si>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</si>
  <si>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</si>
  <si>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</si>
  <si>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</si>
  <si>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</si>
  <si>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</si>
  <si>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</si>
  <si>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</si>
  <si>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</si>
  <si>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</si>
  <si>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</si>
  <si>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</si>
  <si>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</si>
  <si>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</si>
  <si>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</si>
  <si>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</si>
  <si>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</si>
  <si>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</si>
  <si>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</si>
  <si>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</si>
  <si>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</si>
  <si>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</si>
  <si>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</si>
  <si>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</si>
  <si>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</si>
  <si>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</si>
  <si>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</si>
  <si>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</si>
  <si>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</si>
  <si>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</si>
  <si>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</si>
  <si>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</si>
  <si>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</si>
  <si>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</si>
  <si>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</si>
  <si>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HCMQAP058_pos1ap2</t>
  </si>
  <si>
    <t>±12.5</t>
  </si>
  <si>
    <t>THCMQAP058_pos1ap2.xls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</si>
  <si>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</si>
  <si>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HCMQAP058_pos2ap2</t>
  </si>
  <si>
    <t>THCMQAP058_pos2ap2.xls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</si>
  <si>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</si>
  <si>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HCMQAP058_pos3ap2</t>
  </si>
  <si>
    <t>THCMQAP058_pos3ap2.xls</t>
  </si>
  <si>
    <t>HCMQAP058_pos4ap2</t>
  </si>
  <si>
    <t>THCMQAP058_pos4ap2.xls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</si>
  <si>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-2.088 mT)</t>
    </r>
  </si>
  <si>
    <t>HCMQAP058_pos5ap2</t>
  </si>
  <si>
    <t>THCMQAP058_pos5ap2.xls</t>
  </si>
  <si>
    <t>Sommaire : Valeurs intégrales calculées avec les fichiers: HCMQAP058_pos1ap2+HCMQAP058_pos2ap2+HCMQAP058_pos3ap2+HCMQAP058_pos4ap2+HCMQAP058_pos5ap2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</si>
  <si>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</si>
  <si>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</si>
  <si>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</si>
  <si>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</si>
  <si>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</si>
  <si>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</si>
  <si>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</si>
  <si>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</si>
  <si>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</si>
  <si>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</si>
  <si>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</si>
  <si>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</si>
  <si>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</si>
  <si>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</si>
  <si>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</si>
  <si>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</si>
  <si>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</si>
  <si>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</si>
  <si>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</si>
  <si>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</si>
  <si>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</si>
  <si>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</si>
  <si>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</si>
  <si>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</si>
  <si>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</si>
  <si>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</si>
  <si>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</si>
  <si>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</si>
  <si>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</si>
  <si>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</si>
  <si>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</si>
  <si>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</si>
  <si>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</si>
  <si>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</si>
  <si>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</si>
  <si>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</si>
  <si>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</si>
  <si>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</si>
  <si>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</si>
  <si>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</si>
  <si>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</si>
  <si>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</si>
  <si>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</si>
  <si>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=-3.761</t>
    </r>
  </si>
  <si>
    <t>Gradient (T/m)</t>
  </si>
  <si>
    <t xml:space="preserve"> Fri 11/07/2003       12:13:41</t>
  </si>
  <si>
    <t>LISSNER</t>
  </si>
  <si>
    <t>HCMQAP058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</si>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</sst>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5" xfId="0" applyNumberFormat="1" applyFon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58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6770562"/>
        <c:axId val="41173011"/>
      </c:lineChart>
      <c:catAx>
        <c:axId val="567705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1173011"/>
        <c:crosses val="autoZero"/>
        <c:auto val="1"/>
        <c:lblOffset val="100"/>
        <c:noMultiLvlLbl val="0"/>
      </c:catAx>
      <c:valAx>
        <c:axId val="41173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67705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37932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1915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37932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1915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37932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1915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37932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1915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37932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1915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3.0009367E-05</v>
      </c>
      <c r="L2" s="55">
        <v>1.5998169701738318E-07</v>
      </c>
      <c r="M2" s="55">
        <v>0.0001448696</v>
      </c>
      <c r="N2" s="56">
        <v>1.1840703102130246E-07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-3.1542666999999995E-05</v>
      </c>
      <c r="L3" s="55">
        <v>9.660837199149694E-08</v>
      </c>
      <c r="M3" s="55">
        <v>1.4252380000000001E-05</v>
      </c>
      <c r="N3" s="56">
        <v>1.6126134874801286E-07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-0.002259165298123982</v>
      </c>
      <c r="L4" s="55">
        <v>3.8035699845524453E-06</v>
      </c>
      <c r="M4" s="55">
        <v>5.1031388975884976E-08</v>
      </c>
      <c r="N4" s="56">
        <v>-0.8418079</v>
      </c>
    </row>
    <row r="5" spans="1:14" ht="15" customHeight="1" thickBot="1">
      <c r="A5" t="s">
        <v>18</v>
      </c>
      <c r="B5" s="59">
        <v>37813.48784722222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1915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2.7439613999999994</v>
      </c>
      <c r="E8" s="78">
        <v>0.016280872124701716</v>
      </c>
      <c r="F8" s="78">
        <v>0.21619317899999996</v>
      </c>
      <c r="G8" s="78">
        <v>0.031054874290877065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-0.5216157299999999</v>
      </c>
      <c r="E9" s="80">
        <v>0.04429946591982393</v>
      </c>
      <c r="F9" s="80">
        <v>0.86531237</v>
      </c>
      <c r="G9" s="80">
        <v>0.058017335916944364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-0.14065758</v>
      </c>
      <c r="E10" s="80">
        <v>0.013287144584695387</v>
      </c>
      <c r="F10" s="80">
        <v>-2.0572367999999996</v>
      </c>
      <c r="G10" s="80">
        <v>0.012399567571532098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3.4768611</v>
      </c>
      <c r="E11" s="78">
        <v>0.007149096910703568</v>
      </c>
      <c r="F11" s="78">
        <v>0.36266688999999996</v>
      </c>
      <c r="G11" s="78">
        <v>0.013481909007051287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-0.11302305499999998</v>
      </c>
      <c r="E12" s="80">
        <v>0.005746350473710513</v>
      </c>
      <c r="F12" s="80">
        <v>-0.16669112700000002</v>
      </c>
      <c r="G12" s="80">
        <v>0.01703041324882906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27.386475</v>
      </c>
      <c r="D13" s="83">
        <v>0.33094641</v>
      </c>
      <c r="E13" s="80">
        <v>0.004045756366785869</v>
      </c>
      <c r="F13" s="80">
        <v>-0.026670031</v>
      </c>
      <c r="G13" s="80">
        <v>0.007421150437580013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0.26255917</v>
      </c>
      <c r="E14" s="80">
        <v>0.0014834298735050587</v>
      </c>
      <c r="F14" s="86">
        <v>0.42007747</v>
      </c>
      <c r="G14" s="80">
        <v>0.004083711175218605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-0.40566121</v>
      </c>
      <c r="E15" s="78">
        <v>0.0027816051339900525</v>
      </c>
      <c r="F15" s="78">
        <v>0.11531642500000001</v>
      </c>
      <c r="G15" s="78">
        <v>0.004550505040731983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12.5055</v>
      </c>
      <c r="D16" s="83">
        <v>-0.086646278</v>
      </c>
      <c r="E16" s="80">
        <v>0.0029941871744225503</v>
      </c>
      <c r="F16" s="80">
        <v>-0.112280949</v>
      </c>
      <c r="G16" s="80">
        <v>0.003627519690107107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-0.16500000655651093</v>
      </c>
      <c r="D17" s="87">
        <v>0.21265870000000003</v>
      </c>
      <c r="E17" s="80">
        <v>0.002485631440297321</v>
      </c>
      <c r="F17" s="80">
        <v>-0.08886953700000003</v>
      </c>
      <c r="G17" s="80">
        <v>0.0022793940639482925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174.45899963378906</v>
      </c>
      <c r="D18" s="83">
        <v>0.051054218000000005</v>
      </c>
      <c r="E18" s="80">
        <v>0.0030802220937613868</v>
      </c>
      <c r="F18" s="86">
        <v>0.22110987</v>
      </c>
      <c r="G18" s="80">
        <v>0.00336977492803285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-0.3709999918937683</v>
      </c>
      <c r="D19" s="87">
        <v>-0.19673536</v>
      </c>
      <c r="E19" s="80">
        <v>0.002287067514612731</v>
      </c>
      <c r="F19" s="80">
        <v>0.0065961407</v>
      </c>
      <c r="G19" s="80">
        <v>0.0023134439298753834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0.22403</v>
      </c>
      <c r="D20" s="89">
        <v>-0.00254900297</v>
      </c>
      <c r="E20" s="90">
        <v>0.0012073531424772843</v>
      </c>
      <c r="F20" s="90">
        <v>-0.0023190511315</v>
      </c>
      <c r="G20" s="90">
        <v>0.0015013821021874032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1.0904836000000002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-0.04823208057066645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-2.2591684999999995</v>
      </c>
      <c r="I25" s="102" t="s">
        <v>49</v>
      </c>
      <c r="J25" s="103"/>
      <c r="K25" s="102"/>
      <c r="L25" s="105">
        <v>3.495724586090197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2.7524650143709515</v>
      </c>
      <c r="I26" s="107" t="s">
        <v>53</v>
      </c>
      <c r="J26" s="108"/>
      <c r="K26" s="107"/>
      <c r="L26" s="110">
        <v>0.4217332037834402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HCMQAP058_pos1ap2res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8.145044900000001E-05</v>
      </c>
      <c r="L2" s="55">
        <v>3.2425472704977293E-07</v>
      </c>
      <c r="M2" s="55">
        <v>0.00016094181000000002</v>
      </c>
      <c r="N2" s="56">
        <v>3.2952145816868073E-07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-2.9105450999999997E-05</v>
      </c>
      <c r="L3" s="55">
        <v>1.3655797016009457E-07</v>
      </c>
      <c r="M3" s="55">
        <v>1.2978810000000003E-05</v>
      </c>
      <c r="N3" s="56">
        <v>1.9189864877071426E-07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-0.003760353595523474</v>
      </c>
      <c r="L4" s="55">
        <v>3.765265602972954E-05</v>
      </c>
      <c r="M4" s="55">
        <v>7.572079232588214E-08</v>
      </c>
      <c r="N4" s="56">
        <v>-5.0063640000000005</v>
      </c>
    </row>
    <row r="5" spans="1:14" ht="15" customHeight="1" thickBot="1">
      <c r="A5" t="s">
        <v>18</v>
      </c>
      <c r="B5" s="59">
        <v>37813.49239583333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1915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2.3361016999999995</v>
      </c>
      <c r="E8" s="78">
        <v>0.011100993530327945</v>
      </c>
      <c r="F8" s="78">
        <v>0.94094902</v>
      </c>
      <c r="G8" s="78">
        <v>0.016038886903168507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0.11444669100000002</v>
      </c>
      <c r="E9" s="80">
        <v>0.011434251986302872</v>
      </c>
      <c r="F9" s="80">
        <v>0.90252594</v>
      </c>
      <c r="G9" s="80">
        <v>0.01103837191372336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-0.82151943</v>
      </c>
      <c r="E10" s="80">
        <v>0.01001317532168097</v>
      </c>
      <c r="F10" s="80">
        <v>-1.5142931</v>
      </c>
      <c r="G10" s="80">
        <v>0.010019789929911928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4.6656200000000005</v>
      </c>
      <c r="E11" s="78">
        <v>0.005508196627889819</v>
      </c>
      <c r="F11" s="78">
        <v>0.11189193589999999</v>
      </c>
      <c r="G11" s="78">
        <v>0.005988538789722915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0.10810485299999999</v>
      </c>
      <c r="E12" s="80">
        <v>0.0031556735768704246</v>
      </c>
      <c r="F12" s="80">
        <v>0.139709479</v>
      </c>
      <c r="G12" s="80">
        <v>0.003981169338990151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27.340699</v>
      </c>
      <c r="D13" s="83">
        <v>0.00920044113</v>
      </c>
      <c r="E13" s="80">
        <v>0.0020874966994558286</v>
      </c>
      <c r="F13" s="80">
        <v>-0.037420819</v>
      </c>
      <c r="G13" s="80">
        <v>0.0033917686643274826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0.12018477000000001</v>
      </c>
      <c r="E14" s="80">
        <v>0.0036179766105650904</v>
      </c>
      <c r="F14" s="80">
        <v>0.032504525299999996</v>
      </c>
      <c r="G14" s="80">
        <v>0.0021712203872728906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-0.053938036999999994</v>
      </c>
      <c r="E15" s="78">
        <v>0.0014276501134718564</v>
      </c>
      <c r="F15" s="78">
        <v>0.08667675700000002</v>
      </c>
      <c r="G15" s="78">
        <v>0.0015378392403838444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12.5055</v>
      </c>
      <c r="D16" s="83">
        <v>-0.035354311</v>
      </c>
      <c r="E16" s="80">
        <v>0.003153243800582841</v>
      </c>
      <c r="F16" s="80">
        <v>0.0009299369999999998</v>
      </c>
      <c r="G16" s="80">
        <v>0.0025691511504533945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0.3720000088214874</v>
      </c>
      <c r="D17" s="83">
        <v>0.081748416</v>
      </c>
      <c r="E17" s="80">
        <v>0.0019938389343961147</v>
      </c>
      <c r="F17" s="80">
        <v>-0.087124674</v>
      </c>
      <c r="G17" s="80">
        <v>0.002502243360627379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7.120999813079834</v>
      </c>
      <c r="D18" s="83">
        <v>0.07059180400000001</v>
      </c>
      <c r="E18" s="80">
        <v>0.0025880330990181435</v>
      </c>
      <c r="F18" s="80">
        <v>0.14226584999999997</v>
      </c>
      <c r="G18" s="80">
        <v>0.0017290856456541324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0.15399999916553497</v>
      </c>
      <c r="D19" s="87">
        <v>-0.18787052</v>
      </c>
      <c r="E19" s="80">
        <v>0.0009582619321439128</v>
      </c>
      <c r="F19" s="80">
        <v>0.00766530795</v>
      </c>
      <c r="G19" s="80">
        <v>0.001522629461390001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0.3609187</v>
      </c>
      <c r="D20" s="89">
        <v>-0.001000461769</v>
      </c>
      <c r="E20" s="90">
        <v>0.0015764219206887305</v>
      </c>
      <c r="F20" s="90">
        <v>0.0028150396699999996</v>
      </c>
      <c r="G20" s="90">
        <v>0.0004974734094422181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0.7311885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-0.2868437701928005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-3.7605421</v>
      </c>
      <c r="I25" s="102" t="s">
        <v>49</v>
      </c>
      <c r="J25" s="103"/>
      <c r="K25" s="102"/>
      <c r="L25" s="105">
        <v>4.666961515774418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2.5184829185408124</v>
      </c>
      <c r="I26" s="107" t="s">
        <v>53</v>
      </c>
      <c r="J26" s="108"/>
      <c r="K26" s="107"/>
      <c r="L26" s="110">
        <v>0.10208903976162388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HCMQAP058_pos2ap2res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-7.3079245E-05</v>
      </c>
      <c r="L2" s="55">
        <v>2.4903109609081274E-07</v>
      </c>
      <c r="M2" s="55">
        <v>0.00011596683000000001</v>
      </c>
      <c r="N2" s="56">
        <v>2.0408914865440966E-07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-2.7968915000000007E-05</v>
      </c>
      <c r="L3" s="55">
        <v>1.1652003269807026E-07</v>
      </c>
      <c r="M3" s="55">
        <v>1.1237850000000003E-05</v>
      </c>
      <c r="N3" s="56">
        <v>1.895337463355911E-07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-0.0037596953384746714</v>
      </c>
      <c r="L4" s="55">
        <v>4.834858726233767E-05</v>
      </c>
      <c r="M4" s="55">
        <v>5.3010971755894874E-08</v>
      </c>
      <c r="N4" s="56">
        <v>-6.4295</v>
      </c>
    </row>
    <row r="5" spans="1:14" ht="15" customHeight="1" thickBot="1">
      <c r="A5" t="s">
        <v>18</v>
      </c>
      <c r="B5" s="59">
        <v>37813.49699074074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1915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1.9938372000000002</v>
      </c>
      <c r="E8" s="78">
        <v>0.01028132313758468</v>
      </c>
      <c r="F8" s="78">
        <v>1.8322065000000003</v>
      </c>
      <c r="G8" s="78">
        <v>0.006266240300135798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0.15823753479999997</v>
      </c>
      <c r="E9" s="80">
        <v>0.029081403534721252</v>
      </c>
      <c r="F9" s="80">
        <v>0.60453372</v>
      </c>
      <c r="G9" s="80">
        <v>0.024067742890361947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1.3614665</v>
      </c>
      <c r="E10" s="80">
        <v>0.006839795062777302</v>
      </c>
      <c r="F10" s="80">
        <v>-0.8644343900000001</v>
      </c>
      <c r="G10" s="80">
        <v>0.0034602847208365915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4.786801800000001</v>
      </c>
      <c r="E11" s="78">
        <v>0.0018162871070026845</v>
      </c>
      <c r="F11" s="78">
        <v>0.53443132</v>
      </c>
      <c r="G11" s="78">
        <v>0.007471999833081969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-0.057309407</v>
      </c>
      <c r="E12" s="80">
        <v>0.0028810963445095148</v>
      </c>
      <c r="F12" s="80">
        <v>0.18159664000000003</v>
      </c>
      <c r="G12" s="80">
        <v>0.0034462073836895486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27.291871</v>
      </c>
      <c r="D13" s="83">
        <v>0.04036361094</v>
      </c>
      <c r="E13" s="80">
        <v>0.0023202741569722093</v>
      </c>
      <c r="F13" s="80">
        <v>0.0880106202</v>
      </c>
      <c r="G13" s="80">
        <v>0.003579777839215872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0.08357708900000001</v>
      </c>
      <c r="E14" s="80">
        <v>0.0013998697142565395</v>
      </c>
      <c r="F14" s="80">
        <v>0.055849653</v>
      </c>
      <c r="G14" s="80">
        <v>0.0025359174198120614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-0.0257728933</v>
      </c>
      <c r="E15" s="78">
        <v>0.0009586150894902249</v>
      </c>
      <c r="F15" s="78">
        <v>0.10572140300000002</v>
      </c>
      <c r="G15" s="78">
        <v>0.0018261078653991295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12.505700000000001</v>
      </c>
      <c r="D16" s="83">
        <v>0.0230564715</v>
      </c>
      <c r="E16" s="80">
        <v>0.001976329165269478</v>
      </c>
      <c r="F16" s="80">
        <v>0.026005201500000002</v>
      </c>
      <c r="G16" s="80">
        <v>0.0013808963390290888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-0.08699999749660492</v>
      </c>
      <c r="D17" s="83">
        <v>0.045009559</v>
      </c>
      <c r="E17" s="80">
        <v>0.001948168577149828</v>
      </c>
      <c r="F17" s="80">
        <v>0.074412176</v>
      </c>
      <c r="G17" s="80">
        <v>0.0012190077895464799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146.9929962158203</v>
      </c>
      <c r="D18" s="83">
        <v>-0.055128139</v>
      </c>
      <c r="E18" s="80">
        <v>0.0013333305626188738</v>
      </c>
      <c r="F18" s="80">
        <v>0.11132443</v>
      </c>
      <c r="G18" s="80">
        <v>0.0008066903721991555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-0.34599998593330383</v>
      </c>
      <c r="D19" s="87">
        <v>-0.19102339000000002</v>
      </c>
      <c r="E19" s="80">
        <v>0.0013766816354517546</v>
      </c>
      <c r="F19" s="80">
        <v>0.0107821974</v>
      </c>
      <c r="G19" s="80">
        <v>0.0007438567725689953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-0.3371098</v>
      </c>
      <c r="D20" s="89">
        <v>7.874778999999998E-05</v>
      </c>
      <c r="E20" s="90">
        <v>0.0013683683011016063</v>
      </c>
      <c r="F20" s="90">
        <v>0.0025434007270000005</v>
      </c>
      <c r="G20" s="90">
        <v>0.0006008811620077255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0.5200281999999999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-0.3683835255396153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-3.7600062</v>
      </c>
      <c r="I25" s="102" t="s">
        <v>49</v>
      </c>
      <c r="J25" s="103"/>
      <c r="K25" s="102"/>
      <c r="L25" s="105">
        <v>4.816543190741696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2.7078344555652016</v>
      </c>
      <c r="I26" s="107" t="s">
        <v>53</v>
      </c>
      <c r="J26" s="108"/>
      <c r="K26" s="107"/>
      <c r="L26" s="110">
        <v>0.10881754032021491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HCMQAP058_pos3ap2res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5.0856214E-05</v>
      </c>
      <c r="L2" s="55">
        <v>2.0365150609187945E-07</v>
      </c>
      <c r="M2" s="55">
        <v>0.00015414325</v>
      </c>
      <c r="N2" s="56">
        <v>3.60465471302373E-07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-2.8462648E-05</v>
      </c>
      <c r="L3" s="55">
        <v>1.5906981117182731E-07</v>
      </c>
      <c r="M3" s="55">
        <v>1.029953E-05</v>
      </c>
      <c r="N3" s="56">
        <v>1.9307396924496835E-07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-0.003760743513854062</v>
      </c>
      <c r="L4" s="55">
        <v>5.9703878160146536E-05</v>
      </c>
      <c r="M4" s="55">
        <v>4.229468457400112E-08</v>
      </c>
      <c r="N4" s="56">
        <v>-7.937109100000001</v>
      </c>
    </row>
    <row r="5" spans="1:14" ht="15" customHeight="1" thickBot="1">
      <c r="A5" t="s">
        <v>18</v>
      </c>
      <c r="B5" s="59">
        <v>37813.50150462963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1915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1.1365263</v>
      </c>
      <c r="E8" s="78">
        <v>0.011163945420857963</v>
      </c>
      <c r="F8" s="78">
        <v>-0.23201522700000005</v>
      </c>
      <c r="G8" s="78">
        <v>0.027302457910863567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-0.3465496</v>
      </c>
      <c r="E9" s="80">
        <v>0.03955569655469373</v>
      </c>
      <c r="F9" s="80">
        <v>0.045234420000000004</v>
      </c>
      <c r="G9" s="80">
        <v>0.01643817305338339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-0.14180983399999997</v>
      </c>
      <c r="E10" s="80">
        <v>0.007540225100594293</v>
      </c>
      <c r="F10" s="80">
        <v>-2.0698252</v>
      </c>
      <c r="G10" s="80">
        <v>0.0019829934597223094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4.4970242</v>
      </c>
      <c r="E11" s="78">
        <v>0.0029820842645531713</v>
      </c>
      <c r="F11" s="78">
        <v>0.1081006927</v>
      </c>
      <c r="G11" s="78">
        <v>0.005244501669376178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-0.25425984</v>
      </c>
      <c r="E12" s="80">
        <v>0.004802882821743661</v>
      </c>
      <c r="F12" s="80">
        <v>0.16083558</v>
      </c>
      <c r="G12" s="80">
        <v>0.001939720663807698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27.322388</v>
      </c>
      <c r="D13" s="83">
        <v>-0.13767489</v>
      </c>
      <c r="E13" s="80">
        <v>0.00426394170989712</v>
      </c>
      <c r="F13" s="80">
        <v>-0.23831637</v>
      </c>
      <c r="G13" s="80">
        <v>0.003392891249746406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0.16000482000000002</v>
      </c>
      <c r="E14" s="80">
        <v>0.0014509464912916931</v>
      </c>
      <c r="F14" s="80">
        <v>-0.008959524</v>
      </c>
      <c r="G14" s="80">
        <v>0.0034261780621961235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-0.043566966000000006</v>
      </c>
      <c r="E15" s="78">
        <v>0.0023480075983296268</v>
      </c>
      <c r="F15" s="78">
        <v>0.10675563000000002</v>
      </c>
      <c r="G15" s="78">
        <v>0.0033210192808277913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12.5058</v>
      </c>
      <c r="D16" s="83">
        <v>-0.067642996</v>
      </c>
      <c r="E16" s="80">
        <v>0.005196727676291428</v>
      </c>
      <c r="F16" s="80">
        <v>-0.0031959401</v>
      </c>
      <c r="G16" s="80">
        <v>0.0017036029136183236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0.39500001072883606</v>
      </c>
      <c r="D17" s="83">
        <v>0.091635775</v>
      </c>
      <c r="E17" s="80">
        <v>0.0018871081246260339</v>
      </c>
      <c r="F17" s="80">
        <v>-0.066007406</v>
      </c>
      <c r="G17" s="80">
        <v>0.004338124211874809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27.465999603271484</v>
      </c>
      <c r="D18" s="83">
        <v>0.04666156</v>
      </c>
      <c r="E18" s="80">
        <v>0.0015657894519092868</v>
      </c>
      <c r="F18" s="80">
        <v>0.13761563</v>
      </c>
      <c r="G18" s="80">
        <v>0.0008177462764233737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0.21699999272823334</v>
      </c>
      <c r="D19" s="87">
        <v>-0.18223289999999998</v>
      </c>
      <c r="E19" s="80">
        <v>0.0006180485806194465</v>
      </c>
      <c r="F19" s="80">
        <v>0.0077969345999999995</v>
      </c>
      <c r="G19" s="80">
        <v>0.0015660001696262845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0.21877909999999998</v>
      </c>
      <c r="D20" s="89">
        <v>-0.004021714040000001</v>
      </c>
      <c r="E20" s="90">
        <v>0.0015347468417788203</v>
      </c>
      <c r="F20" s="90">
        <v>-0.0009436572500000001</v>
      </c>
      <c r="G20" s="90">
        <v>0.0006160129778831821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0.7002462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-0.4547632370869528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-3.7612174</v>
      </c>
      <c r="I25" s="102" t="s">
        <v>49</v>
      </c>
      <c r="J25" s="103"/>
      <c r="K25" s="102"/>
      <c r="L25" s="105">
        <v>4.498323289309902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1.159966851315826</v>
      </c>
      <c r="I26" s="107" t="s">
        <v>53</v>
      </c>
      <c r="J26" s="108"/>
      <c r="K26" s="107"/>
      <c r="L26" s="110">
        <v>0.11530327429497421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HCMQAP058_pos4ap2res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-1.0627957E-05</v>
      </c>
      <c r="L2" s="55">
        <v>3.925803507130627E-07</v>
      </c>
      <c r="M2" s="55">
        <v>8.6001028E-05</v>
      </c>
      <c r="N2" s="56">
        <v>1.962227761646563E-07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-3.0789951E-05</v>
      </c>
      <c r="L3" s="55">
        <v>1.621049197704342E-07</v>
      </c>
      <c r="M3" s="55">
        <v>9.779656E-06</v>
      </c>
      <c r="N3" s="56">
        <v>7.360867920288154E-08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-0.0020880339019409663</v>
      </c>
      <c r="L4" s="55">
        <v>3.588852622316305E-05</v>
      </c>
      <c r="M4" s="55">
        <v>7.09356070324463E-08</v>
      </c>
      <c r="N4" s="56">
        <v>-8.593010099999999</v>
      </c>
    </row>
    <row r="5" spans="1:14" ht="15" customHeight="1" thickBot="1">
      <c r="A5" t="s">
        <v>18</v>
      </c>
      <c r="B5" s="59">
        <v>37813.50599537037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1915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0.9177799799999999</v>
      </c>
      <c r="E8" s="78">
        <v>0.02220761979055493</v>
      </c>
      <c r="F8" s="115">
        <v>9.4593556</v>
      </c>
      <c r="G8" s="78">
        <v>0.02518973951248104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7">
        <v>-3.0130269</v>
      </c>
      <c r="E9" s="80">
        <v>0.05374458920060235</v>
      </c>
      <c r="F9" s="80">
        <v>-0.5074316600000001</v>
      </c>
      <c r="G9" s="80">
        <v>0.08117320048753399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1.57699234</v>
      </c>
      <c r="E10" s="80">
        <v>0.029229888207651555</v>
      </c>
      <c r="F10" s="86">
        <v>-5.9158524</v>
      </c>
      <c r="G10" s="80">
        <v>0.010082425726981719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14.808359999999999</v>
      </c>
      <c r="E11" s="78">
        <v>0.017388984157052832</v>
      </c>
      <c r="F11" s="115">
        <v>2.2316888</v>
      </c>
      <c r="G11" s="78">
        <v>0.007861512905253326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-0.08246077300000001</v>
      </c>
      <c r="E12" s="80">
        <v>0.006043261625791642</v>
      </c>
      <c r="F12" s="80">
        <v>0.47804218</v>
      </c>
      <c r="G12" s="80">
        <v>0.00658936435997995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27.444459</v>
      </c>
      <c r="D13" s="83">
        <v>-0.0232050313</v>
      </c>
      <c r="E13" s="80">
        <v>0.006608515403943275</v>
      </c>
      <c r="F13" s="80">
        <v>-0.045543231700000006</v>
      </c>
      <c r="G13" s="80">
        <v>0.002808113293751937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0.14925326000000003</v>
      </c>
      <c r="E14" s="80">
        <v>0.003541375743604846</v>
      </c>
      <c r="F14" s="80">
        <v>0.30337359999999997</v>
      </c>
      <c r="G14" s="80">
        <v>0.007255776308501928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-0.34284540999999996</v>
      </c>
      <c r="E15" s="78">
        <v>0.0021061587070826874</v>
      </c>
      <c r="F15" s="78">
        <v>0.27701464</v>
      </c>
      <c r="G15" s="78">
        <v>0.005503306817488761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12.505799999999999</v>
      </c>
      <c r="D16" s="83">
        <v>-0.004177098</v>
      </c>
      <c r="E16" s="80">
        <v>0.002213987185711787</v>
      </c>
      <c r="F16" s="80">
        <v>0.042453093</v>
      </c>
      <c r="G16" s="80">
        <v>0.004631413579034586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-0.19200000166893005</v>
      </c>
      <c r="D17" s="83">
        <v>0.024212514999999997</v>
      </c>
      <c r="E17" s="80">
        <v>0.002609255221372565</v>
      </c>
      <c r="F17" s="80">
        <v>0.0423904531</v>
      </c>
      <c r="G17" s="80">
        <v>0.0035718497866041345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139.36399841308594</v>
      </c>
      <c r="D18" s="83">
        <v>-0.04633771</v>
      </c>
      <c r="E18" s="80">
        <v>0.001742843328124918</v>
      </c>
      <c r="F18" s="80">
        <v>0.080823325</v>
      </c>
      <c r="G18" s="80">
        <v>0.0013417184700413557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-0.4309999942779541</v>
      </c>
      <c r="D19" s="83">
        <v>-0.13845136</v>
      </c>
      <c r="E19" s="80">
        <v>0.001789048810232857</v>
      </c>
      <c r="F19" s="80">
        <v>-0.025592734</v>
      </c>
      <c r="G19" s="80">
        <v>0.0015703621123530794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-0.09853060000000001</v>
      </c>
      <c r="D20" s="89">
        <v>-0.0009670005799999999</v>
      </c>
      <c r="E20" s="90">
        <v>0.001121310646260761</v>
      </c>
      <c r="F20" s="90">
        <v>0.00251248218</v>
      </c>
      <c r="G20" s="90">
        <v>0.0013594384260513113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0.6984834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-0.4923436279081611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-2.0883422999999994</v>
      </c>
      <c r="I25" s="102" t="s">
        <v>49</v>
      </c>
      <c r="J25" s="103"/>
      <c r="K25" s="102"/>
      <c r="L25" s="105">
        <v>14.975578813175984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9.50377443224218</v>
      </c>
      <c r="I26" s="107" t="s">
        <v>53</v>
      </c>
      <c r="J26" s="108"/>
      <c r="K26" s="107"/>
      <c r="L26" s="110">
        <v>0.4407721474099715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HCMQAP058_pos5ap2res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119</v>
      </c>
      <c r="B1" s="131" t="s">
        <v>68</v>
      </c>
      <c r="C1" s="121" t="s">
        <v>72</v>
      </c>
      <c r="D1" s="121" t="s">
        <v>75</v>
      </c>
      <c r="E1" s="121" t="s">
        <v>77</v>
      </c>
      <c r="F1" s="128" t="s">
        <v>80</v>
      </c>
      <c r="G1" s="163" t="s">
        <v>120</v>
      </c>
    </row>
    <row r="2" spans="1:7" ht="13.5" thickBot="1">
      <c r="A2" s="140" t="s">
        <v>89</v>
      </c>
      <c r="B2" s="132">
        <v>-2.2591684999999995</v>
      </c>
      <c r="C2" s="123">
        <v>-3.7605421</v>
      </c>
      <c r="D2" s="123">
        <v>-3.7600062</v>
      </c>
      <c r="E2" s="123">
        <v>-3.7612174</v>
      </c>
      <c r="F2" s="129">
        <v>-2.0883422999999994</v>
      </c>
      <c r="G2" s="164">
        <v>3.1166383239150233</v>
      </c>
    </row>
    <row r="3" spans="1:7" ht="14.25" thickBot="1" thickTop="1">
      <c r="A3" s="148" t="s">
        <v>88</v>
      </c>
      <c r="B3" s="149" t="s">
        <v>83</v>
      </c>
      <c r="C3" s="150" t="s">
        <v>84</v>
      </c>
      <c r="D3" s="150" t="s">
        <v>85</v>
      </c>
      <c r="E3" s="150" t="s">
        <v>86</v>
      </c>
      <c r="F3" s="151" t="s">
        <v>87</v>
      </c>
      <c r="G3" s="158" t="s">
        <v>121</v>
      </c>
    </row>
    <row r="4" spans="1:7" ht="12.75">
      <c r="A4" s="145" t="s">
        <v>90</v>
      </c>
      <c r="B4" s="146">
        <v>2.7439613999999994</v>
      </c>
      <c r="C4" s="147">
        <v>2.3361016999999995</v>
      </c>
      <c r="D4" s="147">
        <v>1.9938372000000002</v>
      </c>
      <c r="E4" s="147">
        <v>1.1365263</v>
      </c>
      <c r="F4" s="152">
        <v>0.9177799799999999</v>
      </c>
      <c r="G4" s="159">
        <v>1.8345239100519388</v>
      </c>
    </row>
    <row r="5" spans="1:7" ht="12.75">
      <c r="A5" s="140" t="s">
        <v>92</v>
      </c>
      <c r="B5" s="134">
        <v>-0.5216157299999999</v>
      </c>
      <c r="C5" s="118">
        <v>0.11444669100000002</v>
      </c>
      <c r="D5" s="118">
        <v>0.15823753479999997</v>
      </c>
      <c r="E5" s="118">
        <v>-0.3465496</v>
      </c>
      <c r="F5" s="153">
        <v>-3.0130269</v>
      </c>
      <c r="G5" s="160">
        <v>-0.49578379565295333</v>
      </c>
    </row>
    <row r="6" spans="1:7" ht="12.75">
      <c r="A6" s="140" t="s">
        <v>94</v>
      </c>
      <c r="B6" s="134">
        <v>-0.14065758</v>
      </c>
      <c r="C6" s="118">
        <v>-0.82151943</v>
      </c>
      <c r="D6" s="118">
        <v>1.3614665</v>
      </c>
      <c r="E6" s="118">
        <v>-0.14180983399999997</v>
      </c>
      <c r="F6" s="154">
        <v>1.57699234</v>
      </c>
      <c r="G6" s="160">
        <v>0.28612438329139145</v>
      </c>
    </row>
    <row r="7" spans="1:7" ht="12.75">
      <c r="A7" s="140" t="s">
        <v>96</v>
      </c>
      <c r="B7" s="133">
        <v>3.4768611</v>
      </c>
      <c r="C7" s="117">
        <v>4.6656200000000005</v>
      </c>
      <c r="D7" s="117">
        <v>4.786801800000001</v>
      </c>
      <c r="E7" s="117">
        <v>4.4970242</v>
      </c>
      <c r="F7" s="155">
        <v>14.808359999999999</v>
      </c>
      <c r="G7" s="160">
        <v>5.837614441439921</v>
      </c>
    </row>
    <row r="8" spans="1:7" ht="12.75">
      <c r="A8" s="140" t="s">
        <v>98</v>
      </c>
      <c r="B8" s="134">
        <v>-0.11302305499999998</v>
      </c>
      <c r="C8" s="118">
        <v>0.10810485299999999</v>
      </c>
      <c r="D8" s="118">
        <v>-0.057309407</v>
      </c>
      <c r="E8" s="118">
        <v>-0.25425984</v>
      </c>
      <c r="F8" s="154">
        <v>-0.08246077300000001</v>
      </c>
      <c r="G8" s="160">
        <v>-0.07631971032204168</v>
      </c>
    </row>
    <row r="9" spans="1:7" ht="12.75">
      <c r="A9" s="140" t="s">
        <v>100</v>
      </c>
      <c r="B9" s="134">
        <v>0.33094641</v>
      </c>
      <c r="C9" s="118">
        <v>0.00920044113</v>
      </c>
      <c r="D9" s="118">
        <v>0.04036361094</v>
      </c>
      <c r="E9" s="118">
        <v>-0.13767489</v>
      </c>
      <c r="F9" s="154">
        <v>-0.0232050313</v>
      </c>
      <c r="G9" s="160">
        <v>0.023529210581763618</v>
      </c>
    </row>
    <row r="10" spans="1:7" ht="12.75">
      <c r="A10" s="140" t="s">
        <v>102</v>
      </c>
      <c r="B10" s="134">
        <v>0.26255917</v>
      </c>
      <c r="C10" s="118">
        <v>0.12018477000000001</v>
      </c>
      <c r="D10" s="118">
        <v>0.08357708900000001</v>
      </c>
      <c r="E10" s="118">
        <v>0.16000482000000002</v>
      </c>
      <c r="F10" s="154">
        <v>0.14925326000000003</v>
      </c>
      <c r="G10" s="160">
        <v>0.14542454833214322</v>
      </c>
    </row>
    <row r="11" spans="1:7" ht="12.75">
      <c r="A11" s="140" t="s">
        <v>104</v>
      </c>
      <c r="B11" s="133">
        <v>-0.40566121</v>
      </c>
      <c r="C11" s="117">
        <v>-0.053938036999999994</v>
      </c>
      <c r="D11" s="117">
        <v>-0.0257728933</v>
      </c>
      <c r="E11" s="117">
        <v>-0.043566966000000006</v>
      </c>
      <c r="F11" s="156">
        <v>-0.34284540999999996</v>
      </c>
      <c r="G11" s="160">
        <v>-0.13411004197679477</v>
      </c>
    </row>
    <row r="12" spans="1:7" ht="12.75">
      <c r="A12" s="140" t="s">
        <v>106</v>
      </c>
      <c r="B12" s="134">
        <v>-0.086646278</v>
      </c>
      <c r="C12" s="118">
        <v>-0.035354311</v>
      </c>
      <c r="D12" s="118">
        <v>0.0230564715</v>
      </c>
      <c r="E12" s="118">
        <v>-0.067642996</v>
      </c>
      <c r="F12" s="154">
        <v>-0.004177098</v>
      </c>
      <c r="G12" s="160">
        <v>-0.032320796489184164</v>
      </c>
    </row>
    <row r="13" spans="1:7" ht="12.75">
      <c r="A13" s="140" t="s">
        <v>108</v>
      </c>
      <c r="B13" s="135">
        <v>0.21265870000000003</v>
      </c>
      <c r="C13" s="118">
        <v>0.081748416</v>
      </c>
      <c r="D13" s="118">
        <v>0.045009559</v>
      </c>
      <c r="E13" s="118">
        <v>0.091635775</v>
      </c>
      <c r="F13" s="154">
        <v>0.024212514999999997</v>
      </c>
      <c r="G13" s="160">
        <v>0.08652431914061404</v>
      </c>
    </row>
    <row r="14" spans="1:7" ht="12.75">
      <c r="A14" s="140" t="s">
        <v>110</v>
      </c>
      <c r="B14" s="134">
        <v>0.051054218000000005</v>
      </c>
      <c r="C14" s="118">
        <v>0.07059180400000001</v>
      </c>
      <c r="D14" s="118">
        <v>-0.055128139</v>
      </c>
      <c r="E14" s="118">
        <v>0.04666156</v>
      </c>
      <c r="F14" s="154">
        <v>-0.04633771</v>
      </c>
      <c r="G14" s="160">
        <v>0.016140008721787644</v>
      </c>
    </row>
    <row r="15" spans="1:7" ht="12.75">
      <c r="A15" s="140" t="s">
        <v>112</v>
      </c>
      <c r="B15" s="135">
        <v>-0.19673536</v>
      </c>
      <c r="C15" s="119">
        <v>-0.18787052</v>
      </c>
      <c r="D15" s="119">
        <v>-0.19102339000000002</v>
      </c>
      <c r="E15" s="119">
        <v>-0.18223289999999998</v>
      </c>
      <c r="F15" s="154">
        <v>-0.13845136</v>
      </c>
      <c r="G15" s="161">
        <v>-0.18195044694583642</v>
      </c>
    </row>
    <row r="16" spans="1:7" ht="12.75">
      <c r="A16" s="140" t="s">
        <v>114</v>
      </c>
      <c r="B16" s="134">
        <v>-0.00254900297</v>
      </c>
      <c r="C16" s="118">
        <v>-0.001000461769</v>
      </c>
      <c r="D16" s="118">
        <v>7.874778999999998E-05</v>
      </c>
      <c r="E16" s="118">
        <v>-0.004021714040000001</v>
      </c>
      <c r="F16" s="154">
        <v>-0.0009670005799999999</v>
      </c>
      <c r="G16" s="160">
        <v>-0.0016872682929225773</v>
      </c>
    </row>
    <row r="17" spans="1:7" ht="12.75">
      <c r="A17" s="140" t="s">
        <v>91</v>
      </c>
      <c r="B17" s="133">
        <v>0.21619317899999996</v>
      </c>
      <c r="C17" s="117">
        <v>0.94094902</v>
      </c>
      <c r="D17" s="117">
        <v>1.8322065000000003</v>
      </c>
      <c r="E17" s="117">
        <v>-0.23201522700000005</v>
      </c>
      <c r="F17" s="155">
        <v>9.4593556</v>
      </c>
      <c r="G17" s="160">
        <v>1.906531997474114</v>
      </c>
    </row>
    <row r="18" spans="1:7" ht="12.75">
      <c r="A18" s="140" t="s">
        <v>93</v>
      </c>
      <c r="B18" s="134">
        <v>0.86531237</v>
      </c>
      <c r="C18" s="118">
        <v>0.90252594</v>
      </c>
      <c r="D18" s="118">
        <v>0.60453372</v>
      </c>
      <c r="E18" s="118">
        <v>0.045234420000000004</v>
      </c>
      <c r="F18" s="154">
        <v>-0.5074316600000001</v>
      </c>
      <c r="G18" s="160">
        <v>0.4307537374254766</v>
      </c>
    </row>
    <row r="19" spans="1:7" ht="12.75">
      <c r="A19" s="140" t="s">
        <v>95</v>
      </c>
      <c r="B19" s="134">
        <v>-2.0572367999999996</v>
      </c>
      <c r="C19" s="118">
        <v>-1.5142931</v>
      </c>
      <c r="D19" s="118">
        <v>-0.8644343900000001</v>
      </c>
      <c r="E19" s="118">
        <v>-2.0698252</v>
      </c>
      <c r="F19" s="153">
        <v>-5.9158524</v>
      </c>
      <c r="G19" s="161">
        <v>-2.158249203695291</v>
      </c>
    </row>
    <row r="20" spans="1:7" ht="12.75">
      <c r="A20" s="140" t="s">
        <v>97</v>
      </c>
      <c r="B20" s="133">
        <v>0.36266688999999996</v>
      </c>
      <c r="C20" s="117">
        <v>0.11189193589999999</v>
      </c>
      <c r="D20" s="117">
        <v>0.53443132</v>
      </c>
      <c r="E20" s="117">
        <v>0.1081006927</v>
      </c>
      <c r="F20" s="155">
        <v>2.2316888</v>
      </c>
      <c r="G20" s="160">
        <v>0.5321222229300975</v>
      </c>
    </row>
    <row r="21" spans="1:7" ht="12.75">
      <c r="A21" s="140" t="s">
        <v>99</v>
      </c>
      <c r="B21" s="134">
        <v>-0.16669112700000002</v>
      </c>
      <c r="C21" s="118">
        <v>0.139709479</v>
      </c>
      <c r="D21" s="118">
        <v>0.18159664000000003</v>
      </c>
      <c r="E21" s="118">
        <v>0.16083558</v>
      </c>
      <c r="F21" s="154">
        <v>0.47804218</v>
      </c>
      <c r="G21" s="160">
        <v>0.15578826148562544</v>
      </c>
    </row>
    <row r="22" spans="1:7" ht="12.75">
      <c r="A22" s="140" t="s">
        <v>101</v>
      </c>
      <c r="B22" s="134">
        <v>-0.026670031</v>
      </c>
      <c r="C22" s="118">
        <v>-0.037420819</v>
      </c>
      <c r="D22" s="118">
        <v>0.0880106202</v>
      </c>
      <c r="E22" s="118">
        <v>-0.23831637</v>
      </c>
      <c r="F22" s="154">
        <v>-0.045543231700000006</v>
      </c>
      <c r="G22" s="160">
        <v>-0.05512243105840549</v>
      </c>
    </row>
    <row r="23" spans="1:7" ht="12.75">
      <c r="A23" s="140" t="s">
        <v>103</v>
      </c>
      <c r="B23" s="135">
        <v>0.42007747</v>
      </c>
      <c r="C23" s="118">
        <v>0.032504525299999996</v>
      </c>
      <c r="D23" s="118">
        <v>0.055849653</v>
      </c>
      <c r="E23" s="118">
        <v>-0.008959524</v>
      </c>
      <c r="F23" s="154">
        <v>0.30337359999999997</v>
      </c>
      <c r="G23" s="160">
        <v>0.1203577573908473</v>
      </c>
    </row>
    <row r="24" spans="1:7" ht="12.75">
      <c r="A24" s="140" t="s">
        <v>105</v>
      </c>
      <c r="B24" s="133">
        <v>0.11531642500000001</v>
      </c>
      <c r="C24" s="117">
        <v>0.08667675700000002</v>
      </c>
      <c r="D24" s="117">
        <v>0.10572140300000002</v>
      </c>
      <c r="E24" s="117">
        <v>0.10675563000000002</v>
      </c>
      <c r="F24" s="156">
        <v>0.27701464</v>
      </c>
      <c r="G24" s="160">
        <v>0.12566266154229946</v>
      </c>
    </row>
    <row r="25" spans="1:7" ht="12.75">
      <c r="A25" s="140" t="s">
        <v>107</v>
      </c>
      <c r="B25" s="134">
        <v>-0.112280949</v>
      </c>
      <c r="C25" s="118">
        <v>0.0009299369999999998</v>
      </c>
      <c r="D25" s="118">
        <v>0.026005201500000002</v>
      </c>
      <c r="E25" s="118">
        <v>-0.0031959401</v>
      </c>
      <c r="F25" s="154">
        <v>0.042453093</v>
      </c>
      <c r="G25" s="160">
        <v>-0.004846598795251551</v>
      </c>
    </row>
    <row r="26" spans="1:7" ht="12.75">
      <c r="A26" s="140" t="s">
        <v>109</v>
      </c>
      <c r="B26" s="134">
        <v>-0.08886953700000003</v>
      </c>
      <c r="C26" s="118">
        <v>-0.087124674</v>
      </c>
      <c r="D26" s="118">
        <v>0.074412176</v>
      </c>
      <c r="E26" s="118">
        <v>-0.066007406</v>
      </c>
      <c r="F26" s="154">
        <v>0.0423904531</v>
      </c>
      <c r="G26" s="160">
        <v>-0.026127853561323654</v>
      </c>
    </row>
    <row r="27" spans="1:7" ht="12.75">
      <c r="A27" s="140" t="s">
        <v>111</v>
      </c>
      <c r="B27" s="135">
        <v>0.22110987</v>
      </c>
      <c r="C27" s="118">
        <v>0.14226584999999997</v>
      </c>
      <c r="D27" s="118">
        <v>0.11132443</v>
      </c>
      <c r="E27" s="118">
        <v>0.13761563</v>
      </c>
      <c r="F27" s="154">
        <v>0.080823325</v>
      </c>
      <c r="G27" s="161">
        <v>0.13688994427630446</v>
      </c>
    </row>
    <row r="28" spans="1:7" ht="12.75">
      <c r="A28" s="140" t="s">
        <v>113</v>
      </c>
      <c r="B28" s="134">
        <v>0.0065961407</v>
      </c>
      <c r="C28" s="118">
        <v>0.00766530795</v>
      </c>
      <c r="D28" s="118">
        <v>0.0107821974</v>
      </c>
      <c r="E28" s="118">
        <v>0.0077969345999999995</v>
      </c>
      <c r="F28" s="154">
        <v>-0.025592734</v>
      </c>
      <c r="G28" s="160">
        <v>0.003848432313511465</v>
      </c>
    </row>
    <row r="29" spans="1:7" ht="13.5" thickBot="1">
      <c r="A29" s="141" t="s">
        <v>115</v>
      </c>
      <c r="B29" s="136">
        <v>-0.0023190511315</v>
      </c>
      <c r="C29" s="120">
        <v>0.0028150396699999996</v>
      </c>
      <c r="D29" s="120">
        <v>0.0025434007270000005</v>
      </c>
      <c r="E29" s="120">
        <v>-0.0009436572500000001</v>
      </c>
      <c r="F29" s="157">
        <v>0.00251248218</v>
      </c>
      <c r="G29" s="162">
        <v>0.0010626066519963044</v>
      </c>
    </row>
    <row r="30" spans="1:7" ht="13.5" thickTop="1">
      <c r="A30" s="142" t="s">
        <v>116</v>
      </c>
      <c r="B30" s="137">
        <v>-0.04823208057066645</v>
      </c>
      <c r="C30" s="126">
        <v>-0.2868437701928005</v>
      </c>
      <c r="D30" s="126">
        <v>-0.3683835255396153</v>
      </c>
      <c r="E30" s="126">
        <v>-0.4547632370869528</v>
      </c>
      <c r="F30" s="122">
        <v>-0.4923436279081611</v>
      </c>
      <c r="G30" s="163" t="s">
        <v>127</v>
      </c>
    </row>
    <row r="31" spans="1:7" ht="13.5" thickBot="1">
      <c r="A31" s="143" t="s">
        <v>117</v>
      </c>
      <c r="B31" s="132">
        <v>27.386475</v>
      </c>
      <c r="C31" s="123">
        <v>27.340699</v>
      </c>
      <c r="D31" s="123">
        <v>27.291871</v>
      </c>
      <c r="E31" s="123">
        <v>27.322388</v>
      </c>
      <c r="F31" s="124">
        <v>27.444459</v>
      </c>
      <c r="G31" s="165">
        <v>-210.06</v>
      </c>
    </row>
    <row r="32" spans="1:7" ht="15.75" thickBot="1" thickTop="1">
      <c r="A32" s="144" t="s">
        <v>118</v>
      </c>
      <c r="B32" s="138">
        <v>-0.2679999992251396</v>
      </c>
      <c r="C32" s="127">
        <v>0.2630000039935112</v>
      </c>
      <c r="D32" s="127">
        <v>-0.21649999171495438</v>
      </c>
      <c r="E32" s="127">
        <v>0.3060000017285347</v>
      </c>
      <c r="F32" s="125">
        <v>-0.3114999979734421</v>
      </c>
      <c r="G32" s="130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6" width="15.33203125" style="166" bestFit="1" customWidth="1"/>
    <col min="7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128</v>
      </c>
      <c r="B1" s="166" t="s">
        <v>129</v>
      </c>
      <c r="C1" s="166" t="s">
        <v>130</v>
      </c>
      <c r="D1" s="166" t="s">
        <v>131</v>
      </c>
      <c r="E1" s="166" t="s">
        <v>132</v>
      </c>
    </row>
    <row r="3" spans="1:7" ht="12.75">
      <c r="A3" s="166" t="s">
        <v>133</v>
      </c>
      <c r="B3" s="166" t="s">
        <v>83</v>
      </c>
      <c r="C3" s="166" t="s">
        <v>84</v>
      </c>
      <c r="D3" s="166" t="s">
        <v>85</v>
      </c>
      <c r="E3" s="166" t="s">
        <v>86</v>
      </c>
      <c r="F3" s="166" t="s">
        <v>87</v>
      </c>
      <c r="G3" s="166" t="s">
        <v>134</v>
      </c>
    </row>
    <row r="4" spans="1:7" ht="12.75">
      <c r="A4" s="166" t="s">
        <v>135</v>
      </c>
      <c r="B4" s="166">
        <v>0.002258</v>
      </c>
      <c r="C4" s="166">
        <v>0.003759</v>
      </c>
      <c r="D4" s="166">
        <v>0.003758</v>
      </c>
      <c r="E4" s="166">
        <v>0.003759</v>
      </c>
      <c r="F4" s="166">
        <v>0.002087</v>
      </c>
      <c r="G4" s="166">
        <v>0.011715</v>
      </c>
    </row>
    <row r="5" spans="1:7" ht="12.75">
      <c r="A5" s="166" t="s">
        <v>136</v>
      </c>
      <c r="B5" s="166">
        <v>5.277776</v>
      </c>
      <c r="C5" s="166">
        <v>1.059775</v>
      </c>
      <c r="D5" s="166">
        <v>-0.743536</v>
      </c>
      <c r="E5" s="166">
        <v>-1.908728</v>
      </c>
      <c r="F5" s="166">
        <v>-2.951002</v>
      </c>
      <c r="G5" s="166">
        <v>-5.897774</v>
      </c>
    </row>
    <row r="6" spans="1:7" ht="12.75">
      <c r="A6" s="166" t="s">
        <v>137</v>
      </c>
      <c r="B6" s="167">
        <v>-172.2313</v>
      </c>
      <c r="C6" s="167">
        <v>-260.8776</v>
      </c>
      <c r="D6" s="167">
        <v>147.7037</v>
      </c>
      <c r="E6" s="167">
        <v>-182.1427</v>
      </c>
      <c r="F6" s="167">
        <v>2.93201</v>
      </c>
      <c r="G6" s="167">
        <v>847.6857</v>
      </c>
    </row>
    <row r="7" spans="1:7" ht="12.75">
      <c r="A7" s="166" t="s">
        <v>138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90</v>
      </c>
      <c r="B8" s="167">
        <v>2.662906</v>
      </c>
      <c r="C8" s="167">
        <v>2.332495</v>
      </c>
      <c r="D8" s="167">
        <v>2.009438</v>
      </c>
      <c r="E8" s="167">
        <v>1.121948</v>
      </c>
      <c r="F8" s="167">
        <v>1.088239</v>
      </c>
      <c r="G8" s="167">
        <v>1.911532</v>
      </c>
    </row>
    <row r="9" spans="1:7" ht="12.75">
      <c r="A9" s="166" t="s">
        <v>92</v>
      </c>
      <c r="B9" s="167">
        <v>-0.3797856</v>
      </c>
      <c r="C9" s="167">
        <v>0.06975319</v>
      </c>
      <c r="D9" s="167">
        <v>0.003752715</v>
      </c>
      <c r="E9" s="167">
        <v>-0.3630597</v>
      </c>
      <c r="F9" s="167">
        <v>-3.12626</v>
      </c>
      <c r="G9" s="167">
        <v>0.5423477</v>
      </c>
    </row>
    <row r="10" spans="1:7" ht="12.75">
      <c r="A10" s="166" t="s">
        <v>139</v>
      </c>
      <c r="B10" s="167">
        <v>0.01576326</v>
      </c>
      <c r="C10" s="167">
        <v>-0.4249032</v>
      </c>
      <c r="D10" s="167">
        <v>0.799124</v>
      </c>
      <c r="E10" s="167">
        <v>0.02541264</v>
      </c>
      <c r="F10" s="167">
        <v>0.7326461</v>
      </c>
      <c r="G10" s="167">
        <v>2.220915</v>
      </c>
    </row>
    <row r="11" spans="1:7" ht="12.75">
      <c r="A11" s="166" t="s">
        <v>96</v>
      </c>
      <c r="B11" s="167">
        <v>3.475427</v>
      </c>
      <c r="C11" s="167">
        <v>4.674287</v>
      </c>
      <c r="D11" s="167">
        <v>4.809699</v>
      </c>
      <c r="E11" s="167">
        <v>4.486966</v>
      </c>
      <c r="F11" s="167">
        <v>14.85458</v>
      </c>
      <c r="G11" s="167">
        <v>5.848793</v>
      </c>
    </row>
    <row r="12" spans="1:7" ht="12.75">
      <c r="A12" s="166" t="s">
        <v>98</v>
      </c>
      <c r="B12" s="167">
        <v>-0.08522564</v>
      </c>
      <c r="C12" s="167">
        <v>0.111873</v>
      </c>
      <c r="D12" s="167">
        <v>-0.05153576</v>
      </c>
      <c r="E12" s="167">
        <v>-0.2592514</v>
      </c>
      <c r="F12" s="167">
        <v>-0.06550952</v>
      </c>
      <c r="G12" s="167">
        <v>0.1611086</v>
      </c>
    </row>
    <row r="13" spans="1:7" ht="12.75">
      <c r="A13" s="166" t="s">
        <v>100</v>
      </c>
      <c r="B13" s="167">
        <v>0.2789385</v>
      </c>
      <c r="C13" s="167">
        <v>0.02380477</v>
      </c>
      <c r="D13" s="167">
        <v>0.02637928</v>
      </c>
      <c r="E13" s="167">
        <v>-0.1301209</v>
      </c>
      <c r="F13" s="167">
        <v>-0.03454555</v>
      </c>
      <c r="G13" s="167">
        <v>-0.01646819</v>
      </c>
    </row>
    <row r="14" spans="1:7" ht="12.75">
      <c r="A14" s="166" t="s">
        <v>102</v>
      </c>
      <c r="B14" s="167">
        <v>0.1946864</v>
      </c>
      <c r="C14" s="167">
        <v>0.1102374</v>
      </c>
      <c r="D14" s="167">
        <v>0.09927041</v>
      </c>
      <c r="E14" s="167">
        <v>0.1570618</v>
      </c>
      <c r="F14" s="167">
        <v>0.1881059</v>
      </c>
      <c r="G14" s="167">
        <v>-0.109839</v>
      </c>
    </row>
    <row r="15" spans="1:7" ht="12.75">
      <c r="A15" s="166" t="s">
        <v>104</v>
      </c>
      <c r="B15" s="167">
        <v>-0.3978535</v>
      </c>
      <c r="C15" s="167">
        <v>-0.05985537</v>
      </c>
      <c r="D15" s="167">
        <v>-0.03019117</v>
      </c>
      <c r="E15" s="167">
        <v>-0.04805629</v>
      </c>
      <c r="F15" s="167">
        <v>-0.3371824</v>
      </c>
      <c r="G15" s="167">
        <v>-0.1358087</v>
      </c>
    </row>
    <row r="16" spans="1:7" ht="12.75">
      <c r="A16" s="166" t="s">
        <v>106</v>
      </c>
      <c r="B16" s="167">
        <v>-0.05241396</v>
      </c>
      <c r="C16" s="167">
        <v>-0.02063958</v>
      </c>
      <c r="D16" s="167">
        <v>0.01373393</v>
      </c>
      <c r="E16" s="167">
        <v>-0.06063226</v>
      </c>
      <c r="F16" s="167">
        <v>-0.008043553</v>
      </c>
      <c r="G16" s="167">
        <v>-0.01372896</v>
      </c>
    </row>
    <row r="17" spans="1:7" ht="12.75">
      <c r="A17" s="166" t="s">
        <v>108</v>
      </c>
      <c r="B17" s="167">
        <v>0.1658629</v>
      </c>
      <c r="C17" s="167">
        <v>0.0947633</v>
      </c>
      <c r="D17" s="167">
        <v>0.07548018</v>
      </c>
      <c r="E17" s="167">
        <v>0.09743414</v>
      </c>
      <c r="F17" s="167">
        <v>0.03433141</v>
      </c>
      <c r="G17" s="167">
        <v>-0.09297171</v>
      </c>
    </row>
    <row r="18" spans="1:7" ht="12.75">
      <c r="A18" s="166" t="s">
        <v>140</v>
      </c>
      <c r="B18" s="167">
        <v>0.03054042</v>
      </c>
      <c r="C18" s="167">
        <v>0.05565217</v>
      </c>
      <c r="D18" s="167">
        <v>-0.0349143</v>
      </c>
      <c r="E18" s="167">
        <v>0.04447713</v>
      </c>
      <c r="F18" s="167">
        <v>-0.03710078</v>
      </c>
      <c r="G18" s="167">
        <v>-0.137513</v>
      </c>
    </row>
    <row r="19" spans="1:7" ht="12.75">
      <c r="A19" s="166" t="s">
        <v>141</v>
      </c>
      <c r="B19" s="167">
        <v>-0.1966589</v>
      </c>
      <c r="C19" s="167">
        <v>-0.1873794</v>
      </c>
      <c r="D19" s="167">
        <v>-0.1908995</v>
      </c>
      <c r="E19" s="167">
        <v>-0.1818717</v>
      </c>
      <c r="F19" s="167">
        <v>-0.1391199</v>
      </c>
      <c r="G19" s="167">
        <v>-0.1817942</v>
      </c>
    </row>
    <row r="20" spans="1:7" ht="12.75">
      <c r="A20" s="166" t="s">
        <v>114</v>
      </c>
      <c r="B20" s="167">
        <v>-0.002529091</v>
      </c>
      <c r="C20" s="167">
        <v>-0.00133094</v>
      </c>
      <c r="D20" s="167">
        <v>-0.0002119232</v>
      </c>
      <c r="E20" s="167">
        <v>-0.004304745</v>
      </c>
      <c r="F20" s="167">
        <v>-0.0006395544</v>
      </c>
      <c r="G20" s="167">
        <v>0.001044045</v>
      </c>
    </row>
    <row r="21" spans="1:7" ht="12.75">
      <c r="A21" s="166" t="s">
        <v>142</v>
      </c>
      <c r="B21" s="167">
        <v>-1066.456</v>
      </c>
      <c r="C21" s="167">
        <v>-853.2361</v>
      </c>
      <c r="D21" s="167">
        <v>-731.088</v>
      </c>
      <c r="E21" s="167">
        <v>-834.3081</v>
      </c>
      <c r="F21" s="167">
        <v>-835.0551</v>
      </c>
      <c r="G21" s="167">
        <v>-95.55816</v>
      </c>
    </row>
    <row r="22" spans="1:7" ht="12.75">
      <c r="A22" s="166" t="s">
        <v>143</v>
      </c>
      <c r="B22" s="167">
        <v>105.5594</v>
      </c>
      <c r="C22" s="167">
        <v>21.19553</v>
      </c>
      <c r="D22" s="167">
        <v>-14.87073</v>
      </c>
      <c r="E22" s="167">
        <v>-38.17475</v>
      </c>
      <c r="F22" s="167">
        <v>-59.02072</v>
      </c>
      <c r="G22" s="167">
        <v>0</v>
      </c>
    </row>
    <row r="23" spans="1:7" ht="12.75">
      <c r="A23" s="166" t="s">
        <v>91</v>
      </c>
      <c r="B23" s="167">
        <v>0.2495461</v>
      </c>
      <c r="C23" s="167">
        <v>0.9895329</v>
      </c>
      <c r="D23" s="167">
        <v>1.778978</v>
      </c>
      <c r="E23" s="167">
        <v>-0.2370527</v>
      </c>
      <c r="F23" s="167">
        <v>9.476984</v>
      </c>
      <c r="G23" s="167">
        <v>-1.844868</v>
      </c>
    </row>
    <row r="24" spans="1:7" ht="12.75">
      <c r="A24" s="166" t="s">
        <v>93</v>
      </c>
      <c r="B24" s="167">
        <v>0.8004111</v>
      </c>
      <c r="C24" s="167">
        <v>0.8078288</v>
      </c>
      <c r="D24" s="167">
        <v>0.6628778</v>
      </c>
      <c r="E24" s="167">
        <v>-0.01463684</v>
      </c>
      <c r="F24" s="167">
        <v>-0.2048396</v>
      </c>
      <c r="G24" s="167">
        <v>-0.4386104</v>
      </c>
    </row>
    <row r="25" spans="1:7" ht="12.75">
      <c r="A25" s="166" t="s">
        <v>95</v>
      </c>
      <c r="B25" s="167">
        <v>-1.667358</v>
      </c>
      <c r="C25" s="167">
        <v>-1.498809</v>
      </c>
      <c r="D25" s="167">
        <v>-1.217135</v>
      </c>
      <c r="E25" s="167">
        <v>-2.100003</v>
      </c>
      <c r="F25" s="167">
        <v>-6.145017</v>
      </c>
      <c r="G25" s="167">
        <v>0.196471</v>
      </c>
    </row>
    <row r="26" spans="1:7" ht="12.75">
      <c r="A26" s="166" t="s">
        <v>97</v>
      </c>
      <c r="B26" s="167">
        <v>0.4442345</v>
      </c>
      <c r="C26" s="167">
        <v>0.1535207</v>
      </c>
      <c r="D26" s="167">
        <v>0.490184</v>
      </c>
      <c r="E26" s="167">
        <v>0.06529294</v>
      </c>
      <c r="F26" s="167">
        <v>1.937707</v>
      </c>
      <c r="G26" s="167">
        <v>0.4942275</v>
      </c>
    </row>
    <row r="27" spans="1:7" ht="12.75">
      <c r="A27" s="166" t="s">
        <v>99</v>
      </c>
      <c r="B27" s="167">
        <v>-0.1147368</v>
      </c>
      <c r="C27" s="167">
        <v>0.1406334</v>
      </c>
      <c r="D27" s="167">
        <v>0.1697341</v>
      </c>
      <c r="E27" s="167">
        <v>0.1550573</v>
      </c>
      <c r="F27" s="167">
        <v>0.4917768</v>
      </c>
      <c r="G27" s="167">
        <v>0.06895779</v>
      </c>
    </row>
    <row r="28" spans="1:7" ht="12.75">
      <c r="A28" s="166" t="s">
        <v>101</v>
      </c>
      <c r="B28" s="167">
        <v>0.04622459</v>
      </c>
      <c r="C28" s="167">
        <v>-0.03352071</v>
      </c>
      <c r="D28" s="167">
        <v>0.06829526</v>
      </c>
      <c r="E28" s="167">
        <v>-0.2401297</v>
      </c>
      <c r="F28" s="167">
        <v>-0.07576937</v>
      </c>
      <c r="G28" s="167">
        <v>0.05286351</v>
      </c>
    </row>
    <row r="29" spans="1:7" ht="12.75">
      <c r="A29" s="166" t="s">
        <v>103</v>
      </c>
      <c r="B29" s="167">
        <v>0.3606431</v>
      </c>
      <c r="C29" s="167">
        <v>0.04717698</v>
      </c>
      <c r="D29" s="167">
        <v>0.03769347</v>
      </c>
      <c r="E29" s="167">
        <v>-0.001080753</v>
      </c>
      <c r="F29" s="167">
        <v>0.2808902</v>
      </c>
      <c r="G29" s="167">
        <v>0.1414641</v>
      </c>
    </row>
    <row r="30" spans="1:7" ht="12.75">
      <c r="A30" s="166" t="s">
        <v>105</v>
      </c>
      <c r="B30" s="167">
        <v>0.07573009</v>
      </c>
      <c r="C30" s="167">
        <v>0.08628676</v>
      </c>
      <c r="D30" s="167">
        <v>0.1006958</v>
      </c>
      <c r="E30" s="167">
        <v>0.1087362</v>
      </c>
      <c r="F30" s="167">
        <v>0.2840316</v>
      </c>
      <c r="G30" s="167">
        <v>0.1200334</v>
      </c>
    </row>
    <row r="31" spans="1:7" ht="12.75">
      <c r="A31" s="166" t="s">
        <v>107</v>
      </c>
      <c r="B31" s="167">
        <v>-0.0824687</v>
      </c>
      <c r="C31" s="167">
        <v>-0.01393538</v>
      </c>
      <c r="D31" s="167">
        <v>-0.001040078</v>
      </c>
      <c r="E31" s="167">
        <v>-0.01063128</v>
      </c>
      <c r="F31" s="167">
        <v>0.03260391</v>
      </c>
      <c r="G31" s="167">
        <v>0.0249016</v>
      </c>
    </row>
    <row r="32" spans="1:7" ht="12.75">
      <c r="A32" s="166" t="s">
        <v>109</v>
      </c>
      <c r="B32" s="167">
        <v>-0.04525492</v>
      </c>
      <c r="C32" s="167">
        <v>-0.05702451</v>
      </c>
      <c r="D32" s="167">
        <v>0.04644776</v>
      </c>
      <c r="E32" s="167">
        <v>-0.05538234</v>
      </c>
      <c r="F32" s="167">
        <v>0.03123508</v>
      </c>
      <c r="G32" s="167">
        <v>0.01822511</v>
      </c>
    </row>
    <row r="33" spans="1:7" ht="12.75">
      <c r="A33" s="166" t="s">
        <v>111</v>
      </c>
      <c r="B33" s="167">
        <v>0.2070905</v>
      </c>
      <c r="C33" s="167">
        <v>0.1431003</v>
      </c>
      <c r="D33" s="167">
        <v>0.1195808</v>
      </c>
      <c r="E33" s="167">
        <v>0.1377997</v>
      </c>
      <c r="F33" s="167">
        <v>0.08393848</v>
      </c>
      <c r="G33" s="167">
        <v>0.01512478</v>
      </c>
    </row>
    <row r="34" spans="1:7" ht="12.75">
      <c r="A34" s="166" t="s">
        <v>113</v>
      </c>
      <c r="B34" s="167">
        <v>-0.007996529</v>
      </c>
      <c r="C34" s="167">
        <v>0.004942564</v>
      </c>
      <c r="D34" s="167">
        <v>0.01273659</v>
      </c>
      <c r="E34" s="167">
        <v>0.01266571</v>
      </c>
      <c r="F34" s="167">
        <v>-0.01986646</v>
      </c>
      <c r="G34" s="167">
        <v>0.003453548</v>
      </c>
    </row>
    <row r="35" spans="1:7" ht="12.75">
      <c r="A35" s="166" t="s">
        <v>115</v>
      </c>
      <c r="B35" s="167">
        <v>-0.002529782</v>
      </c>
      <c r="C35" s="167">
        <v>0.002772155</v>
      </c>
      <c r="D35" s="167">
        <v>0.002513765</v>
      </c>
      <c r="E35" s="167">
        <v>-0.0008524508</v>
      </c>
      <c r="F35" s="167">
        <v>0.002570537</v>
      </c>
      <c r="G35" s="167">
        <v>0.001858397</v>
      </c>
    </row>
    <row r="36" spans="1:6" ht="12.75">
      <c r="A36" s="166" t="s">
        <v>144</v>
      </c>
      <c r="B36" s="167">
        <v>27.44446</v>
      </c>
      <c r="C36" s="167">
        <v>27.46277</v>
      </c>
      <c r="D36" s="167">
        <v>27.48108</v>
      </c>
      <c r="E36" s="167">
        <v>27.49329</v>
      </c>
      <c r="F36" s="167">
        <v>27.52991</v>
      </c>
    </row>
    <row r="37" spans="1:6" ht="12.75">
      <c r="A37" s="166" t="s">
        <v>145</v>
      </c>
      <c r="B37" s="167">
        <v>-0.2929688</v>
      </c>
      <c r="C37" s="167">
        <v>-0.2405802</v>
      </c>
      <c r="D37" s="167">
        <v>-0.2146403</v>
      </c>
      <c r="E37" s="167">
        <v>-0.2156576</v>
      </c>
      <c r="F37" s="167">
        <v>-0.1953125</v>
      </c>
    </row>
    <row r="38" spans="1:7" ht="12.75">
      <c r="A38" s="166" t="s">
        <v>146</v>
      </c>
      <c r="B38" s="167">
        <v>0.0003118961</v>
      </c>
      <c r="C38" s="167">
        <v>0.0004465644</v>
      </c>
      <c r="D38" s="167">
        <v>-0.000252944</v>
      </c>
      <c r="E38" s="167">
        <v>0.0003042237</v>
      </c>
      <c r="F38" s="167">
        <v>-1.33625E-05</v>
      </c>
      <c r="G38" s="167">
        <v>7.697768E-05</v>
      </c>
    </row>
    <row r="39" spans="1:7" ht="12.75">
      <c r="A39" s="166" t="s">
        <v>147</v>
      </c>
      <c r="B39" s="167">
        <v>0.001809683</v>
      </c>
      <c r="C39" s="167">
        <v>0.001449555</v>
      </c>
      <c r="D39" s="167">
        <v>0.001242473</v>
      </c>
      <c r="E39" s="167">
        <v>0.001419485</v>
      </c>
      <c r="F39" s="167">
        <v>0.001419515</v>
      </c>
      <c r="G39" s="167">
        <v>0.0007209882</v>
      </c>
    </row>
    <row r="40" spans="2:5" ht="12.75">
      <c r="B40" s="166" t="s">
        <v>148</v>
      </c>
      <c r="C40" s="166">
        <v>0.003759</v>
      </c>
      <c r="D40" s="166" t="s">
        <v>149</v>
      </c>
      <c r="E40" s="166">
        <v>3.11664</v>
      </c>
    </row>
    <row r="42" ht="12.75">
      <c r="A42" s="166" t="s">
        <v>150</v>
      </c>
    </row>
    <row r="50" spans="1:7" ht="12.75">
      <c r="A50" s="166" t="s">
        <v>151</v>
      </c>
      <c r="B50" s="166">
        <f>-0.017/(B7*B7+B22*B22)*(B21*B22+B6*B7)</f>
        <v>0.0003118961135133214</v>
      </c>
      <c r="C50" s="166">
        <f>-0.017/(C7*C7+C22*C22)*(C21*C22+C6*C7)</f>
        <v>0.0004465643283378455</v>
      </c>
      <c r="D50" s="166">
        <f>-0.017/(D7*D7+D22*D22)*(D21*D22+D6*D7)</f>
        <v>-0.0002529439387265088</v>
      </c>
      <c r="E50" s="166">
        <f>-0.017/(E7*E7+E22*E22)*(E21*E22+E6*E7)</f>
        <v>0.00030422374097844197</v>
      </c>
      <c r="F50" s="166">
        <f>-0.017/(F7*F7+F22*F22)*(F21*F22+F6*F7)</f>
        <v>-1.3362495575848206E-05</v>
      </c>
      <c r="G50" s="166">
        <f>(B50*B$4+C50*C$4+D50*D$4+E50*E$4+F50*F$4)/SUM(B$4:F$4)</f>
        <v>0.00016311522481736056</v>
      </c>
    </row>
    <row r="51" spans="1:7" ht="12.75">
      <c r="A51" s="166" t="s">
        <v>152</v>
      </c>
      <c r="B51" s="166">
        <f>-0.017/(B7*B7+B22*B22)*(B21*B7-B6*B22)</f>
        <v>0.0018096828433395197</v>
      </c>
      <c r="C51" s="166">
        <f>-0.017/(C7*C7+C22*C22)*(C21*C7-C6*C22)</f>
        <v>0.001449554853238179</v>
      </c>
      <c r="D51" s="166">
        <f>-0.017/(D7*D7+D22*D22)*(D21*D7-D6*D22)</f>
        <v>0.0012424734538982061</v>
      </c>
      <c r="E51" s="166">
        <f>-0.017/(E7*E7+E22*E22)*(E21*E7-E6*E22)</f>
        <v>0.0014194851365255917</v>
      </c>
      <c r="F51" s="166">
        <f>-0.017/(F7*F7+F22*F22)*(F21*F7-F6*F22)</f>
        <v>0.0014195148035890117</v>
      </c>
      <c r="G51" s="166">
        <f>(B51*B$4+C51*C$4+D51*D$4+E51*E$4+F51*F$4)/SUM(B$4:F$4)</f>
        <v>0.0014405433593638291</v>
      </c>
    </row>
    <row r="58" ht="12.75">
      <c r="A58" s="166" t="s">
        <v>154</v>
      </c>
    </row>
    <row r="60" spans="2:6" ht="12.75">
      <c r="B60" s="166" t="s">
        <v>83</v>
      </c>
      <c r="C60" s="166" t="s">
        <v>84</v>
      </c>
      <c r="D60" s="166" t="s">
        <v>85</v>
      </c>
      <c r="E60" s="166" t="s">
        <v>86</v>
      </c>
      <c r="F60" s="166" t="s">
        <v>87</v>
      </c>
    </row>
    <row r="61" spans="1:6" ht="12.75">
      <c r="A61" s="166" t="s">
        <v>156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159</v>
      </c>
      <c r="B62" s="166">
        <f>B7+(2/0.017)*(B8*B50-B23*B51)</f>
        <v>10000.04458243956</v>
      </c>
      <c r="C62" s="166">
        <f>C7+(2/0.017)*(C8*C50-C23*C51)</f>
        <v>9999.953791393576</v>
      </c>
      <c r="D62" s="166">
        <f>D7+(2/0.017)*(D8*D50-D23*D51)</f>
        <v>9999.680163752657</v>
      </c>
      <c r="E62" s="166">
        <f>E7+(2/0.017)*(E8*E50-E23*E51)</f>
        <v>10000.079743059056</v>
      </c>
      <c r="F62" s="166">
        <f>F7+(2/0.017)*(F8*F50-F23*F51)</f>
        <v>9998.415616391741</v>
      </c>
    </row>
    <row r="63" spans="1:6" ht="12.75">
      <c r="A63" s="166" t="s">
        <v>160</v>
      </c>
      <c r="B63" s="166">
        <f>B8+(3/0.017)*(B9*B50-B24*B51)</f>
        <v>2.3863864903711463</v>
      </c>
      <c r="C63" s="166">
        <f>C8+(3/0.017)*(C9*C50-C24*C51)</f>
        <v>2.131346258026388</v>
      </c>
      <c r="D63" s="166">
        <f>D8+(3/0.017)*(D9*D50-D24*D51)</f>
        <v>1.863927888907389</v>
      </c>
      <c r="E63" s="166">
        <f>E8+(3/0.017)*(E9*E50-E24*E51)</f>
        <v>1.106123070004681</v>
      </c>
      <c r="F63" s="166">
        <f>F8+(3/0.017)*(F9*F50-F24*F51)</f>
        <v>1.146923849408271</v>
      </c>
    </row>
    <row r="64" spans="1:6" ht="12.75">
      <c r="A64" s="166" t="s">
        <v>161</v>
      </c>
      <c r="B64" s="166">
        <f>B9+(4/0.017)*(B10*B50-B25*B51)</f>
        <v>0.3313451449023988</v>
      </c>
      <c r="C64" s="166">
        <f>C9+(4/0.017)*(C10*C50-C25*C51)</f>
        <v>0.5363083071554026</v>
      </c>
      <c r="D64" s="166">
        <f>D9+(4/0.017)*(D10*D50-D25*D51)</f>
        <v>0.3120172691692966</v>
      </c>
      <c r="E64" s="166">
        <f>E9+(4/0.017)*(E10*E50-E25*E51)</f>
        <v>0.3401530467219037</v>
      </c>
      <c r="F64" s="166">
        <f>F9+(4/0.017)*(F10*F50-F25*F51)</f>
        <v>-1.0761064424620645</v>
      </c>
    </row>
    <row r="65" spans="1:6" ht="12.75">
      <c r="A65" s="166" t="s">
        <v>162</v>
      </c>
      <c r="B65" s="166">
        <f>B10+(5/0.017)*(B11*B50-B26*B51)</f>
        <v>0.0981305014793389</v>
      </c>
      <c r="C65" s="166">
        <f>C10+(5/0.017)*(C11*C50-C26*C51)</f>
        <v>0.12357714083994126</v>
      </c>
      <c r="D65" s="166">
        <f>D10+(5/0.017)*(D11*D50-D26*D51)</f>
        <v>0.2621755245074737</v>
      </c>
      <c r="E65" s="166">
        <f>E10+(5/0.017)*(E11*E50-E26*E51)</f>
        <v>0.39963594126853486</v>
      </c>
      <c r="F65" s="166">
        <f>F10+(5/0.017)*(F11*F50-F26*F51)</f>
        <v>-0.13473567383798146</v>
      </c>
    </row>
    <row r="66" spans="1:6" ht="12.75">
      <c r="A66" s="166" t="s">
        <v>163</v>
      </c>
      <c r="B66" s="166">
        <f>B11+(6/0.017)*(B12*B50-B27*B51)</f>
        <v>3.5393290020842323</v>
      </c>
      <c r="C66" s="166">
        <f>C11+(6/0.017)*(C12*C50-C27*C51)</f>
        <v>4.619970293037677</v>
      </c>
      <c r="D66" s="166">
        <f>D11+(6/0.017)*(D12*D50-D27*D51)</f>
        <v>4.739868015758245</v>
      </c>
      <c r="E66" s="166">
        <f>E11+(6/0.017)*(E12*E50-E27*E51)</f>
        <v>4.381446483498228</v>
      </c>
      <c r="F66" s="166">
        <f>F11+(6/0.017)*(F12*F50-F27*F51)</f>
        <v>14.608506208121016</v>
      </c>
    </row>
    <row r="67" spans="1:6" ht="12.75">
      <c r="A67" s="166" t="s">
        <v>164</v>
      </c>
      <c r="B67" s="166">
        <f>B12+(7/0.017)*(B13*B50-B28*B51)</f>
        <v>-0.08384705728406916</v>
      </c>
      <c r="C67" s="166">
        <f>C12+(7/0.017)*(C13*C50-C28*C51)</f>
        <v>0.13625789899620205</v>
      </c>
      <c r="D67" s="166">
        <f>D12+(7/0.017)*(D13*D50-D28*D51)</f>
        <v>-0.08922356505454812</v>
      </c>
      <c r="E67" s="166">
        <f>E12+(7/0.017)*(E13*E50-E28*E51)</f>
        <v>-0.13519712287787805</v>
      </c>
      <c r="F67" s="166">
        <f>F12+(7/0.017)*(F13*F50-F28*F51)</f>
        <v>-0.0210317847100839</v>
      </c>
    </row>
    <row r="68" spans="1:6" ht="12.75">
      <c r="A68" s="166" t="s">
        <v>165</v>
      </c>
      <c r="B68" s="166">
        <f>B13+(8/0.017)*(B14*B50-B29*B51)</f>
        <v>0.0003842886471158158</v>
      </c>
      <c r="C68" s="166">
        <f>C13+(8/0.017)*(C14*C50-C29*C51)</f>
        <v>0.014789461844042305</v>
      </c>
      <c r="D68" s="166">
        <f>D13+(8/0.017)*(D14*D50-D29*D51)</f>
        <v>-0.007476242053978264</v>
      </c>
      <c r="E68" s="166">
        <f>E13+(8/0.017)*(E14*E50-E29*E51)</f>
        <v>-0.10691335120914669</v>
      </c>
      <c r="F68" s="166">
        <f>F13+(8/0.017)*(F14*F50-F29*F51)</f>
        <v>-0.22336501415982077</v>
      </c>
    </row>
    <row r="69" spans="1:6" ht="12.75">
      <c r="A69" s="166" t="s">
        <v>166</v>
      </c>
      <c r="B69" s="166">
        <f>B14+(9/0.017)*(B15*B50-B30*B51)</f>
        <v>0.05643771500252531</v>
      </c>
      <c r="C69" s="166">
        <f>C14+(9/0.017)*(C15*C50-C30*C51)</f>
        <v>0.02986916567841466</v>
      </c>
      <c r="D69" s="166">
        <f>D14+(9/0.017)*(D15*D50-D30*D51)</f>
        <v>0.03707766501880399</v>
      </c>
      <c r="E69" s="166">
        <f>E14+(9/0.017)*(E15*E50-E30*E51)</f>
        <v>0.06760747316396645</v>
      </c>
      <c r="F69" s="166">
        <f>F14+(9/0.017)*(F15*F50-F30*F51)</f>
        <v>-0.02296075664878644</v>
      </c>
    </row>
    <row r="70" spans="1:6" ht="12.75">
      <c r="A70" s="166" t="s">
        <v>167</v>
      </c>
      <c r="B70" s="166">
        <f>B15+(10/0.017)*(B16*B50-B31*B51)</f>
        <v>-0.3196802758325464</v>
      </c>
      <c r="C70" s="166">
        <f>C15+(10/0.017)*(C16*C50-C31*C51)</f>
        <v>-0.053394665570092335</v>
      </c>
      <c r="D70" s="166">
        <f>D15+(10/0.017)*(D16*D50-D31*D51)</f>
        <v>-0.03147449061377095</v>
      </c>
      <c r="E70" s="166">
        <f>E15+(10/0.017)*(E16*E50-E31*E51)</f>
        <v>-0.05002971883466809</v>
      </c>
      <c r="F70" s="166">
        <f>F15+(10/0.017)*(F16*F50-F31*F51)</f>
        <v>-0.3643437240932395</v>
      </c>
    </row>
    <row r="71" spans="1:6" ht="12.75">
      <c r="A71" s="166" t="s">
        <v>168</v>
      </c>
      <c r="B71" s="166">
        <f>B16+(11/0.017)*(B17*B50-B32*B51)</f>
        <v>0.03405189341495663</v>
      </c>
      <c r="C71" s="166">
        <f>C16+(11/0.017)*(C17*C50-C32*C51)</f>
        <v>0.06022857947268674</v>
      </c>
      <c r="D71" s="166">
        <f>D16+(11/0.017)*(D17*D50-D32*D51)</f>
        <v>-0.035961716529307575</v>
      </c>
      <c r="E71" s="166">
        <f>E16+(11/0.017)*(E17*E50-E32*E51)</f>
        <v>0.009415861016709638</v>
      </c>
      <c r="F71" s="166">
        <f>F16+(11/0.017)*(F17*F50-F32*F51)</f>
        <v>-0.03703011355416304</v>
      </c>
    </row>
    <row r="72" spans="1:6" ht="12.75">
      <c r="A72" s="166" t="s">
        <v>169</v>
      </c>
      <c r="B72" s="166">
        <f>B17+(12/0.017)*(B18*B50-B33*B51)</f>
        <v>-0.09195546698743881</v>
      </c>
      <c r="C72" s="166">
        <f>C17+(12/0.017)*(C18*C50-C33*C51)</f>
        <v>-0.034116319139938206</v>
      </c>
      <c r="D72" s="166">
        <f>D17+(12/0.017)*(D18*D50-D33*D51)</f>
        <v>-0.02316307343719884</v>
      </c>
      <c r="E72" s="166">
        <f>E17+(12/0.017)*(E18*E50-E33*E51)</f>
        <v>-0.031088420299600766</v>
      </c>
      <c r="F72" s="166">
        <f>F17+(12/0.017)*(F18*F50-F33*F51)</f>
        <v>-0.049425876547399765</v>
      </c>
    </row>
    <row r="73" spans="1:6" ht="12.75">
      <c r="A73" s="166" t="s">
        <v>170</v>
      </c>
      <c r="B73" s="166">
        <f>B18+(13/0.017)*(B19*B50-B34*B51)</f>
        <v>-0.005298259316652586</v>
      </c>
      <c r="C73" s="166">
        <f>C18+(13/0.017)*(C19*C50-C34*C51)</f>
        <v>-0.013814839176873789</v>
      </c>
      <c r="D73" s="166">
        <f>D18+(13/0.017)*(D19*D50-D34*D51)</f>
        <v>-0.01009042035202556</v>
      </c>
      <c r="E73" s="166">
        <f>E18+(13/0.017)*(E19*E50-E34*E51)</f>
        <v>-0.01158229285461658</v>
      </c>
      <c r="F73" s="166">
        <f>F18+(13/0.017)*(F19*F50-F34*F51)</f>
        <v>-0.014113932913457167</v>
      </c>
    </row>
    <row r="74" spans="1:6" ht="12.75">
      <c r="A74" s="166" t="s">
        <v>171</v>
      </c>
      <c r="B74" s="166">
        <f>B19+(14/0.017)*(B20*B50-B35*B51)</f>
        <v>-0.19353830870539138</v>
      </c>
      <c r="C74" s="166">
        <f>C19+(14/0.017)*(C20*C50-C35*C51)</f>
        <v>-0.19117812793286532</v>
      </c>
      <c r="D74" s="166">
        <f>D19+(14/0.017)*(D20*D50-D35*D51)</f>
        <v>-0.19342747307652475</v>
      </c>
      <c r="E74" s="166">
        <f>E19+(14/0.017)*(E20*E50-E35*E51)</f>
        <v>-0.18195369420158497</v>
      </c>
      <c r="F74" s="166">
        <f>F19+(14/0.017)*(F20*F50-F35*F51)</f>
        <v>-0.14211785117327405</v>
      </c>
    </row>
    <row r="75" spans="1:6" ht="12.75">
      <c r="A75" s="166" t="s">
        <v>172</v>
      </c>
      <c r="B75" s="167">
        <f>B20</f>
        <v>-0.002529091</v>
      </c>
      <c r="C75" s="167">
        <f>C20</f>
        <v>-0.00133094</v>
      </c>
      <c r="D75" s="167">
        <f>D20</f>
        <v>-0.0002119232</v>
      </c>
      <c r="E75" s="167">
        <f>E20</f>
        <v>-0.004304745</v>
      </c>
      <c r="F75" s="167">
        <f>F20</f>
        <v>-0.0006395544</v>
      </c>
    </row>
    <row r="78" ht="12.75">
      <c r="A78" s="166" t="s">
        <v>154</v>
      </c>
    </row>
    <row r="80" spans="2:6" ht="12.75">
      <c r="B80" s="166" t="s">
        <v>83</v>
      </c>
      <c r="C80" s="166" t="s">
        <v>84</v>
      </c>
      <c r="D80" s="166" t="s">
        <v>85</v>
      </c>
      <c r="E80" s="166" t="s">
        <v>86</v>
      </c>
      <c r="F80" s="166" t="s">
        <v>87</v>
      </c>
    </row>
    <row r="81" spans="1:6" ht="12.75">
      <c r="A81" s="166" t="s">
        <v>173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174</v>
      </c>
      <c r="B82" s="166">
        <f>B22+(2/0.017)*(B8*B51+B23*B50)</f>
        <v>106.13549973651274</v>
      </c>
      <c r="C82" s="166">
        <f>C22+(2/0.017)*(C8*C51+C23*C50)</f>
        <v>21.645291122618882</v>
      </c>
      <c r="D82" s="166">
        <f>D22+(2/0.017)*(D8*D51+D23*D50)</f>
        <v>-14.629942744702765</v>
      </c>
      <c r="E82" s="166">
        <f>E22+(2/0.017)*(E8*E51+E23*E50)</f>
        <v>-37.99587100579394</v>
      </c>
      <c r="F82" s="166">
        <f>F22+(2/0.017)*(F8*F51+F23*F50)</f>
        <v>-58.85388056310935</v>
      </c>
    </row>
    <row r="83" spans="1:6" ht="12.75">
      <c r="A83" s="166" t="s">
        <v>175</v>
      </c>
      <c r="B83" s="166">
        <f>B23+(3/0.017)*(B9*B51+B24*B50)</f>
        <v>0.17231438708862062</v>
      </c>
      <c r="C83" s="166">
        <f>C23+(3/0.017)*(C9*C51+C24*C50)</f>
        <v>1.071037358925408</v>
      </c>
      <c r="D83" s="166">
        <f>D23+(3/0.017)*(D9*D51+D24*D50)</f>
        <v>1.750211834201385</v>
      </c>
      <c r="E83" s="166">
        <f>E23+(3/0.017)*(E9*E51+E24*E50)</f>
        <v>-0.32878400388982526</v>
      </c>
      <c r="F83" s="166">
        <f>F23+(3/0.017)*(F9*F51+F24*F50)</f>
        <v>8.694330732655395</v>
      </c>
    </row>
    <row r="84" spans="1:6" ht="12.75">
      <c r="A84" s="166" t="s">
        <v>176</v>
      </c>
      <c r="B84" s="166">
        <f>B24+(4/0.017)*(B10*B51+B25*B50)</f>
        <v>0.684760281445119</v>
      </c>
      <c r="C84" s="166">
        <f>C24+(4/0.017)*(C10*C51+C25*C50)</f>
        <v>0.5054205340922</v>
      </c>
      <c r="D84" s="166">
        <f>D24+(4/0.017)*(D10*D51+D25*D50)</f>
        <v>0.9689383358199621</v>
      </c>
      <c r="E84" s="166">
        <f>E24+(4/0.017)*(E10*E51+E25*E50)</f>
        <v>-0.1564716409331942</v>
      </c>
      <c r="F84" s="166">
        <f>F24+(4/0.017)*(F10*F51+F25*F50)</f>
        <v>0.05918739934535705</v>
      </c>
    </row>
    <row r="85" spans="1:6" ht="12.75">
      <c r="A85" s="166" t="s">
        <v>177</v>
      </c>
      <c r="B85" s="166">
        <f>B25+(5/0.017)*(B11*B51+B26*B50)</f>
        <v>0.22322306741690334</v>
      </c>
      <c r="C85" s="166">
        <f>C25+(5/0.017)*(C11*C51+C26*C50)</f>
        <v>0.5141887278116419</v>
      </c>
      <c r="D85" s="166">
        <f>D25+(5/0.017)*(D11*D51+D26*D50)</f>
        <v>0.5040221344353037</v>
      </c>
      <c r="E85" s="166">
        <f>E25+(5/0.017)*(E11*E51+E26*E50)</f>
        <v>-0.22087205659942089</v>
      </c>
      <c r="F85" s="166">
        <f>F25+(5/0.017)*(F11*F51+F26*F50)</f>
        <v>0.049219355847785806</v>
      </c>
    </row>
    <row r="86" spans="1:6" ht="12.75">
      <c r="A86" s="166" t="s">
        <v>178</v>
      </c>
      <c r="B86" s="166">
        <f>B26+(6/0.017)*(B12*B51+B27*B50)</f>
        <v>0.37716955628791093</v>
      </c>
      <c r="C86" s="166">
        <f>C26+(6/0.017)*(C12*C51+C27*C50)</f>
        <v>0.23292113879147613</v>
      </c>
      <c r="D86" s="166">
        <f>D26+(6/0.017)*(D12*D51+D27*D50)</f>
        <v>0.4524316380529407</v>
      </c>
      <c r="E86" s="166">
        <f>E26+(6/0.017)*(E12*E51+E27*E50)</f>
        <v>-0.0479416707240356</v>
      </c>
      <c r="F86" s="166">
        <f>F26+(6/0.017)*(F12*F51+F27*F50)</f>
        <v>1.9025670828010652</v>
      </c>
    </row>
    <row r="87" spans="1:6" ht="12.75">
      <c r="A87" s="166" t="s">
        <v>179</v>
      </c>
      <c r="B87" s="166">
        <f>B27+(7/0.017)*(B13*B51+B28*B50)</f>
        <v>0.09905451849213243</v>
      </c>
      <c r="C87" s="166">
        <f>C27+(7/0.017)*(C13*C51+C28*C50)</f>
        <v>0.1486781156329486</v>
      </c>
      <c r="D87" s="166">
        <f>D27+(7/0.017)*(D13*D51+D28*D50)</f>
        <v>0.17611673420619872</v>
      </c>
      <c r="E87" s="166">
        <f>E27+(7/0.017)*(E13*E51+E28*E50)</f>
        <v>0.04892171917132078</v>
      </c>
      <c r="F87" s="166">
        <f>F27+(7/0.017)*(F13*F51+F28*F50)</f>
        <v>0.4720016139845881</v>
      </c>
    </row>
    <row r="88" spans="1:6" ht="12.75">
      <c r="A88" s="166" t="s">
        <v>180</v>
      </c>
      <c r="B88" s="166">
        <f>B28+(8/0.017)*(B14*B51+B29*B50)</f>
        <v>0.2649557990197323</v>
      </c>
      <c r="C88" s="166">
        <f>C28+(8/0.017)*(C14*C51+C29*C50)</f>
        <v>0.051591155677678295</v>
      </c>
      <c r="D88" s="166">
        <f>D28+(8/0.017)*(D14*D51+D29*D50)</f>
        <v>0.12185126678424542</v>
      </c>
      <c r="E88" s="166">
        <f>E28+(8/0.017)*(E14*E51+E29*E50)</f>
        <v>-0.13536824122577812</v>
      </c>
      <c r="F88" s="166">
        <f>F28+(8/0.017)*(F14*F51+F29*F50)</f>
        <v>0.04812037853535772</v>
      </c>
    </row>
    <row r="89" spans="1:6" ht="12.75">
      <c r="A89" s="166" t="s">
        <v>181</v>
      </c>
      <c r="B89" s="166">
        <f>B29+(9/0.017)*(B15*B51+B30*B50)</f>
        <v>-0.008022699487652385</v>
      </c>
      <c r="C89" s="166">
        <f>C29+(9/0.017)*(C15*C51+C30*C50)</f>
        <v>0.021642893090108112</v>
      </c>
      <c r="D89" s="166">
        <f>D29+(9/0.017)*(D15*D51+D30*D50)</f>
        <v>0.004349994953464581</v>
      </c>
      <c r="E89" s="166">
        <f>E29+(9/0.017)*(E15*E51+E30*E50)</f>
        <v>-0.019681664908826488</v>
      </c>
      <c r="F89" s="166">
        <f>F29+(9/0.017)*(F15*F51+F30*F50)</f>
        <v>0.025485669778079145</v>
      </c>
    </row>
    <row r="90" spans="1:6" ht="12.75">
      <c r="A90" s="166" t="s">
        <v>182</v>
      </c>
      <c r="B90" s="166">
        <f>B30+(10/0.017)*(B16*B51+B31*B50)</f>
        <v>0.004804024600011822</v>
      </c>
      <c r="C90" s="166">
        <f>C30+(10/0.017)*(C16*C51+C31*C50)</f>
        <v>0.06502720296021747</v>
      </c>
      <c r="D90" s="166">
        <f>D30+(10/0.017)*(D16*D51+D31*D50)</f>
        <v>0.11088822639329352</v>
      </c>
      <c r="E90" s="166">
        <f>E30+(10/0.017)*(E16*E51+E31*E50)</f>
        <v>0.05620627080179738</v>
      </c>
      <c r="F90" s="166">
        <f>F30+(10/0.017)*(F16*F51+F31*F50)</f>
        <v>0.27705888696465697</v>
      </c>
    </row>
    <row r="91" spans="1:6" ht="12.75">
      <c r="A91" s="166" t="s">
        <v>183</v>
      </c>
      <c r="B91" s="166">
        <f>B31+(11/0.017)*(B17*B51+B32*B50)</f>
        <v>0.10261885993664727</v>
      </c>
      <c r="C91" s="166">
        <f>C31+(11/0.017)*(C17*C51+C32*C50)</f>
        <v>0.058470171975654614</v>
      </c>
      <c r="D91" s="166">
        <f>D31+(11/0.017)*(D17*D51+D32*D50)</f>
        <v>0.052040383555669506</v>
      </c>
      <c r="E91" s="166">
        <f>E31+(11/0.017)*(E17*E51+E32*E50)</f>
        <v>0.06795899055725585</v>
      </c>
      <c r="F91" s="166">
        <f>F31+(11/0.017)*(F17*F51+F32*F50)</f>
        <v>0.06386757042073518</v>
      </c>
    </row>
    <row r="92" spans="1:6" ht="12.75">
      <c r="A92" s="166" t="s">
        <v>184</v>
      </c>
      <c r="B92" s="166">
        <f>B32+(12/0.017)*(B18*B51+B33*B50)</f>
        <v>0.039351571433821377</v>
      </c>
      <c r="C92" s="166">
        <f>C32+(12/0.017)*(C18*C51+C33*C50)</f>
        <v>0.04502798115612733</v>
      </c>
      <c r="D92" s="166">
        <f>D32+(12/0.017)*(D18*D51+D33*D50)</f>
        <v>-0.005524472559650627</v>
      </c>
      <c r="E92" s="166">
        <f>E32+(12/0.017)*(E18*E51+E33*E50)</f>
        <v>0.01877523542825188</v>
      </c>
      <c r="F92" s="166">
        <f>F32+(12/0.017)*(F18*F51+F33*F50)</f>
        <v>-0.0067320263545947515</v>
      </c>
    </row>
    <row r="93" spans="1:6" ht="12.75">
      <c r="A93" s="166" t="s">
        <v>185</v>
      </c>
      <c r="B93" s="166">
        <f>B33+(13/0.017)*(B19*B51+B34*B50)</f>
        <v>-0.06696810042807905</v>
      </c>
      <c r="C93" s="166">
        <f>C33+(13/0.017)*(C19*C51+C34*C50)</f>
        <v>-0.06291876450712383</v>
      </c>
      <c r="D93" s="166">
        <f>D33+(13/0.017)*(D19*D51+D34*D50)</f>
        <v>-0.06426153274051812</v>
      </c>
      <c r="E93" s="166">
        <f>E33+(13/0.017)*(E19*E51+E34*E50)</f>
        <v>-0.05667339105540084</v>
      </c>
      <c r="F93" s="166">
        <f>F33+(13/0.017)*(F19*F51+F34*F50)</f>
        <v>-0.06687474332467923</v>
      </c>
    </row>
    <row r="94" spans="1:6" ht="12.75">
      <c r="A94" s="166" t="s">
        <v>186</v>
      </c>
      <c r="B94" s="166">
        <f>B34+(14/0.017)*(B20*B51+B35*B50)</f>
        <v>-0.01241549045417205</v>
      </c>
      <c r="C94" s="166">
        <f>C34+(14/0.017)*(C20*C51+C35*C50)</f>
        <v>0.004373237528797888</v>
      </c>
      <c r="D94" s="166">
        <f>D34+(14/0.017)*(D20*D51+D35*D50)</f>
        <v>0.011996113059672233</v>
      </c>
      <c r="E94" s="166">
        <f>E34+(14/0.017)*(E20*E51+E35*E50)</f>
        <v>0.007419945152016182</v>
      </c>
      <c r="F94" s="166">
        <f>F34+(14/0.017)*(F20*F51+F35*F50)</f>
        <v>-0.02064239412876868</v>
      </c>
    </row>
    <row r="95" spans="1:6" ht="12.75">
      <c r="A95" s="166" t="s">
        <v>187</v>
      </c>
      <c r="B95" s="167">
        <f>B35</f>
        <v>-0.002529782</v>
      </c>
      <c r="C95" s="167">
        <f>C35</f>
        <v>0.002772155</v>
      </c>
      <c r="D95" s="167">
        <f>D35</f>
        <v>0.002513765</v>
      </c>
      <c r="E95" s="167">
        <f>E35</f>
        <v>-0.0008524508</v>
      </c>
      <c r="F95" s="167">
        <f>F35</f>
        <v>0.002570537</v>
      </c>
    </row>
    <row r="98" ht="12.75">
      <c r="A98" s="166" t="s">
        <v>155</v>
      </c>
    </row>
    <row r="100" spans="2:11" ht="12.75">
      <c r="B100" s="166" t="s">
        <v>83</v>
      </c>
      <c r="C100" s="166" t="s">
        <v>84</v>
      </c>
      <c r="D100" s="166" t="s">
        <v>85</v>
      </c>
      <c r="E100" s="166" t="s">
        <v>86</v>
      </c>
      <c r="F100" s="166" t="s">
        <v>87</v>
      </c>
      <c r="G100" s="166" t="s">
        <v>157</v>
      </c>
      <c r="H100" s="166" t="s">
        <v>158</v>
      </c>
      <c r="I100" s="166" t="s">
        <v>153</v>
      </c>
      <c r="K100" s="166" t="s">
        <v>188</v>
      </c>
    </row>
    <row r="101" spans="1:9" ht="12.75">
      <c r="A101" s="166" t="s">
        <v>156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159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160</v>
      </c>
      <c r="B103" s="166">
        <f>B63*10000/B62</f>
        <v>2.3863758513254307</v>
      </c>
      <c r="C103" s="166">
        <f>C63*10000/C62</f>
        <v>2.1313561067259363</v>
      </c>
      <c r="D103" s="166">
        <f>D63*10000/D62</f>
        <v>1.8639875059842896</v>
      </c>
      <c r="E103" s="166">
        <f>E63*10000/E62</f>
        <v>1.106114249511289</v>
      </c>
      <c r="F103" s="166">
        <f>F63*10000/F62</f>
        <v>1.1471055949384272</v>
      </c>
      <c r="G103" s="166">
        <f>AVERAGE(C103:E103)</f>
        <v>1.7004859540738382</v>
      </c>
      <c r="H103" s="166">
        <f>STDEV(C103:E103)</f>
        <v>0.5318174353611217</v>
      </c>
      <c r="I103" s="166">
        <f>(B103*B4+C103*C4+D103*D4+E103*E4+F103*F4)/SUM(B4:F4)</f>
        <v>1.725687354555663</v>
      </c>
      <c r="K103" s="166">
        <f>(LN(H103)+LN(H123))/2-LN(K114*K115^3)</f>
        <v>-4.16508060550078</v>
      </c>
    </row>
    <row r="104" spans="1:11" ht="12.75">
      <c r="A104" s="166" t="s">
        <v>161</v>
      </c>
      <c r="B104" s="166">
        <f>B64*10000/B62</f>
        <v>0.331343667691495</v>
      </c>
      <c r="C104" s="166">
        <f>C64*10000/C62</f>
        <v>0.5363107853728027</v>
      </c>
      <c r="D104" s="166">
        <f>D64*10000/D62</f>
        <v>0.31202724893173334</v>
      </c>
      <c r="E104" s="166">
        <f>E64*10000/E62</f>
        <v>0.3401503342590845</v>
      </c>
      <c r="F104" s="166">
        <f>F64*10000/F62</f>
        <v>-1.0762769660203553</v>
      </c>
      <c r="G104" s="166">
        <f>AVERAGE(C104:E104)</f>
        <v>0.3961627895212068</v>
      </c>
      <c r="H104" s="166">
        <f>STDEV(C104:E104)</f>
        <v>0.1221835608336761</v>
      </c>
      <c r="I104" s="166">
        <f>(B104*B4+C104*C4+D104*D4+E104*E4+F104*F4)/SUM(B4:F4)</f>
        <v>0.19007744214484557</v>
      </c>
      <c r="K104" s="166">
        <f>(LN(H104)+LN(H124))/2-LN(K114*K115^4)</f>
        <v>-4.623264692359596</v>
      </c>
    </row>
    <row r="105" spans="1:11" ht="12.75">
      <c r="A105" s="166" t="s">
        <v>162</v>
      </c>
      <c r="B105" s="166">
        <f>B65*10000/B62</f>
        <v>0.09813006399157422</v>
      </c>
      <c r="C105" s="166">
        <f>C65*10000/C62</f>
        <v>0.12357771187532633</v>
      </c>
      <c r="D105" s="166">
        <f>D65*10000/D62</f>
        <v>0.2621839100992657</v>
      </c>
      <c r="E105" s="166">
        <f>E65*10000/E62</f>
        <v>0.3996327544747008</v>
      </c>
      <c r="F105" s="166">
        <f>F65*10000/F62</f>
        <v>-0.1347570245200562</v>
      </c>
      <c r="G105" s="166">
        <f>AVERAGE(C105:E105)</f>
        <v>0.2617981254830976</v>
      </c>
      <c r="H105" s="166">
        <f>STDEV(C105:E105)</f>
        <v>0.13802792564717897</v>
      </c>
      <c r="I105" s="166">
        <f>(B105*B4+C105*C4+D105*D4+E105*E4+F105*F4)/SUM(B4:F4)</f>
        <v>0.18515940410232443</v>
      </c>
      <c r="K105" s="166">
        <f>(LN(H105)+LN(H125))/2-LN(K114*K115^5)</f>
        <v>-4.118056902474364</v>
      </c>
    </row>
    <row r="106" spans="1:11" ht="12.75">
      <c r="A106" s="166" t="s">
        <v>163</v>
      </c>
      <c r="B106" s="166">
        <f>B66*10000/B62</f>
        <v>3.539313222962448</v>
      </c>
      <c r="C106" s="166">
        <f>C66*10000/C62</f>
        <v>4.619991641375221</v>
      </c>
      <c r="D106" s="166">
        <f>D66*10000/D62</f>
        <v>4.740019618766965</v>
      </c>
      <c r="E106" s="166">
        <f>E66*10000/E62</f>
        <v>4.381411544782272</v>
      </c>
      <c r="F106" s="166">
        <f>F66*10000/F62</f>
        <v>14.610821122670012</v>
      </c>
      <c r="G106" s="166">
        <f>AVERAGE(C106:E106)</f>
        <v>4.580474268308152</v>
      </c>
      <c r="H106" s="166">
        <f>STDEV(C106:E106)</f>
        <v>0.18254083039787072</v>
      </c>
      <c r="I106" s="166">
        <f>(B106*B4+C106*C4+D106*D4+E106*E4+F106*F4)/SUM(B4:F4)</f>
        <v>5.770041690324166</v>
      </c>
      <c r="K106" s="166">
        <f>(LN(H106)+LN(H126))/2-LN(K114*K115^6)</f>
        <v>-3.646513451220999</v>
      </c>
    </row>
    <row r="107" spans="1:11" ht="12.75">
      <c r="A107" s="166" t="s">
        <v>164</v>
      </c>
      <c r="B107" s="166">
        <f>B67*10000/B62</f>
        <v>-0.08384668347509934</v>
      </c>
      <c r="C107" s="166">
        <f>C67*10000/C62</f>
        <v>0.1362585286278742</v>
      </c>
      <c r="D107" s="166">
        <f>D67*10000/D62</f>
        <v>-0.08922641883884465</v>
      </c>
      <c r="E107" s="166">
        <f>E67*10000/E62</f>
        <v>-0.13519604478325972</v>
      </c>
      <c r="F107" s="166">
        <f>F67*10000/F62</f>
        <v>-0.02103511747961715</v>
      </c>
      <c r="G107" s="166">
        <f>AVERAGE(C107:E107)</f>
        <v>-0.02938797833141006</v>
      </c>
      <c r="H107" s="166">
        <f>STDEV(C107:E107)</f>
        <v>0.14528377603237919</v>
      </c>
      <c r="I107" s="166">
        <f>(B107*B4+C107*C4+D107*D4+E107*E4+F107*F4)/SUM(B4:F4)</f>
        <v>-0.03614013870374546</v>
      </c>
      <c r="K107" s="166">
        <f>(LN(H107)+LN(H127))/2-LN(K114*K115^7)</f>
        <v>-3.8298205992432113</v>
      </c>
    </row>
    <row r="108" spans="1:9" ht="12.75">
      <c r="A108" s="166" t="s">
        <v>165</v>
      </c>
      <c r="B108" s="166">
        <f>B68*10000/B62</f>
        <v>0.0003842869338709155</v>
      </c>
      <c r="C108" s="166">
        <f>C68*10000/C62</f>
        <v>0.014789530184400252</v>
      </c>
      <c r="D108" s="166">
        <f>D68*10000/D62</f>
        <v>-0.007476481178946624</v>
      </c>
      <c r="E108" s="166">
        <f>E68*10000/E62</f>
        <v>-0.10691249865617727</v>
      </c>
      <c r="F108" s="166">
        <f>F68*10000/F62</f>
        <v>-0.2234004093544867</v>
      </c>
      <c r="G108" s="166">
        <f>AVERAGE(C108:E108)</f>
        <v>-0.033199816550241214</v>
      </c>
      <c r="H108" s="166">
        <f>STDEV(C108:E108)</f>
        <v>0.06480056668692229</v>
      </c>
      <c r="I108" s="166">
        <f>(B108*B4+C108*C4+D108*D4+E108*E4+F108*F4)/SUM(B4:F4)</f>
        <v>-0.05375813258959251</v>
      </c>
    </row>
    <row r="109" spans="1:9" ht="12.75">
      <c r="A109" s="166" t="s">
        <v>166</v>
      </c>
      <c r="B109" s="166">
        <f>B69*10000/B62</f>
        <v>0.05643746339054527</v>
      </c>
      <c r="C109" s="166">
        <f>C69*10000/C62</f>
        <v>0.029869303700304547</v>
      </c>
      <c r="D109" s="166">
        <f>D69*10000/D62</f>
        <v>0.03707885093485787</v>
      </c>
      <c r="E109" s="166">
        <f>E69*10000/E62</f>
        <v>0.06760693404559304</v>
      </c>
      <c r="F109" s="166">
        <f>F69*10000/F62</f>
        <v>-0.02296439508990184</v>
      </c>
      <c r="G109" s="166">
        <f>AVERAGE(C109:E109)</f>
        <v>0.04485169622691848</v>
      </c>
      <c r="H109" s="166">
        <f>STDEV(C109:E109)</f>
        <v>0.02003359750444592</v>
      </c>
      <c r="I109" s="166">
        <f>(B109*B4+C109*C4+D109*D4+E109*E4+F109*F4)/SUM(B4:F4)</f>
        <v>0.037466525784728956</v>
      </c>
    </row>
    <row r="110" spans="1:11" ht="12.75">
      <c r="A110" s="166" t="s">
        <v>167</v>
      </c>
      <c r="B110" s="166">
        <f>B70*10000/B62</f>
        <v>-0.31967885062624274</v>
      </c>
      <c r="C110" s="166">
        <f>C70*10000/C62</f>
        <v>-0.05339491230054108</v>
      </c>
      <c r="D110" s="166">
        <f>D70*10000/D62</f>
        <v>-0.031475497314265376</v>
      </c>
      <c r="E110" s="166">
        <f>E70*10000/E62</f>
        <v>-0.050029319885567074</v>
      </c>
      <c r="F110" s="166">
        <f>F70*10000/F62</f>
        <v>-0.3644014592631277</v>
      </c>
      <c r="G110" s="166">
        <f>AVERAGE(C110:E110)</f>
        <v>-0.04496657650012451</v>
      </c>
      <c r="H110" s="166">
        <f>STDEV(C110:E110)</f>
        <v>0.011804182151901637</v>
      </c>
      <c r="I110" s="166">
        <f>(B110*B4+C110*C4+D110*D4+E110*E4+F110*F4)/SUM(B4:F4)</f>
        <v>-0.12735402969661314</v>
      </c>
      <c r="K110" s="166">
        <f>EXP(AVERAGE(K103:K107))</f>
        <v>0.01696594379914591</v>
      </c>
    </row>
    <row r="111" spans="1:9" ht="12.75">
      <c r="A111" s="166" t="s">
        <v>168</v>
      </c>
      <c r="B111" s="166">
        <f>B71*10000/B62</f>
        <v>0.034051741603985435</v>
      </c>
      <c r="C111" s="166">
        <f>C71*10000/C62</f>
        <v>0.060228857781845196</v>
      </c>
      <c r="D111" s="166">
        <f>D71*10000/D62</f>
        <v>-0.03596286675214214</v>
      </c>
      <c r="E111" s="166">
        <f>E71*10000/E62</f>
        <v>0.009415785932352273</v>
      </c>
      <c r="F111" s="166">
        <f>F71*10000/F62</f>
        <v>-0.037035981474359415</v>
      </c>
      <c r="G111" s="166">
        <f>AVERAGE(C111:E111)</f>
        <v>0.011227258987351775</v>
      </c>
      <c r="H111" s="166">
        <f>STDEV(C111:E111)</f>
        <v>0.04812144057670518</v>
      </c>
      <c r="I111" s="166">
        <f>(B111*B4+C111*C4+D111*D4+E111*E4+F111*F4)/SUM(B4:F4)</f>
        <v>0.008081460961009482</v>
      </c>
    </row>
    <row r="112" spans="1:9" ht="12.75">
      <c r="A112" s="166" t="s">
        <v>169</v>
      </c>
      <c r="B112" s="166">
        <f>B72*10000/B62</f>
        <v>-0.09195505702936159</v>
      </c>
      <c r="C112" s="166">
        <f>C72*10000/C62</f>
        <v>-0.03411647678742305</v>
      </c>
      <c r="D112" s="166">
        <f>D72*10000/D62</f>
        <v>-0.023163814299942822</v>
      </c>
      <c r="E112" s="166">
        <f>E72*10000/E62</f>
        <v>-0.03108817239300406</v>
      </c>
      <c r="F112" s="166">
        <f>F72*10000/F62</f>
        <v>-0.04943370874318258</v>
      </c>
      <c r="G112" s="166">
        <f>AVERAGE(C112:E112)</f>
        <v>-0.029456154493456645</v>
      </c>
      <c r="H112" s="166">
        <f>STDEV(C112:E112)</f>
        <v>0.005655777197653432</v>
      </c>
      <c r="I112" s="166">
        <f>(B112*B4+C112*C4+D112*D4+E112*E4+F112*F4)/SUM(B4:F4)</f>
        <v>-0.04115975669468863</v>
      </c>
    </row>
    <row r="113" spans="1:9" ht="12.75">
      <c r="A113" s="166" t="s">
        <v>170</v>
      </c>
      <c r="B113" s="166">
        <f>B73*10000/B62</f>
        <v>-0.005298235695825318</v>
      </c>
      <c r="C113" s="166">
        <f>C73*10000/C62</f>
        <v>-0.013814903013615404</v>
      </c>
      <c r="D113" s="166">
        <f>D73*10000/D62</f>
        <v>-0.01009074309056586</v>
      </c>
      <c r="E113" s="166">
        <f>E73*10000/E62</f>
        <v>-0.011582200494606777</v>
      </c>
      <c r="F113" s="166">
        <f>F73*10000/F62</f>
        <v>-0.014116169456206947</v>
      </c>
      <c r="G113" s="166">
        <f>AVERAGE(C113:E113)</f>
        <v>-0.011829282199596012</v>
      </c>
      <c r="H113" s="166">
        <f>STDEV(C113:E113)</f>
        <v>0.0018743342310851157</v>
      </c>
      <c r="I113" s="166">
        <f>(B113*B4+C113*C4+D113*D4+E113*E4+F113*F4)/SUM(B4:F4)</f>
        <v>-0.011190870397415733</v>
      </c>
    </row>
    <row r="114" spans="1:11" ht="12.75">
      <c r="A114" s="166" t="s">
        <v>171</v>
      </c>
      <c r="B114" s="166">
        <f>B74*10000/B62</f>
        <v>-0.1935374458682431</v>
      </c>
      <c r="C114" s="166">
        <f>C74*10000/C62</f>
        <v>-0.1911790113444345</v>
      </c>
      <c r="D114" s="166">
        <f>D74*10000/D62</f>
        <v>-0.19343365978611035</v>
      </c>
      <c r="E114" s="166">
        <f>E74*10000/E62</f>
        <v>-0.18195224325873702</v>
      </c>
      <c r="F114" s="166">
        <f>F74*10000/F62</f>
        <v>-0.14214037166076718</v>
      </c>
      <c r="G114" s="166">
        <f>AVERAGE(C114:E114)</f>
        <v>-0.18885497146309396</v>
      </c>
      <c r="H114" s="166">
        <f>STDEV(C114:E114)</f>
        <v>0.006083305219722142</v>
      </c>
      <c r="I114" s="166">
        <f>(B114*B4+C114*C4+D114*D4+E114*E4+F114*F4)/SUM(B4:F4)</f>
        <v>-0.18329035195928806</v>
      </c>
      <c r="J114" s="166" t="s">
        <v>189</v>
      </c>
      <c r="K114" s="166">
        <v>285</v>
      </c>
    </row>
    <row r="115" spans="1:11" ht="12.75">
      <c r="A115" s="166" t="s">
        <v>172</v>
      </c>
      <c r="B115" s="166">
        <f>B75*10000/B62</f>
        <v>-0.0025290797247456026</v>
      </c>
      <c r="C115" s="166">
        <f>C75*10000/C62</f>
        <v>-0.0013309461501166823</v>
      </c>
      <c r="D115" s="166">
        <f>D75*10000/D62</f>
        <v>-0.00021192997828889553</v>
      </c>
      <c r="E115" s="166">
        <f>E75*10000/E62</f>
        <v>-0.004304710672920259</v>
      </c>
      <c r="F115" s="166">
        <f>F75*10000/F62</f>
        <v>-0.0006396557460078904</v>
      </c>
      <c r="G115" s="166">
        <f>AVERAGE(C115:E115)</f>
        <v>-0.0019491956004419459</v>
      </c>
      <c r="H115" s="166">
        <f>STDEV(C115:E115)</f>
        <v>0.0021152748617395832</v>
      </c>
      <c r="I115" s="166">
        <f>(B115*B4+C115*C4+D115*D4+E115*E4+F115*F4)/SUM(B4:F4)</f>
        <v>-0.001858171078458458</v>
      </c>
      <c r="J115" s="166" t="s">
        <v>190</v>
      </c>
      <c r="K115" s="166">
        <v>0.5536</v>
      </c>
    </row>
    <row r="118" ht="12.75">
      <c r="A118" s="166" t="s">
        <v>155</v>
      </c>
    </row>
    <row r="120" spans="2:9" ht="12.75">
      <c r="B120" s="166" t="s">
        <v>83</v>
      </c>
      <c r="C120" s="166" t="s">
        <v>84</v>
      </c>
      <c r="D120" s="166" t="s">
        <v>85</v>
      </c>
      <c r="E120" s="166" t="s">
        <v>86</v>
      </c>
      <c r="F120" s="166" t="s">
        <v>87</v>
      </c>
      <c r="G120" s="166" t="s">
        <v>157</v>
      </c>
      <c r="H120" s="166" t="s">
        <v>158</v>
      </c>
      <c r="I120" s="166" t="s">
        <v>153</v>
      </c>
    </row>
    <row r="121" spans="1:9" ht="12.75">
      <c r="A121" s="166" t="s">
        <v>173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174</v>
      </c>
      <c r="B122" s="166">
        <f>B82*10000/B62</f>
        <v>106.13502656067206</v>
      </c>
      <c r="C122" s="166">
        <f>C82*10000/C62</f>
        <v>21.645391142954903</v>
      </c>
      <c r="D122" s="166">
        <f>D82*10000/D62</f>
        <v>-14.630410678267607</v>
      </c>
      <c r="E122" s="166">
        <f>E82*10000/E62</f>
        <v>-37.99556801751151</v>
      </c>
      <c r="F122" s="166">
        <f>F82*10000/F62</f>
        <v>-58.86320675310026</v>
      </c>
      <c r="G122" s="166">
        <f>AVERAGE(C122:E122)</f>
        <v>-10.32686251760807</v>
      </c>
      <c r="H122" s="166">
        <f>STDEV(C122:E122)</f>
        <v>30.052477393277293</v>
      </c>
      <c r="I122" s="166">
        <f>(B122*B4+C122*C4+D122*D4+E122*E4+F122*F4)/SUM(B4:F4)</f>
        <v>0.023300638876469774</v>
      </c>
    </row>
    <row r="123" spans="1:9" ht="12.75">
      <c r="A123" s="166" t="s">
        <v>175</v>
      </c>
      <c r="B123" s="166">
        <f>B83*10000/B62</f>
        <v>0.17231361887247076</v>
      </c>
      <c r="C123" s="166">
        <f>C83*10000/C62</f>
        <v>1.0710423080626557</v>
      </c>
      <c r="D123" s="166">
        <f>D83*10000/D62</f>
        <v>1.7502678141103363</v>
      </c>
      <c r="E123" s="166">
        <f>E83*10000/E62</f>
        <v>-0.3287813820865085</v>
      </c>
      <c r="F123" s="166">
        <f>F83*10000/F62</f>
        <v>8.695708466451038</v>
      </c>
      <c r="G123" s="166">
        <f>AVERAGE(C123:E123)</f>
        <v>0.8308429133621612</v>
      </c>
      <c r="H123" s="166">
        <f>STDEV(C123:E123)</f>
        <v>1.060133577414917</v>
      </c>
      <c r="I123" s="166">
        <f>(B123*B4+C123*C4+D123*D4+E123*E4+F123*F4)/SUM(B4:F4)</f>
        <v>1.786357658733009</v>
      </c>
    </row>
    <row r="124" spans="1:9" ht="12.75">
      <c r="A124" s="166" t="s">
        <v>176</v>
      </c>
      <c r="B124" s="166">
        <f>B84*10000/B62</f>
        <v>0.6847572286303432</v>
      </c>
      <c r="C124" s="166">
        <f>C84*10000/C62</f>
        <v>0.5054228695808458</v>
      </c>
      <c r="D124" s="166">
        <f>D84*10000/D62</f>
        <v>0.968969326971295</v>
      </c>
      <c r="E124" s="166">
        <f>E84*10000/E62</f>
        <v>-0.15647039319041375</v>
      </c>
      <c r="F124" s="166">
        <f>F84*10000/F62</f>
        <v>0.059196778385890686</v>
      </c>
      <c r="G124" s="166">
        <f>AVERAGE(C124:E124)</f>
        <v>0.43930726778724233</v>
      </c>
      <c r="H124" s="166">
        <f>STDEV(C124:E124)</f>
        <v>0.5656254021256595</v>
      </c>
      <c r="I124" s="166">
        <f>(B124*B4+C124*C4+D124*D4+E124*E4+F124*F4)/SUM(B4:F4)</f>
        <v>0.42396930979120606</v>
      </c>
    </row>
    <row r="125" spans="1:9" ht="12.75">
      <c r="A125" s="166" t="s">
        <v>177</v>
      </c>
      <c r="B125" s="166">
        <f>B85*10000/B62</f>
        <v>0.22322207223844898</v>
      </c>
      <c r="C125" s="166">
        <f>C85*10000/C62</f>
        <v>0.5141911038170762</v>
      </c>
      <c r="D125" s="166">
        <f>D85*10000/D62</f>
        <v>0.5040382554057163</v>
      </c>
      <c r="E125" s="166">
        <f>E85*10000/E62</f>
        <v>-0.2208702953121206</v>
      </c>
      <c r="F125" s="166">
        <f>F85*10000/F62</f>
        <v>0.04922715531758244</v>
      </c>
      <c r="G125" s="166">
        <f>AVERAGE(C125:E125)</f>
        <v>0.26578635463689065</v>
      </c>
      <c r="H125" s="166">
        <f>STDEV(C125:E125)</f>
        <v>0.42148759327815555</v>
      </c>
      <c r="I125" s="166">
        <f>(B125*B4+C125*C4+D125*D4+E125*E4+F125*F4)/SUM(B4:F4)</f>
        <v>0.23068569203296993</v>
      </c>
    </row>
    <row r="126" spans="1:9" ht="12.75">
      <c r="A126" s="166" t="s">
        <v>178</v>
      </c>
      <c r="B126" s="166">
        <f>B86*10000/B62</f>
        <v>0.3771678747815128</v>
      </c>
      <c r="C126" s="166">
        <f>C86*10000/C62</f>
        <v>0.2329222150925726</v>
      </c>
      <c r="D126" s="166">
        <f>D86*10000/D62</f>
        <v>0.4524461089195009</v>
      </c>
      <c r="E126" s="166">
        <f>E86*10000/E62</f>
        <v>-0.04794128842553619</v>
      </c>
      <c r="F126" s="166">
        <f>F86*10000/F62</f>
        <v>1.9028685701781916</v>
      </c>
      <c r="G126" s="166">
        <f>AVERAGE(C126:E126)</f>
        <v>0.21247567852884575</v>
      </c>
      <c r="H126" s="166">
        <f>STDEV(C126:E126)</f>
        <v>0.25081952176520045</v>
      </c>
      <c r="I126" s="166">
        <f>(B126*B4+C126*C4+D126*D4+E126*E4+F126*F4)/SUM(B4:F4)</f>
        <v>0.4621066223596067</v>
      </c>
    </row>
    <row r="127" spans="1:9" ht="12.75">
      <c r="A127" s="166" t="s">
        <v>179</v>
      </c>
      <c r="B127" s="166">
        <f>B87*10000/B62</f>
        <v>0.09905407688489284</v>
      </c>
      <c r="C127" s="166">
        <f>C87*10000/C62</f>
        <v>0.14867880265697617</v>
      </c>
      <c r="D127" s="166">
        <f>D87*10000/D62</f>
        <v>0.17612236723789979</v>
      </c>
      <c r="E127" s="166">
        <f>E87*10000/E62</f>
        <v>0.04892132905767757</v>
      </c>
      <c r="F127" s="166">
        <f>F87*10000/F62</f>
        <v>0.4720764089970142</v>
      </c>
      <c r="G127" s="166">
        <f>AVERAGE(C127:E127)</f>
        <v>0.12457416631751783</v>
      </c>
      <c r="H127" s="166">
        <f>STDEV(C127:E127)</f>
        <v>0.06693878657642925</v>
      </c>
      <c r="I127" s="166">
        <f>(B127*B4+C127*C4+D127*D4+E127*E4+F127*F4)/SUM(B4:F4)</f>
        <v>0.1673090277433114</v>
      </c>
    </row>
    <row r="128" spans="1:9" ht="12.75">
      <c r="A128" s="166" t="s">
        <v>180</v>
      </c>
      <c r="B128" s="166">
        <f>B88*10000/B62</f>
        <v>0.264954617787409</v>
      </c>
      <c r="C128" s="166">
        <f>C88*10000/C62</f>
        <v>0.05159139407432066</v>
      </c>
      <c r="D128" s="166">
        <f>D88*10000/D62</f>
        <v>0.12185516415408766</v>
      </c>
      <c r="E128" s="166">
        <f>E88*10000/E62</f>
        <v>-0.13536716176662061</v>
      </c>
      <c r="F128" s="166">
        <f>F88*10000/F62</f>
        <v>0.04812800385739871</v>
      </c>
      <c r="G128" s="166">
        <f>AVERAGE(C128:E128)</f>
        <v>0.012693132153929235</v>
      </c>
      <c r="H128" s="166">
        <f>STDEV(C128:E128)</f>
        <v>0.13294975488256947</v>
      </c>
      <c r="I128" s="166">
        <f>(B128*B4+C128*C4+D128*D4+E128*E4+F128*F4)/SUM(B4:F4)</f>
        <v>0.053884467521289704</v>
      </c>
    </row>
    <row r="129" spans="1:9" ht="12.75">
      <c r="A129" s="166" t="s">
        <v>181</v>
      </c>
      <c r="B129" s="166">
        <f>B89*10000/B62</f>
        <v>-0.008022663720660341</v>
      </c>
      <c r="C129" s="166">
        <f>C89*10000/C62</f>
        <v>0.021642993099363107</v>
      </c>
      <c r="D129" s="166">
        <f>D89*10000/D62</f>
        <v>0.004350134086520748</v>
      </c>
      <c r="E129" s="166">
        <f>E89*10000/E62</f>
        <v>-0.019681507962461313</v>
      </c>
      <c r="F129" s="166">
        <f>F89*10000/F62</f>
        <v>0.025489708325684195</v>
      </c>
      <c r="G129" s="166">
        <f>AVERAGE(C129:E129)</f>
        <v>0.0021038730744741808</v>
      </c>
      <c r="H129" s="166">
        <f>STDEV(C129:E129)</f>
        <v>0.020753622898252302</v>
      </c>
      <c r="I129" s="166">
        <f>(B129*B4+C129*C4+D129*D4+E129*E4+F129*F4)/SUM(B4:F4)</f>
        <v>0.0037643475527309837</v>
      </c>
    </row>
    <row r="130" spans="1:9" ht="12.75">
      <c r="A130" s="166" t="s">
        <v>182</v>
      </c>
      <c r="B130" s="166">
        <f>B90*10000/B62</f>
        <v>0.004804003182593669</v>
      </c>
      <c r="C130" s="166">
        <f>C90*10000/C62</f>
        <v>0.0650275034432488</v>
      </c>
      <c r="D130" s="166">
        <f>D90*10000/D62</f>
        <v>0.11089177311415091</v>
      </c>
      <c r="E130" s="166">
        <f>E90*10000/E62</f>
        <v>0.0562058225993743</v>
      </c>
      <c r="F130" s="166">
        <f>F90*10000/F62</f>
        <v>0.277102790676592</v>
      </c>
      <c r="G130" s="166">
        <f>AVERAGE(C130:E130)</f>
        <v>0.077375033052258</v>
      </c>
      <c r="H130" s="166">
        <f>STDEV(C130:E130)</f>
        <v>0.029359571037570854</v>
      </c>
      <c r="I130" s="166">
        <f>(B130*B4+C130*C4+D130*D4+E130*E4+F130*F4)/SUM(B4:F4)</f>
        <v>0.09356688555697737</v>
      </c>
    </row>
    <row r="131" spans="1:9" ht="12.75">
      <c r="A131" s="166" t="s">
        <v>183</v>
      </c>
      <c r="B131" s="166">
        <f>B91*10000/B62</f>
        <v>0.10261840243877483</v>
      </c>
      <c r="C131" s="166">
        <f>C91*10000/C62</f>
        <v>0.05847044215941953</v>
      </c>
      <c r="D131" s="166">
        <f>D91*10000/D62</f>
        <v>0.05204204804900471</v>
      </c>
      <c r="E131" s="166">
        <f>E91*10000/E62</f>
        <v>0.06795844863579756</v>
      </c>
      <c r="F131" s="166">
        <f>F91*10000/F62</f>
        <v>0.063877691097406</v>
      </c>
      <c r="G131" s="166">
        <f>AVERAGE(C131:E131)</f>
        <v>0.059490312948073935</v>
      </c>
      <c r="H131" s="166">
        <f>STDEV(C131:E131)</f>
        <v>0.008007062771639635</v>
      </c>
      <c r="I131" s="166">
        <f>(B131*B4+C131*C4+D131*D4+E131*E4+F131*F4)/SUM(B4:F4)</f>
        <v>0.06631107554538254</v>
      </c>
    </row>
    <row r="132" spans="1:9" ht="12.75">
      <c r="A132" s="166" t="s">
        <v>184</v>
      </c>
      <c r="B132" s="166">
        <f>B92*10000/B62</f>
        <v>0.03935139599569802</v>
      </c>
      <c r="C132" s="166">
        <f>C92*10000/C62</f>
        <v>0.045028189225114715</v>
      </c>
      <c r="D132" s="166">
        <f>D92*10000/D62</f>
        <v>-0.005524649257959282</v>
      </c>
      <c r="E132" s="166">
        <f>E92*10000/E62</f>
        <v>0.018775085709975027</v>
      </c>
      <c r="F132" s="166">
        <f>F92*10000/F62</f>
        <v>-0.006733093134834322</v>
      </c>
      <c r="G132" s="166">
        <f>AVERAGE(C132:E132)</f>
        <v>0.019426208559043485</v>
      </c>
      <c r="H132" s="166">
        <f>STDEV(C132:E132)</f>
        <v>0.02528270832797341</v>
      </c>
      <c r="I132" s="166">
        <f>(B132*B4+C132*C4+D132*D4+E132*E4+F132*F4)/SUM(B4:F4)</f>
        <v>0.018813031518819426</v>
      </c>
    </row>
    <row r="133" spans="1:9" ht="12.75">
      <c r="A133" s="166" t="s">
        <v>185</v>
      </c>
      <c r="B133" s="166">
        <f>B93*10000/B62</f>
        <v>-0.06696780186928113</v>
      </c>
      <c r="C133" s="166">
        <f>C93*10000/C62</f>
        <v>-0.06291905524730988</v>
      </c>
      <c r="D133" s="166">
        <f>D93*10000/D62</f>
        <v>-0.06426358812300471</v>
      </c>
      <c r="E133" s="166">
        <f>E93*10000/E62</f>
        <v>-0.05667293912804767</v>
      </c>
      <c r="F133" s="166">
        <f>F93*10000/F62</f>
        <v>-0.06688534052839583</v>
      </c>
      <c r="G133" s="166">
        <f>AVERAGE(C133:E133)</f>
        <v>-0.06128519416612075</v>
      </c>
      <c r="H133" s="166">
        <f>STDEV(C133:E133)</f>
        <v>0.004050507939213115</v>
      </c>
      <c r="I133" s="166">
        <f>(B133*B4+C133*C4+D133*D4+E133*E4+F133*F4)/SUM(B4:F4)</f>
        <v>-0.0628546106732488</v>
      </c>
    </row>
    <row r="134" spans="1:9" ht="12.75">
      <c r="A134" s="166" t="s">
        <v>186</v>
      </c>
      <c r="B134" s="166">
        <f>B94*10000/B62</f>
        <v>-0.01241543510313354</v>
      </c>
      <c r="C134" s="166">
        <f>C94*10000/C62</f>
        <v>0.0043732577370124434</v>
      </c>
      <c r="D134" s="166">
        <f>D94*10000/D62</f>
        <v>0.011996496751122448</v>
      </c>
      <c r="E134" s="166">
        <f>E94*10000/E62</f>
        <v>0.007419885983575564</v>
      </c>
      <c r="F134" s="166">
        <f>F94*10000/F62</f>
        <v>-0.020645665194120196</v>
      </c>
      <c r="G134" s="166">
        <f>AVERAGE(C134:E134)</f>
        <v>0.00792988015723682</v>
      </c>
      <c r="H134" s="166">
        <f>STDEV(C134:E134)</f>
        <v>0.0038371231162732476</v>
      </c>
      <c r="I134" s="166">
        <f>(B134*B4+C134*C4+D134*D4+E134*E4+F134*F4)/SUM(B4:F4)</f>
        <v>0.001170968972114724</v>
      </c>
    </row>
    <row r="135" spans="1:9" ht="12.75">
      <c r="A135" s="166" t="s">
        <v>187</v>
      </c>
      <c r="B135" s="166">
        <f>B95*10000/B62</f>
        <v>-0.00252977072166497</v>
      </c>
      <c r="C135" s="166">
        <f>C95*10000/C62</f>
        <v>0.002772167809801126</v>
      </c>
      <c r="D135" s="166">
        <f>D95*10000/D62</f>
        <v>0.0025138454018879736</v>
      </c>
      <c r="E135" s="166">
        <f>E95*10000/E62</f>
        <v>-0.0008524440023507578</v>
      </c>
      <c r="F135" s="166">
        <f>F95*10000/F62</f>
        <v>0.002570944336206403</v>
      </c>
      <c r="G135" s="166">
        <f>AVERAGE(C135:E135)</f>
        <v>0.0014778564031127806</v>
      </c>
      <c r="H135" s="166">
        <f>STDEV(C135:E135)</f>
        <v>0.002022228375180499</v>
      </c>
      <c r="I135" s="166">
        <f>(B135*B4+C135*C4+D135*D4+E135*E4+F135*F4)/SUM(B4:F4)</f>
        <v>0.0010445305263839832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2003-07-16T08:26:23Z</cp:lastPrinted>
  <dcterms:created xsi:type="dcterms:W3CDTF">1999-06-17T15:15:05Z</dcterms:created>
  <dcterms:modified xsi:type="dcterms:W3CDTF">2003-09-26T12:50:30Z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-735563930</vt:i4>
  </property>
  <property fmtid="{D5CDD505-2E9C-101B-9397-08002B2CF9AE}" pid="3" name="_EmailSubject">
    <vt:lpwstr>WFM result of aperture 61, 58, 59, 60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