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7560" windowHeight="2535" firstSheet="5" activeTab="7"/>
  </bookViews>
  <sheets>
    <sheet name="Sommaire" sheetId="1" r:id="rId1"/>
    <sheet name="HCMQAP0006_001APER 2Aper 2_pos1" sheetId="2" r:id="rId2"/>
    <sheet name="HCMQAP0006_001APER 2Aper 2_pos2" sheetId="3" r:id="rId3"/>
    <sheet name="HCMQAP0006_001APER 2Aper 2_pos3" sheetId="4" r:id="rId4"/>
    <sheet name="HCMQAP0006_001APER 2Aper 2_pos4" sheetId="5" r:id="rId5"/>
    <sheet name="HCMQAP0006_001APER 2Aper 2_pos5" sheetId="6" r:id="rId6"/>
    <sheet name="Lmag_hcmqap" sheetId="7" r:id="rId7"/>
    <sheet name="Result_HCMQAP" sheetId="8" r:id="rId8"/>
  </sheets>
  <definedNames>
    <definedName name="_xlnm.Print_Area" localSheetId="1">'HCMQAP0006_001APER 2Aper 2_pos1'!$A$1:$N$28</definedName>
    <definedName name="_xlnm.Print_Area" localSheetId="2">'HCMQAP0006_001APER 2Aper 2_pos2'!$A$1:$N$28</definedName>
    <definedName name="_xlnm.Print_Area" localSheetId="3">'HCMQAP0006_001APER 2Aper 2_pos3'!$A$1:$N$28</definedName>
    <definedName name="_xlnm.Print_Area" localSheetId="4">'HCMQAP0006_001APER 2Aper 2_pos4'!$A$1:$N$28</definedName>
    <definedName name="_xlnm.Print_Area" localSheetId="5">'HCMQAP0006_001APER 2Aper 2_pos5'!$A$1:$N$28</definedName>
    <definedName name="_xlnm.Print_Area" localSheetId="6">'Lmag_hcmqap'!$A$1:$G$54</definedName>
  </definedNames>
  <calcPr fullCalcOnLoad="1"/>
</workbook>
</file>

<file path=xl/sharedStrings.xml><?xml version="1.0" encoding="utf-8"?>
<sst xmlns="http://schemas.openxmlformats.org/spreadsheetml/2006/main" count="525" uniqueCount="189">
  <si>
    <t>Bench Number</t>
  </si>
  <si>
    <t>Valeurs dipôlaires en Teslas (signal absolu mesuré par la bobine externe corrigé de la dérive de l'électronique)</t>
  </si>
  <si>
    <t>Magnet Name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</si>
  <si>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</si>
  <si>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</si>
  <si>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</si>
  <si>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</si>
  <si>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</si>
  <si>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</si>
  <si>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</si>
  <si>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</si>
  <si>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</si>
  <si>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</si>
  <si>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</si>
  <si>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</si>
  <si>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</si>
  <si>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</si>
  <si>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</si>
  <si>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</si>
  <si>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</si>
  <si>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</si>
  <si>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</si>
  <si>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</si>
  <si>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</si>
  <si>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</si>
  <si>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</si>
  <si>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</si>
  <si>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</si>
  <si>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</si>
  <si>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</si>
  <si>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</si>
  <si>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</si>
  <si>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</si>
  <si>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</si>
  <si>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</si>
  <si>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</si>
  <si>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</si>
  <si>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</si>
  <si>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</si>
  <si>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</si>
  <si>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</si>
  <si>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</si>
  <si>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</si>
  <si>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</si>
  <si>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</si>
  <si>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</si>
  <si>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</si>
  <si>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</si>
  <si>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</si>
  <si>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</si>
  <si>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</si>
  <si>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</si>
  <si>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</si>
  <si>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±12.5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</si>
  <si>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</si>
  <si>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</si>
  <si>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</si>
  <si>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</si>
  <si>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</si>
  <si>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</si>
  <si>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</si>
  <si>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</si>
  <si>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</si>
  <si>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</si>
  <si>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</si>
  <si>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</si>
  <si>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</si>
  <si>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</si>
  <si>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</si>
  <si>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</si>
  <si>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</si>
  <si>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</si>
  <si>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</si>
  <si>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</si>
  <si>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</si>
  <si>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</si>
  <si>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</si>
  <si>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</si>
  <si>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</si>
  <si>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</si>
  <si>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</si>
  <si>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</si>
  <si>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</si>
  <si>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</si>
  <si>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</si>
  <si>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</si>
  <si>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</si>
  <si>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</si>
  <si>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</si>
  <si>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</si>
  <si>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</si>
  <si>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</si>
  <si>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</si>
  <si>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</si>
  <si>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</si>
  <si>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</si>
  <si>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t>Gradient (T/m)</t>
  </si>
  <si>
    <t>hcmqap0006_001aper2aper2</t>
  </si>
  <si>
    <t>taupe_quadrupole#5</t>
  </si>
  <si>
    <t>ap6, tpe5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</si>
  <si>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-2.241 mT)</t>
    </r>
  </si>
  <si>
    <t>HCMQAP0006_001APER 2Aper 2_pos1</t>
  </si>
  <si>
    <t>THCMQAP0006_001APER 2Aper 2_pos1_9781424.xls</t>
  </si>
  <si>
    <t>HCMQAP0006_001APER 2Aper 2_pos2</t>
  </si>
  <si>
    <t>THCMQAP0006_001APER 2Aper 2_pos2_9781430.xls</t>
  </si>
  <si>
    <t>HCMQAP0006_001APER 2Aper 2_pos3</t>
  </si>
  <si>
    <t>THCMQAP0006_001APER 2Aper 2_pos3_9781437.xls</t>
  </si>
  <si>
    <t>HCMQAP0006_001APER 2Aper 2_pos4</t>
  </si>
  <si>
    <t>THCMQAP0006_001APER 2Aper 2_pos4_9781443.xls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</si>
  <si>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-2.12 mT)</t>
    </r>
  </si>
  <si>
    <t>HCMQAP0006_001APER 2Aper 2_pos5</t>
  </si>
  <si>
    <t>THCMQAP0006_001APER 2Aper 2_pos5_9781450.xls</t>
  </si>
  <si>
    <t>Sommaire : Valeurs intégrales calculées avec les fichiers: HCMQAP0006_001APER 2Aper 2_pos1+HCMQAP0006_001APER 2Aper 2_pos2+HCMQAP0006_001APER 2Aper 2_pos3+HCMQAP0006_001APER 2Aper 2_pos4+HCMQAP0006_001APER 2Aper 2_pos5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</si>
  <si>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</si>
  <si>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</si>
  <si>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</si>
  <si>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</si>
  <si>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t>Jour</t>
  </si>
  <si>
    <t>vit-esse</t>
  </si>
  <si>
    <t>I(A)</t>
  </si>
  <si>
    <t>NB mesures</t>
  </si>
  <si>
    <t>Posi-tion</t>
  </si>
  <si>
    <t>N° fich. Originel</t>
  </si>
  <si>
    <t>N° fich.  Epuré</t>
  </si>
  <si>
    <t>N° run</t>
  </si>
  <si>
    <t>NOM Fich.res</t>
  </si>
  <si>
    <t>NOM Fich.raw</t>
  </si>
  <si>
    <t>Observation</t>
  </si>
  <si>
    <t>Nombre de fichiers</t>
  </si>
  <si>
    <t>HCMQAP006_001APER 2Aper 2_pos1xx2</t>
  </si>
  <si>
    <t xml:space="preserve"> Thu 05/09/2002       14:55:25</t>
  </si>
  <si>
    <t>SIMON</t>
  </si>
  <si>
    <t>HCMQAP006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</si>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</sst>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dd/mm/yy"/>
    <numFmt numFmtId="187" formatCode="0.#"/>
    <numFmt numFmtId="188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left"/>
    </xf>
    <xf numFmtId="186" fontId="0" fillId="0" borderId="0" xfId="0" applyNumberFormat="1" applyAlignment="1">
      <alignment horizontal="left"/>
    </xf>
    <xf numFmtId="18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left"/>
    </xf>
    <xf numFmtId="181" fontId="2" fillId="0" borderId="4" xfId="0" applyNumberFormat="1" applyFont="1" applyFill="1" applyBorder="1" applyAlignment="1">
      <alignment horizontal="center"/>
    </xf>
    <xf numFmtId="181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181" fontId="2" fillId="0" borderId="8" xfId="0" applyNumberFormat="1" applyFont="1" applyFill="1" applyBorder="1" applyAlignment="1">
      <alignment horizontal="left"/>
    </xf>
    <xf numFmtId="181" fontId="2" fillId="0" borderId="9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82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84" fontId="2" fillId="0" borderId="7" xfId="0" applyNumberFormat="1" applyFont="1" applyFill="1" applyBorder="1" applyAlignment="1">
      <alignment horizontal="left"/>
    </xf>
    <xf numFmtId="181" fontId="2" fillId="0" borderId="12" xfId="0" applyNumberFormat="1" applyFont="1" applyFill="1" applyBorder="1" applyAlignment="1">
      <alignment horizontal="left"/>
    </xf>
    <xf numFmtId="181" fontId="2" fillId="0" borderId="13" xfId="0" applyNumberFormat="1" applyFont="1" applyFill="1" applyBorder="1" applyAlignment="1">
      <alignment horizontal="left"/>
    </xf>
    <xf numFmtId="181" fontId="2" fillId="0" borderId="13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181" fontId="2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left"/>
    </xf>
    <xf numFmtId="181" fontId="3" fillId="0" borderId="9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181" fontId="2" fillId="0" borderId="9" xfId="0" applyNumberFormat="1" applyFont="1" applyFill="1" applyBorder="1" applyAlignment="1">
      <alignment horizontal="left"/>
    </xf>
    <xf numFmtId="181" fontId="2" fillId="0" borderId="1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81" fontId="2" fillId="0" borderId="18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2" fillId="0" borderId="19" xfId="0" applyNumberFormat="1" applyFont="1" applyFill="1" applyBorder="1" applyAlignment="1">
      <alignment horizontal="center"/>
    </xf>
    <xf numFmtId="181" fontId="2" fillId="0" borderId="20" xfId="0" applyNumberFormat="1" applyFont="1" applyFill="1" applyBorder="1" applyAlignment="1">
      <alignment horizontal="center"/>
    </xf>
    <xf numFmtId="181" fontId="3" fillId="0" borderId="6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center"/>
    </xf>
    <xf numFmtId="181" fontId="2" fillId="0" borderId="7" xfId="0" applyNumberFormat="1" applyFont="1" applyFill="1" applyBorder="1" applyAlignment="1">
      <alignment horizontal="left"/>
    </xf>
    <xf numFmtId="181" fontId="2" fillId="0" borderId="6" xfId="0" applyNumberFormat="1" applyFont="1" applyFill="1" applyBorder="1" applyAlignment="1">
      <alignment horizontal="center"/>
    </xf>
    <xf numFmtId="183" fontId="2" fillId="0" borderId="7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2" fillId="2" borderId="6" xfId="0" applyNumberFormat="1" applyFont="1" applyFill="1" applyBorder="1" applyAlignment="1">
      <alignment horizontal="center"/>
    </xf>
    <xf numFmtId="185" fontId="2" fillId="0" borderId="7" xfId="0" applyNumberFormat="1" applyFont="1" applyFill="1" applyBorder="1" applyAlignment="1">
      <alignment horizontal="left"/>
    </xf>
    <xf numFmtId="181" fontId="2" fillId="0" borderId="21" xfId="0" applyNumberFormat="1" applyFont="1" applyFill="1" applyBorder="1" applyAlignment="1">
      <alignment horizontal="center"/>
    </xf>
    <xf numFmtId="181" fontId="2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81" fontId="2" fillId="0" borderId="23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1" fontId="2" fillId="0" borderId="2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81" fontId="6" fillId="0" borderId="24" xfId="0" applyNumberFormat="1" applyFont="1" applyFill="1" applyBorder="1" applyAlignment="1">
      <alignment horizontal="left"/>
    </xf>
    <xf numFmtId="181" fontId="6" fillId="0" borderId="25" xfId="0" applyNumberFormat="1" applyFont="1" applyFill="1" applyBorder="1" applyAlignment="1">
      <alignment horizontal="left"/>
    </xf>
    <xf numFmtId="181" fontId="7" fillId="0" borderId="25" xfId="0" applyNumberFormat="1" applyFont="1" applyFill="1" applyBorder="1" applyAlignment="1">
      <alignment horizontal="left"/>
    </xf>
    <xf numFmtId="181" fontId="6" fillId="0" borderId="26" xfId="0" applyNumberFormat="1" applyFont="1" applyFill="1" applyBorder="1" applyAlignment="1">
      <alignment horizontal="left"/>
    </xf>
    <xf numFmtId="181" fontId="6" fillId="0" borderId="27" xfId="0" applyNumberFormat="1" applyFont="1" applyFill="1" applyBorder="1" applyAlignment="1">
      <alignment horizontal="left"/>
    </xf>
    <xf numFmtId="181" fontId="6" fillId="0" borderId="28" xfId="0" applyNumberFormat="1" applyFont="1" applyFill="1" applyBorder="1" applyAlignment="1">
      <alignment horizontal="left"/>
    </xf>
    <xf numFmtId="181" fontId="6" fillId="0" borderId="28" xfId="0" applyNumberFormat="1" applyFont="1" applyFill="1" applyBorder="1" applyAlignment="1">
      <alignment horizontal="center"/>
    </xf>
    <xf numFmtId="181" fontId="6" fillId="0" borderId="29" xfId="0" applyNumberFormat="1" applyFont="1" applyFill="1" applyBorder="1" applyAlignment="1">
      <alignment horizontal="left"/>
    </xf>
    <xf numFmtId="181" fontId="6" fillId="0" borderId="30" xfId="0" applyNumberFormat="1" applyFont="1" applyFill="1" applyBorder="1" applyAlignment="1">
      <alignment horizontal="left"/>
    </xf>
    <xf numFmtId="181" fontId="6" fillId="0" borderId="31" xfId="0" applyNumberFormat="1" applyFont="1" applyFill="1" applyBorder="1" applyAlignment="1">
      <alignment horizontal="left"/>
    </xf>
    <xf numFmtId="181" fontId="6" fillId="0" borderId="32" xfId="0" applyNumberFormat="1" applyFont="1" applyFill="1" applyBorder="1" applyAlignment="1">
      <alignment horizontal="left"/>
    </xf>
    <xf numFmtId="181" fontId="6" fillId="0" borderId="32" xfId="0" applyNumberFormat="1" applyFont="1" applyFill="1" applyBorder="1" applyAlignment="1">
      <alignment horizontal="center"/>
    </xf>
    <xf numFmtId="181" fontId="6" fillId="0" borderId="33" xfId="0" applyNumberFormat="1" applyFont="1" applyFill="1" applyBorder="1" applyAlignment="1">
      <alignment horizontal="left"/>
    </xf>
    <xf numFmtId="181" fontId="6" fillId="0" borderId="34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181" fontId="6" fillId="0" borderId="36" xfId="0" applyNumberFormat="1" applyFont="1" applyFill="1" applyBorder="1" applyAlignment="1">
      <alignment horizontal="left" vertical="center"/>
    </xf>
    <xf numFmtId="181" fontId="6" fillId="0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81" fontId="2" fillId="2" borderId="11" xfId="0" applyNumberFormat="1" applyFont="1" applyFill="1" applyBorder="1" applyAlignment="1">
      <alignment horizontal="center"/>
    </xf>
    <xf numFmtId="181" fontId="3" fillId="2" borderId="11" xfId="0" applyNumberFormat="1" applyFont="1" applyFill="1" applyBorder="1" applyAlignment="1">
      <alignment horizontal="center"/>
    </xf>
    <xf numFmtId="181" fontId="3" fillId="2" borderId="6" xfId="0" applyNumberFormat="1" applyFont="1" applyFill="1" applyBorder="1" applyAlignment="1">
      <alignment horizontal="center"/>
    </xf>
    <xf numFmtId="186" fontId="0" fillId="3" borderId="0" xfId="0" applyNumberFormat="1" applyFill="1" applyAlignment="1">
      <alignment horizontal="left"/>
    </xf>
    <xf numFmtId="187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188" fontId="3" fillId="0" borderId="11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188" fontId="2" fillId="2" borderId="11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>
      <alignment horizontal="center"/>
    </xf>
    <xf numFmtId="188" fontId="0" fillId="0" borderId="39" xfId="0" applyNumberFormat="1" applyBorder="1" applyAlignment="1">
      <alignment horizontal="left"/>
    </xf>
    <xf numFmtId="188" fontId="0" fillId="0" borderId="40" xfId="0" applyNumberFormat="1" applyBorder="1" applyAlignment="1">
      <alignment horizontal="center"/>
    </xf>
    <xf numFmtId="188" fontId="0" fillId="0" borderId="11" xfId="0" applyNumberFormat="1" applyBorder="1" applyAlignment="1">
      <alignment horizontal="center"/>
    </xf>
    <xf numFmtId="188" fontId="0" fillId="0" borderId="41" xfId="0" applyNumberFormat="1" applyBorder="1" applyAlignment="1">
      <alignment horizontal="center"/>
    </xf>
    <xf numFmtId="188" fontId="0" fillId="0" borderId="42" xfId="0" applyNumberFormat="1" applyBorder="1" applyAlignment="1">
      <alignment horizontal="center"/>
    </xf>
    <xf numFmtId="188" fontId="0" fillId="0" borderId="39" xfId="0" applyNumberFormat="1" applyBorder="1" applyAlignment="1">
      <alignment horizontal="center"/>
    </xf>
    <xf numFmtId="188" fontId="0" fillId="0" borderId="38" xfId="0" applyNumberFormat="1" applyBorder="1" applyAlignment="1">
      <alignment horizontal="center"/>
    </xf>
    <xf numFmtId="188" fontId="0" fillId="0" borderId="43" xfId="0" applyNumberFormat="1" applyBorder="1" applyAlignment="1">
      <alignment horizontal="left"/>
    </xf>
    <xf numFmtId="188" fontId="0" fillId="0" borderId="16" xfId="0" applyNumberFormat="1" applyBorder="1" applyAlignment="1">
      <alignment horizontal="center"/>
    </xf>
    <xf numFmtId="188" fontId="0" fillId="0" borderId="44" xfId="0" applyNumberFormat="1" applyBorder="1" applyAlignment="1">
      <alignment horizontal="center"/>
    </xf>
    <xf numFmtId="188" fontId="0" fillId="0" borderId="45" xfId="0" applyNumberFormat="1" applyBorder="1" applyAlignment="1">
      <alignment horizontal="left"/>
    </xf>
    <xf numFmtId="188" fontId="0" fillId="0" borderId="10" xfId="0" applyNumberFormat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8" fontId="2" fillId="2" borderId="10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>
      <alignment horizontal="center"/>
    </xf>
    <xf numFmtId="188" fontId="0" fillId="0" borderId="45" xfId="0" applyNumberFormat="1" applyBorder="1" applyAlignment="1">
      <alignment horizontal="center"/>
    </xf>
    <xf numFmtId="188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188" fontId="3" fillId="0" borderId="51" xfId="0" applyNumberFormat="1" applyFont="1" applyFill="1" applyBorder="1" applyAlignment="1">
      <alignment horizontal="center"/>
    </xf>
    <xf numFmtId="188" fontId="3" fillId="0" borderId="52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188" fontId="0" fillId="0" borderId="54" xfId="0" applyNumberFormat="1" applyBorder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55" xfId="0" applyNumberFormat="1" applyBorder="1" applyAlignment="1">
      <alignment horizontal="center"/>
    </xf>
    <xf numFmtId="188" fontId="3" fillId="0" borderId="56" xfId="0" applyNumberFormat="1" applyFont="1" applyFill="1" applyBorder="1" applyAlignment="1">
      <alignment horizontal="center"/>
    </xf>
    <xf numFmtId="188" fontId="2" fillId="0" borderId="16" xfId="0" applyNumberFormat="1" applyFont="1" applyFill="1" applyBorder="1" applyAlignment="1">
      <alignment horizontal="center"/>
    </xf>
    <xf numFmtId="188" fontId="3" fillId="2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188" fontId="2" fillId="0" borderId="57" xfId="0" applyNumberFormat="1" applyFont="1" applyFill="1" applyBorder="1" applyAlignment="1">
      <alignment horizontal="center"/>
    </xf>
    <xf numFmtId="188" fontId="0" fillId="0" borderId="58" xfId="0" applyNumberFormat="1" applyBorder="1" applyAlignment="1">
      <alignment horizontal="center"/>
    </xf>
    <xf numFmtId="188" fontId="0" fillId="0" borderId="59" xfId="0" applyNumberFormat="1" applyBorder="1" applyAlignment="1">
      <alignment horizontal="center"/>
    </xf>
    <xf numFmtId="188" fontId="0" fillId="0" borderId="60" xfId="0" applyNumberFormat="1" applyBorder="1" applyAlignment="1">
      <alignment horizontal="center"/>
    </xf>
    <xf numFmtId="188" fontId="0" fillId="0" borderId="61" xfId="0" applyNumberFormat="1" applyBorder="1" applyAlignment="1">
      <alignment horizontal="center"/>
    </xf>
    <xf numFmtId="188" fontId="10" fillId="0" borderId="62" xfId="0" applyNumberFormat="1" applyFont="1" applyBorder="1" applyAlignment="1">
      <alignment horizontal="center"/>
    </xf>
    <xf numFmtId="188" fontId="10" fillId="0" borderId="63" xfId="0" applyNumberFormat="1" applyFont="1" applyBorder="1" applyAlignment="1">
      <alignment horizontal="center"/>
    </xf>
    <xf numFmtId="2" fontId="10" fillId="0" borderId="63" xfId="0" applyNumberFormat="1" applyFont="1" applyBorder="1" applyAlignment="1">
      <alignment horizontal="center"/>
    </xf>
    <xf numFmtId="188" fontId="2" fillId="2" borderId="16" xfId="0" applyNumberFormat="1" applyFont="1" applyFill="1" applyBorder="1" applyAlignment="1">
      <alignment horizontal="center"/>
    </xf>
    <xf numFmtId="186" fontId="2" fillId="0" borderId="64" xfId="0" applyNumberFormat="1" applyFont="1" applyFill="1" applyBorder="1" applyAlignment="1">
      <alignment horizontal="left" vertical="top"/>
    </xf>
    <xf numFmtId="187" fontId="2" fillId="0" borderId="64" xfId="0" applyNumberFormat="1" applyFont="1" applyFill="1" applyBorder="1" applyAlignment="1">
      <alignment horizontal="center" vertical="top" wrapText="1"/>
    </xf>
    <xf numFmtId="1" fontId="2" fillId="0" borderId="64" xfId="0" applyNumberFormat="1" applyFont="1" applyFill="1" applyBorder="1" applyAlignment="1">
      <alignment horizontal="center" vertical="top" wrapText="1"/>
    </xf>
    <xf numFmtId="181" fontId="2" fillId="0" borderId="64" xfId="0" applyNumberFormat="1" applyFont="1" applyFill="1" applyBorder="1" applyAlignment="1">
      <alignment horizontal="center" vertical="top" wrapText="1"/>
    </xf>
    <xf numFmtId="181" fontId="2" fillId="0" borderId="64" xfId="0" applyNumberFormat="1" applyFont="1" applyFill="1" applyBorder="1" applyAlignment="1">
      <alignment horizontal="left" vertical="top" wrapText="1"/>
    </xf>
    <xf numFmtId="181" fontId="2" fillId="0" borderId="64" xfId="0" applyNumberFormat="1" applyFont="1" applyFill="1" applyBorder="1" applyAlignment="1">
      <alignment horizontal="right" vertical="top" wrapText="1"/>
    </xf>
    <xf numFmtId="181" fontId="2" fillId="0" borderId="65" xfId="0" applyNumberFormat="1" applyFont="1" applyFill="1" applyBorder="1" applyAlignment="1">
      <alignment horizontal="center" vertical="top" wrapText="1"/>
    </xf>
    <xf numFmtId="181" fontId="2" fillId="0" borderId="66" xfId="0" applyNumberFormat="1" applyFont="1" applyFill="1" applyBorder="1" applyAlignment="1">
      <alignment horizontal="left" vertical="top" wrapText="1"/>
    </xf>
    <xf numFmtId="1" fontId="2" fillId="0" borderId="65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3" fillId="0" borderId="0" xfId="19" applyFont="1">
      <alignment/>
      <protection/>
    </xf>
    <xf numFmtId="0" fontId="1" fillId="0" borderId="0" xfId="19" applyFont="1">
      <alignment/>
      <protection/>
    </xf>
    <xf numFmtId="11" fontId="1" fillId="0" borderId="0" xfId="19" applyNumberFormat="1" applyFont="1">
      <alignment/>
      <protection/>
    </xf>
    <xf numFmtId="181" fontId="2" fillId="0" borderId="55" xfId="0" applyNumberFormat="1" applyFont="1" applyFill="1" applyBorder="1" applyAlignment="1">
      <alignment horizontal="center"/>
    </xf>
    <xf numFmtId="181" fontId="2" fillId="0" borderId="54" xfId="0" applyNumberFormat="1" applyFont="1" applyFill="1" applyBorder="1" applyAlignment="1">
      <alignment horizontal="center"/>
    </xf>
    <xf numFmtId="181" fontId="2" fillId="0" borderId="67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-1.8248332</c:v>
                </c:pt>
                <c:pt idx="1">
                  <c:v>0.74892115</c:v>
                </c:pt>
                <c:pt idx="2">
                  <c:v>1.4897265999999998</c:v>
                </c:pt>
                <c:pt idx="3">
                  <c:v>-0.26447981800000003</c:v>
                </c:pt>
                <c:pt idx="4">
                  <c:v>-0.9994874199999998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-0.70690846</c:v>
                </c:pt>
                <c:pt idx="1">
                  <c:v>0.0014787000000000016</c:v>
                </c:pt>
                <c:pt idx="2">
                  <c:v>-0.5969453100000001</c:v>
                </c:pt>
                <c:pt idx="3">
                  <c:v>0.8039831100000001</c:v>
                </c:pt>
                <c:pt idx="4">
                  <c:v>4.1240583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3.5459566000000002</c:v>
                </c:pt>
                <c:pt idx="1">
                  <c:v>4.5719875000000005</c:v>
                </c:pt>
                <c:pt idx="2">
                  <c:v>4.8240008</c:v>
                </c:pt>
                <c:pt idx="3">
                  <c:v>3.9412906</c:v>
                </c:pt>
                <c:pt idx="4">
                  <c:v>13.997298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0.42175834000000006</c:v>
                </c:pt>
                <c:pt idx="1">
                  <c:v>0.12749563199999997</c:v>
                </c:pt>
                <c:pt idx="2">
                  <c:v>0.15816002099999998</c:v>
                </c:pt>
                <c:pt idx="3">
                  <c:v>-0.29353346</c:v>
                </c:pt>
                <c:pt idx="4">
                  <c:v>2.8613792999999994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-0.35085900999999997</c:v>
                </c:pt>
                <c:pt idx="1">
                  <c:v>-0.077602438</c:v>
                </c:pt>
                <c:pt idx="2">
                  <c:v>0.039680543</c:v>
                </c:pt>
                <c:pt idx="3">
                  <c:v>0.064601416</c:v>
                </c:pt>
                <c:pt idx="4">
                  <c:v>-0.25574568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-0.0031678189999999997</c:v>
                </c:pt>
                <c:pt idx="1">
                  <c:v>0.030606862040000005</c:v>
                </c:pt>
                <c:pt idx="2">
                  <c:v>0.015108628999999998</c:v>
                </c:pt>
                <c:pt idx="3">
                  <c:v>-0.042294122600000005</c:v>
                </c:pt>
                <c:pt idx="4">
                  <c:v>0.11521430299999999</c:v>
                </c:pt>
              </c:numCache>
            </c:numRef>
          </c:val>
          <c:smooth val="0"/>
        </c:ser>
        <c:marker val="1"/>
        <c:axId val="11860493"/>
        <c:axId val="39635574"/>
      </c:lineChart>
      <c:catAx>
        <c:axId val="11860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635574"/>
        <c:crosses val="autoZero"/>
        <c:auto val="1"/>
        <c:lblOffset val="100"/>
        <c:noMultiLvlLbl val="0"/>
      </c:catAx>
      <c:valAx>
        <c:axId val="39635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18604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85725</xdr:rowOff>
    </xdr:from>
    <xdr:to>
      <xdr:col>6</xdr:col>
      <xdr:colOff>723900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38100" y="5905500"/>
        <a:ext cx="53721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9"/>
  <sheetViews>
    <sheetView workbookViewId="0" topLeftCell="A1">
      <selection activeCell="A2" sqref="A2"/>
    </sheetView>
  </sheetViews>
  <sheetFormatPr defaultColWidth="9.33203125" defaultRowHeight="12.75"/>
  <cols>
    <col min="1" max="1" width="12" style="2" customWidth="1"/>
    <col min="2" max="3" width="12" style="3" customWidth="1"/>
    <col min="4" max="5" width="12" style="4" customWidth="1"/>
    <col min="6" max="7" width="12" style="5" customWidth="1"/>
    <col min="8" max="8" width="12" style="4" customWidth="1"/>
    <col min="9" max="9" width="12" style="1" customWidth="1"/>
    <col min="10" max="10" width="12" style="6" customWidth="1"/>
    <col min="11" max="11" width="12" style="1" customWidth="1"/>
    <col min="12" max="16384" width="12" style="0" customWidth="1"/>
  </cols>
  <sheetData>
    <row r="1" spans="1:14" s="145" customFormat="1" ht="29.25" customHeight="1" thickBot="1">
      <c r="A1" s="136" t="s">
        <v>117</v>
      </c>
      <c r="B1" s="137" t="s">
        <v>118</v>
      </c>
      <c r="C1" s="137" t="s">
        <v>119</v>
      </c>
      <c r="D1" s="138" t="s">
        <v>120</v>
      </c>
      <c r="E1" s="138" t="s">
        <v>121</v>
      </c>
      <c r="F1" s="139" t="s">
        <v>122</v>
      </c>
      <c r="G1" s="139" t="s">
        <v>123</v>
      </c>
      <c r="H1" s="138" t="s">
        <v>124</v>
      </c>
      <c r="I1" s="140" t="s">
        <v>125</v>
      </c>
      <c r="J1" s="141" t="s">
        <v>126</v>
      </c>
      <c r="K1" s="142" t="s">
        <v>127</v>
      </c>
      <c r="L1" s="142"/>
      <c r="M1" s="143" t="s">
        <v>128</v>
      </c>
      <c r="N1" s="144">
        <v>0</v>
      </c>
    </row>
    <row r="2" spans="1:11" s="86" customFormat="1" ht="13.5" thickTop="1">
      <c r="A2" s="82">
        <v>43960</v>
      </c>
      <c r="B2" s="83">
        <v>80</v>
      </c>
      <c r="C2" s="83" t="s">
        <v>53</v>
      </c>
      <c r="D2" s="84">
        <v>5</v>
      </c>
      <c r="E2" s="84">
        <v>1</v>
      </c>
      <c r="F2" s="85"/>
      <c r="G2" s="85" t="s">
        <v>101</v>
      </c>
      <c r="H2" s="84">
        <v>978</v>
      </c>
      <c r="I2" s="86" t="s">
        <v>102</v>
      </c>
      <c r="J2" s="87"/>
      <c r="K2" s="86" t="s">
        <v>99</v>
      </c>
    </row>
    <row r="3" spans="1:11" s="86" customFormat="1" ht="12.75">
      <c r="A3" s="82">
        <v>43960</v>
      </c>
      <c r="B3" s="83">
        <v>80</v>
      </c>
      <c r="C3" s="83" t="s">
        <v>53</v>
      </c>
      <c r="D3" s="84">
        <v>5</v>
      </c>
      <c r="E3" s="84">
        <v>2</v>
      </c>
      <c r="F3" s="85"/>
      <c r="G3" s="85" t="s">
        <v>103</v>
      </c>
      <c r="H3" s="84">
        <v>978</v>
      </c>
      <c r="I3" s="86" t="s">
        <v>104</v>
      </c>
      <c r="J3" s="87"/>
      <c r="K3" s="86" t="s">
        <v>99</v>
      </c>
    </row>
    <row r="4" spans="1:11" s="86" customFormat="1" ht="12.75">
      <c r="A4" s="82">
        <v>43960</v>
      </c>
      <c r="B4" s="83">
        <v>80</v>
      </c>
      <c r="C4" s="83" t="s">
        <v>53</v>
      </c>
      <c r="D4" s="84">
        <v>5</v>
      </c>
      <c r="E4" s="84">
        <v>3</v>
      </c>
      <c r="F4" s="85"/>
      <c r="G4" s="85" t="s">
        <v>105</v>
      </c>
      <c r="H4" s="84">
        <v>978</v>
      </c>
      <c r="I4" s="86" t="s">
        <v>106</v>
      </c>
      <c r="J4" s="87"/>
      <c r="K4" s="86" t="s">
        <v>99</v>
      </c>
    </row>
    <row r="5" spans="1:11" s="86" customFormat="1" ht="12.75">
      <c r="A5" s="82">
        <v>43960</v>
      </c>
      <c r="B5" s="83">
        <v>80</v>
      </c>
      <c r="C5" s="83" t="s">
        <v>53</v>
      </c>
      <c r="D5" s="84">
        <v>5</v>
      </c>
      <c r="E5" s="84">
        <v>4</v>
      </c>
      <c r="F5" s="85"/>
      <c r="G5" s="85" t="s">
        <v>107</v>
      </c>
      <c r="H5" s="84">
        <v>978</v>
      </c>
      <c r="I5" s="86" t="s">
        <v>108</v>
      </c>
      <c r="J5" s="87"/>
      <c r="K5" s="86" t="s">
        <v>99</v>
      </c>
    </row>
    <row r="6" spans="1:11" s="86" customFormat="1" ht="12.75">
      <c r="A6" s="82">
        <v>43960</v>
      </c>
      <c r="B6" s="83">
        <v>80</v>
      </c>
      <c r="C6" s="83" t="s">
        <v>53</v>
      </c>
      <c r="D6" s="84">
        <v>5</v>
      </c>
      <c r="E6" s="84">
        <v>5</v>
      </c>
      <c r="F6" s="85"/>
      <c r="G6" s="85" t="s">
        <v>110</v>
      </c>
      <c r="H6" s="84">
        <v>978</v>
      </c>
      <c r="I6" s="86" t="s">
        <v>111</v>
      </c>
      <c r="J6" s="87"/>
      <c r="K6" s="86" t="s">
        <v>99</v>
      </c>
    </row>
    <row r="7" spans="1:10" s="86" customFormat="1" ht="12.75">
      <c r="A7" s="82" t="s">
        <v>112</v>
      </c>
      <c r="B7" s="83"/>
      <c r="C7" s="83"/>
      <c r="D7" s="84"/>
      <c r="E7" s="84"/>
      <c r="F7" s="85"/>
      <c r="G7" s="85"/>
      <c r="H7" s="84"/>
      <c r="J7" s="87"/>
    </row>
    <row r="8" spans="1:10" s="86" customFormat="1" ht="12.75">
      <c r="A8" s="82"/>
      <c r="B8" s="83"/>
      <c r="C8" s="83"/>
      <c r="D8" s="84"/>
      <c r="E8" s="84"/>
      <c r="F8" s="85"/>
      <c r="G8" s="85"/>
      <c r="H8" s="84"/>
      <c r="J8" s="87"/>
    </row>
    <row r="9" spans="1:10" s="86" customFormat="1" ht="12.75">
      <c r="A9" s="82"/>
      <c r="B9" s="83"/>
      <c r="C9" s="83"/>
      <c r="D9" s="84"/>
      <c r="E9" s="84"/>
      <c r="F9" s="85"/>
      <c r="G9" s="85"/>
      <c r="H9" s="84"/>
      <c r="J9" s="8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28"/>
  <sheetViews>
    <sheetView workbookViewId="0" topLeftCell="A1">
      <selection activeCell="B2" sqref="B2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5" customWidth="1"/>
    <col min="5" max="7" width="9.33203125" style="55" customWidth="1"/>
    <col min="8" max="8" width="10.83203125" style="55" customWidth="1"/>
    <col min="9" max="14" width="8.83203125" style="55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97</v>
      </c>
      <c r="D2" s="15" t="s">
        <v>38</v>
      </c>
      <c r="E2" s="16"/>
      <c r="F2" s="16"/>
      <c r="G2" s="16"/>
      <c r="H2" s="16"/>
      <c r="I2" s="16"/>
      <c r="J2" s="17"/>
      <c r="K2" s="18">
        <v>3.5604255800000004E-05</v>
      </c>
      <c r="L2" s="18">
        <v>1.8234972551993052E-07</v>
      </c>
      <c r="M2" s="18">
        <v>4.7638323E-05</v>
      </c>
      <c r="N2" s="19">
        <v>2.1800991478905117E-07</v>
      </c>
    </row>
    <row r="3" spans="1:14" ht="15" customHeight="1">
      <c r="A3" s="20" t="s">
        <v>3</v>
      </c>
      <c r="B3" s="21">
        <v>2</v>
      </c>
      <c r="D3" s="15" t="s">
        <v>39</v>
      </c>
      <c r="E3" s="16"/>
      <c r="F3" s="16"/>
      <c r="G3" s="16"/>
      <c r="H3" s="16"/>
      <c r="I3" s="16"/>
      <c r="J3" s="17"/>
      <c r="K3" s="18">
        <v>-3.21804642E-05</v>
      </c>
      <c r="L3" s="18">
        <v>9.428869223328869E-08</v>
      </c>
      <c r="M3" s="18">
        <v>1.3993429000000002E-05</v>
      </c>
      <c r="N3" s="19">
        <v>9.620872639202744E-08</v>
      </c>
    </row>
    <row r="4" spans="1:14" ht="15" customHeight="1">
      <c r="A4" s="20" t="s">
        <v>4</v>
      </c>
      <c r="B4" s="21">
        <v>2</v>
      </c>
      <c r="D4" s="15" t="s">
        <v>40</v>
      </c>
      <c r="E4" s="16"/>
      <c r="F4" s="16"/>
      <c r="G4" s="16"/>
      <c r="H4" s="16"/>
      <c r="I4" s="16"/>
      <c r="J4" s="17"/>
      <c r="K4" s="18">
        <v>-0.002239725569599827</v>
      </c>
      <c r="L4" s="18">
        <v>-6.995880102702697E-05</v>
      </c>
      <c r="M4" s="18">
        <v>3.824316856100163E-08</v>
      </c>
      <c r="N4" s="19">
        <v>15.612641</v>
      </c>
    </row>
    <row r="5" spans="1:14" ht="15" customHeight="1" thickBot="1">
      <c r="A5" t="s">
        <v>5</v>
      </c>
      <c r="B5" s="22">
        <v>37504.60010416667</v>
      </c>
      <c r="D5" s="23"/>
      <c r="E5" s="24" t="s">
        <v>100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6</v>
      </c>
      <c r="B6" s="21">
        <v>978</v>
      </c>
      <c r="D6" s="27"/>
      <c r="E6" s="28" t="s">
        <v>7</v>
      </c>
      <c r="F6" s="29"/>
      <c r="G6" s="30"/>
      <c r="H6" s="31" t="s">
        <v>8</v>
      </c>
      <c r="I6" s="32"/>
      <c r="J6" s="29"/>
      <c r="K6" s="33" t="s">
        <v>41</v>
      </c>
      <c r="L6" s="16"/>
      <c r="M6" s="16"/>
      <c r="N6" s="34"/>
    </row>
    <row r="7" spans="1:14" ht="15" customHeight="1" thickBot="1">
      <c r="A7" s="20" t="s">
        <v>9</v>
      </c>
      <c r="B7" s="35" t="s">
        <v>10</v>
      </c>
      <c r="D7" s="36" t="s">
        <v>42</v>
      </c>
      <c r="E7" s="37" t="s">
        <v>43</v>
      </c>
      <c r="F7" s="38" t="s">
        <v>44</v>
      </c>
      <c r="G7" s="37" t="s">
        <v>45</v>
      </c>
      <c r="H7" s="39"/>
      <c r="I7" s="151" t="s">
        <v>11</v>
      </c>
      <c r="J7" s="152"/>
      <c r="K7" s="151" t="s">
        <v>12</v>
      </c>
      <c r="L7" s="152"/>
      <c r="M7" s="151" t="s">
        <v>13</v>
      </c>
      <c r="N7" s="153"/>
    </row>
    <row r="8" spans="1:14" ht="15" customHeight="1">
      <c r="A8" s="20" t="s">
        <v>14</v>
      </c>
      <c r="B8" s="35" t="s">
        <v>98</v>
      </c>
      <c r="D8" s="40">
        <v>-1.8248332</v>
      </c>
      <c r="E8" s="41">
        <v>0.015482458211138781</v>
      </c>
      <c r="F8" s="41">
        <v>-0.70690846</v>
      </c>
      <c r="G8" s="41">
        <v>0.012452735931491491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15</v>
      </c>
      <c r="B9" s="45">
        <v>0.017</v>
      </c>
      <c r="D9" s="46">
        <v>0.2018253934</v>
      </c>
      <c r="E9" s="43">
        <v>0.019635229984509756</v>
      </c>
      <c r="F9" s="43">
        <v>-0.60288528</v>
      </c>
      <c r="G9" s="43">
        <v>0.017727385010164357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16</v>
      </c>
      <c r="B10" s="35" t="s">
        <v>17</v>
      </c>
      <c r="D10" s="46">
        <v>-0.5638500000000001</v>
      </c>
      <c r="E10" s="43">
        <v>0.0031660291478347903</v>
      </c>
      <c r="F10" s="43">
        <v>-0.8916575100000002</v>
      </c>
      <c r="G10" s="43">
        <v>0.004104710553169439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18</v>
      </c>
      <c r="B11" s="21">
        <v>1</v>
      </c>
      <c r="D11" s="40">
        <v>3.5459566000000002</v>
      </c>
      <c r="E11" s="41">
        <v>0.012099660943134348</v>
      </c>
      <c r="F11" s="41">
        <v>0.42175834000000006</v>
      </c>
      <c r="G11" s="41">
        <v>0.009424127807249823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19</v>
      </c>
      <c r="B12" s="47">
        <v>0.7499</v>
      </c>
      <c r="D12" s="46">
        <v>0.22042149000000003</v>
      </c>
      <c r="E12" s="43">
        <v>0.008183484385113004</v>
      </c>
      <c r="F12" s="43">
        <v>0.034674433</v>
      </c>
      <c r="G12" s="43">
        <v>0.006728006381878387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20</v>
      </c>
      <c r="B13" s="45">
        <v>23.864747</v>
      </c>
      <c r="D13" s="46">
        <v>0.06516550699999998</v>
      </c>
      <c r="E13" s="43">
        <v>0.0028593281041159615</v>
      </c>
      <c r="F13" s="43">
        <v>-0.09154253</v>
      </c>
      <c r="G13" s="43">
        <v>0.005792084545509672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21</v>
      </c>
      <c r="B14" s="48">
        <v>12.5</v>
      </c>
      <c r="D14" s="46">
        <v>-0.061457405</v>
      </c>
      <c r="E14" s="43">
        <v>0.0038149545052202118</v>
      </c>
      <c r="F14" s="43">
        <v>0.027418641131</v>
      </c>
      <c r="G14" s="43">
        <v>0.0037950314326830686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22</v>
      </c>
      <c r="B15" s="45">
        <v>0</v>
      </c>
      <c r="D15" s="40">
        <v>-0.35085900999999997</v>
      </c>
      <c r="E15" s="41">
        <v>0.0017221714660304165</v>
      </c>
      <c r="F15" s="41">
        <v>-0.0031678189999999997</v>
      </c>
      <c r="G15" s="41">
        <v>0.001428843015962216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23</v>
      </c>
      <c r="B16" s="45">
        <v>12.505</v>
      </c>
      <c r="D16" s="46">
        <v>0.013001684199999999</v>
      </c>
      <c r="E16" s="43">
        <v>0.002900994417643814</v>
      </c>
      <c r="F16" s="43">
        <v>-0.0009499609999999995</v>
      </c>
      <c r="G16" s="43">
        <v>0.001795946018079051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24</v>
      </c>
      <c r="B17" s="45">
        <v>-0.2639999985694885</v>
      </c>
      <c r="D17" s="46">
        <v>0.0179802153</v>
      </c>
      <c r="E17" s="43">
        <v>0.0011266907218519667</v>
      </c>
      <c r="F17" s="43">
        <v>-0.045096498</v>
      </c>
      <c r="G17" s="43">
        <v>0.0015844038170573452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25</v>
      </c>
      <c r="B18" s="45">
        <v>56.965999603271484</v>
      </c>
      <c r="D18" s="46">
        <v>0.037213518</v>
      </c>
      <c r="E18" s="43">
        <v>0.0014824599291940357</v>
      </c>
      <c r="F18" s="43">
        <v>0.073261876</v>
      </c>
      <c r="G18" s="43">
        <v>0.0014284243480614503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26</v>
      </c>
      <c r="B19" s="45">
        <v>-0.42899999022483826</v>
      </c>
      <c r="D19" s="49">
        <v>-0.18737501</v>
      </c>
      <c r="E19" s="43">
        <v>0.0014158013587347933</v>
      </c>
      <c r="F19" s="43">
        <v>-0.013620374999999999</v>
      </c>
      <c r="G19" s="43">
        <v>0.0006143161650241963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27</v>
      </c>
      <c r="B20" s="50">
        <v>0.28126360000000006</v>
      </c>
      <c r="D20" s="51">
        <v>0.004743995415999999</v>
      </c>
      <c r="E20" s="52">
        <v>0.0020142507734296146</v>
      </c>
      <c r="F20" s="52">
        <v>0.00310163799</v>
      </c>
      <c r="G20" s="52">
        <v>0.0013714371305112573</v>
      </c>
      <c r="H20" s="53">
        <v>15</v>
      </c>
      <c r="I20" s="52">
        <v>0</v>
      </c>
      <c r="J20" s="52">
        <v>0</v>
      </c>
      <c r="K20" s="52">
        <v>0</v>
      </c>
      <c r="L20" s="52">
        <v>0</v>
      </c>
      <c r="M20" s="52">
        <v>0.05</v>
      </c>
      <c r="N20" s="54">
        <v>0.05</v>
      </c>
    </row>
    <row r="21" spans="1:6" ht="15" customHeight="1">
      <c r="A21" s="20" t="s">
        <v>28</v>
      </c>
      <c r="B21" s="50">
        <v>0.35279840000000007</v>
      </c>
      <c r="F21" s="55" t="s">
        <v>46</v>
      </c>
    </row>
    <row r="22" spans="1:6" ht="15" customHeight="1">
      <c r="A22" s="20" t="s">
        <v>29</v>
      </c>
      <c r="B22" s="35" t="s">
        <v>30</v>
      </c>
      <c r="F22" s="55" t="s">
        <v>47</v>
      </c>
    </row>
    <row r="23" spans="1:2" ht="15" customHeight="1" thickBot="1">
      <c r="A23" s="56" t="s">
        <v>31</v>
      </c>
      <c r="B23" s="57">
        <v>15</v>
      </c>
    </row>
    <row r="24" spans="1:12" ht="18" customHeight="1" thickBot="1" thickTop="1">
      <c r="A24" s="58" t="s">
        <v>48</v>
      </c>
      <c r="B24" s="59">
        <v>0.8945391919378404</v>
      </c>
      <c r="E24" s="60"/>
      <c r="F24" s="61"/>
      <c r="G24" s="62" t="s">
        <v>32</v>
      </c>
      <c r="H24" s="61"/>
      <c r="I24" s="61"/>
      <c r="J24" s="61"/>
      <c r="K24" s="61"/>
      <c r="L24" s="63"/>
    </row>
    <row r="25" spans="1:12" ht="18" customHeight="1">
      <c r="A25" s="7" t="s">
        <v>33</v>
      </c>
      <c r="B25" s="8">
        <v>10</v>
      </c>
      <c r="E25" s="64" t="s">
        <v>49</v>
      </c>
      <c r="F25" s="65"/>
      <c r="G25" s="66"/>
      <c r="H25" s="67">
        <v>-2.2408178999999997</v>
      </c>
      <c r="I25" s="65" t="s">
        <v>50</v>
      </c>
      <c r="J25" s="66"/>
      <c r="K25" s="65"/>
      <c r="L25" s="68">
        <v>3.570950616634612</v>
      </c>
    </row>
    <row r="26" spans="1:12" ht="18" customHeight="1" thickBot="1">
      <c r="A26" s="20" t="s">
        <v>34</v>
      </c>
      <c r="B26" s="21" t="s">
        <v>35</v>
      </c>
      <c r="E26" s="69" t="s">
        <v>51</v>
      </c>
      <c r="F26" s="70"/>
      <c r="G26" s="71"/>
      <c r="H26" s="72">
        <v>1.9569710725102227</v>
      </c>
      <c r="I26" s="70" t="s">
        <v>52</v>
      </c>
      <c r="J26" s="71"/>
      <c r="K26" s="70"/>
      <c r="L26" s="73">
        <v>0.3508733104346879</v>
      </c>
    </row>
    <row r="27" spans="1:2" ht="15" customHeight="1" thickBot="1" thickTop="1">
      <c r="A27" s="56" t="s">
        <v>36</v>
      </c>
      <c r="B27" s="57">
        <v>80</v>
      </c>
    </row>
    <row r="28" spans="1:14" s="78" customFormat="1" ht="18" customHeight="1" thickBot="1">
      <c r="A28" s="74" t="s">
        <v>37</v>
      </c>
      <c r="B28" s="75" t="s">
        <v>99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HCMQAP0006_001APER 2Aper 2_pos1_9781424res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5" customWidth="1"/>
    <col min="5" max="7" width="9.33203125" style="55" customWidth="1"/>
    <col min="8" max="8" width="10.83203125" style="55" customWidth="1"/>
    <col min="9" max="14" width="8.83203125" style="55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97</v>
      </c>
      <c r="D2" s="15" t="s">
        <v>38</v>
      </c>
      <c r="E2" s="16"/>
      <c r="F2" s="16"/>
      <c r="G2" s="16"/>
      <c r="H2" s="16"/>
      <c r="I2" s="16"/>
      <c r="J2" s="17"/>
      <c r="K2" s="18">
        <v>5.0138884000000005E-05</v>
      </c>
      <c r="L2" s="18">
        <v>8.522213487779614E-08</v>
      </c>
      <c r="M2" s="18">
        <v>8.225629899999999E-05</v>
      </c>
      <c r="N2" s="19">
        <v>2.0321448490093708E-07</v>
      </c>
    </row>
    <row r="3" spans="1:14" ht="15" customHeight="1">
      <c r="A3" s="20" t="s">
        <v>3</v>
      </c>
      <c r="B3" s="21">
        <v>2</v>
      </c>
      <c r="D3" s="15" t="s">
        <v>39</v>
      </c>
      <c r="E3" s="16"/>
      <c r="F3" s="16"/>
      <c r="G3" s="16"/>
      <c r="H3" s="16"/>
      <c r="I3" s="16"/>
      <c r="J3" s="17"/>
      <c r="K3" s="18">
        <v>-2.9317652E-05</v>
      </c>
      <c r="L3" s="18">
        <v>1.231832607380084E-07</v>
      </c>
      <c r="M3" s="18">
        <v>1.3184104999999998E-05</v>
      </c>
      <c r="N3" s="19">
        <v>1.8253545236466239E-07</v>
      </c>
    </row>
    <row r="4" spans="1:14" ht="15" customHeight="1">
      <c r="A4" s="20" t="s">
        <v>4</v>
      </c>
      <c r="B4" s="21">
        <v>2</v>
      </c>
      <c r="D4" s="15" t="s">
        <v>40</v>
      </c>
      <c r="E4" s="16"/>
      <c r="F4" s="16"/>
      <c r="G4" s="16"/>
      <c r="H4" s="16"/>
      <c r="I4" s="16"/>
      <c r="J4" s="17"/>
      <c r="K4" s="18">
        <v>-0.003762763004637135</v>
      </c>
      <c r="L4" s="18">
        <v>-9.859437055109701E-05</v>
      </c>
      <c r="M4" s="18">
        <v>6.930513766586466E-08</v>
      </c>
      <c r="N4" s="19">
        <v>13.098329000000001</v>
      </c>
    </row>
    <row r="5" spans="1:14" ht="15" customHeight="1" thickBot="1">
      <c r="A5" t="s">
        <v>5</v>
      </c>
      <c r="B5" s="22">
        <v>37504.60460648148</v>
      </c>
      <c r="D5" s="23"/>
      <c r="E5" s="24" t="s">
        <v>55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6</v>
      </c>
      <c r="B6" s="21">
        <v>978</v>
      </c>
      <c r="D6" s="27"/>
      <c r="E6" s="28" t="s">
        <v>7</v>
      </c>
      <c r="F6" s="29"/>
      <c r="G6" s="30"/>
      <c r="H6" s="31" t="s">
        <v>8</v>
      </c>
      <c r="I6" s="32"/>
      <c r="J6" s="29"/>
      <c r="K6" s="33" t="s">
        <v>41</v>
      </c>
      <c r="L6" s="16"/>
      <c r="M6" s="16"/>
      <c r="N6" s="34"/>
    </row>
    <row r="7" spans="1:14" ht="15" customHeight="1" thickBot="1">
      <c r="A7" s="20" t="s">
        <v>9</v>
      </c>
      <c r="B7" s="35" t="s">
        <v>10</v>
      </c>
      <c r="D7" s="36" t="s">
        <v>42</v>
      </c>
      <c r="E7" s="37" t="s">
        <v>43</v>
      </c>
      <c r="F7" s="38" t="s">
        <v>44</v>
      </c>
      <c r="G7" s="37" t="s">
        <v>45</v>
      </c>
      <c r="H7" s="39"/>
      <c r="I7" s="151" t="s">
        <v>11</v>
      </c>
      <c r="J7" s="152"/>
      <c r="K7" s="151" t="s">
        <v>12</v>
      </c>
      <c r="L7" s="152"/>
      <c r="M7" s="151" t="s">
        <v>13</v>
      </c>
      <c r="N7" s="153"/>
    </row>
    <row r="8" spans="1:14" ht="15" customHeight="1">
      <c r="A8" s="20" t="s">
        <v>14</v>
      </c>
      <c r="B8" s="35" t="s">
        <v>98</v>
      </c>
      <c r="D8" s="40">
        <v>0.74892115</v>
      </c>
      <c r="E8" s="41">
        <v>0.012587392290418458</v>
      </c>
      <c r="F8" s="41">
        <v>0.0014787000000000016</v>
      </c>
      <c r="G8" s="41">
        <v>0.010201783280143236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15</v>
      </c>
      <c r="B9" s="45">
        <v>0.017</v>
      </c>
      <c r="D9" s="46">
        <v>0.0813366</v>
      </c>
      <c r="E9" s="43">
        <v>0.0059873328932840515</v>
      </c>
      <c r="F9" s="43">
        <v>-0.11294738600000001</v>
      </c>
      <c r="G9" s="43">
        <v>0.009979721454735154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16</v>
      </c>
      <c r="B10" s="35" t="s">
        <v>17</v>
      </c>
      <c r="D10" s="46">
        <v>-1.356345</v>
      </c>
      <c r="E10" s="43">
        <v>0.006041507800233454</v>
      </c>
      <c r="F10" s="43">
        <v>-0.69227846</v>
      </c>
      <c r="G10" s="43">
        <v>0.0068051192415189655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18</v>
      </c>
      <c r="B11" s="21">
        <v>2</v>
      </c>
      <c r="D11" s="40">
        <v>4.5719875000000005</v>
      </c>
      <c r="E11" s="41">
        <v>0.005540704936666526</v>
      </c>
      <c r="F11" s="41">
        <v>0.12749563199999997</v>
      </c>
      <c r="G11" s="41">
        <v>0.0036853409333738414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19</v>
      </c>
      <c r="B12" s="47">
        <v>0.7499</v>
      </c>
      <c r="D12" s="46">
        <v>0.37803105</v>
      </c>
      <c r="E12" s="43">
        <v>0.004668054874357917</v>
      </c>
      <c r="F12" s="43">
        <v>-0.0011117050000000004</v>
      </c>
      <c r="G12" s="43">
        <v>0.003757289128213319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20</v>
      </c>
      <c r="B13" s="45">
        <v>23.971558</v>
      </c>
      <c r="D13" s="46">
        <v>0.0189331097</v>
      </c>
      <c r="E13" s="43">
        <v>0.0032070494744963407</v>
      </c>
      <c r="F13" s="43">
        <v>0.0059855659999999995</v>
      </c>
      <c r="G13" s="43">
        <v>0.0022557237146809436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21</v>
      </c>
      <c r="B14" s="48">
        <v>12.5</v>
      </c>
      <c r="D14" s="46">
        <v>-0.10153767899999999</v>
      </c>
      <c r="E14" s="43">
        <v>0.0014182220960923004</v>
      </c>
      <c r="F14" s="43">
        <v>-0.005343835999999999</v>
      </c>
      <c r="G14" s="43">
        <v>0.0023441834494009415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22</v>
      </c>
      <c r="B15" s="45">
        <v>0</v>
      </c>
      <c r="D15" s="40">
        <v>-0.077602438</v>
      </c>
      <c r="E15" s="41">
        <v>0.0019846982192003124</v>
      </c>
      <c r="F15" s="41">
        <v>0.030606862040000005</v>
      </c>
      <c r="G15" s="41">
        <v>0.002040424273279938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23</v>
      </c>
      <c r="B16" s="45">
        <v>12.505</v>
      </c>
      <c r="D16" s="46">
        <v>0.00994856</v>
      </c>
      <c r="E16" s="43">
        <v>0.0033080239171067068</v>
      </c>
      <c r="F16" s="43">
        <v>0.0114998456</v>
      </c>
      <c r="G16" s="43">
        <v>0.0016264440044404238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24</v>
      </c>
      <c r="B17" s="45">
        <v>0.4059999883174896</v>
      </c>
      <c r="D17" s="46">
        <v>0.0136755533</v>
      </c>
      <c r="E17" s="43">
        <v>0.000783379073678101</v>
      </c>
      <c r="F17" s="43">
        <v>-0.026919977500000004</v>
      </c>
      <c r="G17" s="43">
        <v>0.0015172230217628778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25</v>
      </c>
      <c r="B18" s="45">
        <v>-1.5260000228881836</v>
      </c>
      <c r="D18" s="46">
        <v>0.03570782</v>
      </c>
      <c r="E18" s="43">
        <v>0.0007399797539528009</v>
      </c>
      <c r="F18" s="43">
        <v>0.06334258</v>
      </c>
      <c r="G18" s="43">
        <v>0.0013825657711987907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26</v>
      </c>
      <c r="B19" s="45">
        <v>0.14900000393390656</v>
      </c>
      <c r="D19" s="49">
        <v>-0.17353949</v>
      </c>
      <c r="E19" s="43">
        <v>0.0006267396456246317</v>
      </c>
      <c r="F19" s="43">
        <v>-0.0017493731300000002</v>
      </c>
      <c r="G19" s="43">
        <v>0.0007210490998009246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27</v>
      </c>
      <c r="B20" s="50">
        <v>0.23609850000000004</v>
      </c>
      <c r="D20" s="51">
        <v>0.0049406415000000006</v>
      </c>
      <c r="E20" s="52">
        <v>0.0006604933660406451</v>
      </c>
      <c r="F20" s="52">
        <v>0.004502808839999999</v>
      </c>
      <c r="G20" s="52">
        <v>0.0005393242592745703</v>
      </c>
      <c r="H20" s="53">
        <v>15</v>
      </c>
      <c r="I20" s="52">
        <v>0</v>
      </c>
      <c r="J20" s="52">
        <v>0</v>
      </c>
      <c r="K20" s="52">
        <v>0</v>
      </c>
      <c r="L20" s="52">
        <v>0</v>
      </c>
      <c r="M20" s="52">
        <v>0.05</v>
      </c>
      <c r="N20" s="54">
        <v>0.05</v>
      </c>
    </row>
    <row r="21" spans="1:6" ht="15" customHeight="1">
      <c r="A21" s="20" t="s">
        <v>28</v>
      </c>
      <c r="B21" s="50">
        <v>0.3654335000000001</v>
      </c>
      <c r="F21" s="55" t="s">
        <v>46</v>
      </c>
    </row>
    <row r="22" spans="1:6" ht="15" customHeight="1">
      <c r="A22" s="20" t="s">
        <v>29</v>
      </c>
      <c r="B22" s="35" t="s">
        <v>30</v>
      </c>
      <c r="F22" s="55" t="s">
        <v>47</v>
      </c>
    </row>
    <row r="23" spans="1:2" ht="15" customHeight="1" thickBot="1">
      <c r="A23" s="56" t="s">
        <v>31</v>
      </c>
      <c r="B23" s="57">
        <v>15</v>
      </c>
    </row>
    <row r="24" spans="1:12" ht="18" customHeight="1" thickBot="1" thickTop="1">
      <c r="A24" s="58" t="s">
        <v>48</v>
      </c>
      <c r="B24" s="59">
        <v>0.7504796042768154</v>
      </c>
      <c r="E24" s="60"/>
      <c r="F24" s="61"/>
      <c r="G24" s="62" t="s">
        <v>32</v>
      </c>
      <c r="H24" s="61"/>
      <c r="I24" s="61"/>
      <c r="J24" s="61"/>
      <c r="K24" s="61"/>
      <c r="L24" s="63"/>
    </row>
    <row r="25" spans="1:12" ht="18" customHeight="1">
      <c r="A25" s="7" t="s">
        <v>33</v>
      </c>
      <c r="B25" s="8">
        <v>10</v>
      </c>
      <c r="E25" s="64" t="s">
        <v>49</v>
      </c>
      <c r="F25" s="65"/>
      <c r="G25" s="66"/>
      <c r="H25" s="67">
        <v>-3.7640545</v>
      </c>
      <c r="I25" s="65" t="s">
        <v>50</v>
      </c>
      <c r="J25" s="66"/>
      <c r="K25" s="65"/>
      <c r="L25" s="68">
        <v>4.573764842701834</v>
      </c>
    </row>
    <row r="26" spans="1:12" ht="18" customHeight="1" thickBot="1">
      <c r="A26" s="20" t="s">
        <v>34</v>
      </c>
      <c r="B26" s="21" t="s">
        <v>35</v>
      </c>
      <c r="E26" s="69" t="s">
        <v>51</v>
      </c>
      <c r="F26" s="70"/>
      <c r="G26" s="71"/>
      <c r="H26" s="72">
        <v>0.7489226098009143</v>
      </c>
      <c r="I26" s="70" t="s">
        <v>52</v>
      </c>
      <c r="J26" s="71"/>
      <c r="K26" s="70"/>
      <c r="L26" s="73">
        <v>0.08342013178771318</v>
      </c>
    </row>
    <row r="27" spans="1:2" ht="15" customHeight="1" thickBot="1" thickTop="1">
      <c r="A27" s="56" t="s">
        <v>36</v>
      </c>
      <c r="B27" s="57">
        <v>80</v>
      </c>
    </row>
    <row r="28" spans="1:14" s="78" customFormat="1" ht="18" customHeight="1" thickBot="1">
      <c r="A28" s="74" t="s">
        <v>37</v>
      </c>
      <c r="B28" s="75" t="s">
        <v>99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HCMQAP0006_001APER 2Aper 2_pos2_9781430res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5" customWidth="1"/>
    <col min="5" max="7" width="9.33203125" style="55" customWidth="1"/>
    <col min="8" max="8" width="10.83203125" style="55" customWidth="1"/>
    <col min="9" max="14" width="8.83203125" style="55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97</v>
      </c>
      <c r="D2" s="15" t="s">
        <v>38</v>
      </c>
      <c r="E2" s="16"/>
      <c r="F2" s="16"/>
      <c r="G2" s="16"/>
      <c r="H2" s="16"/>
      <c r="I2" s="16"/>
      <c r="J2" s="17"/>
      <c r="K2" s="18">
        <v>3.26287276E-05</v>
      </c>
      <c r="L2" s="18">
        <v>7.390131281252319E-08</v>
      </c>
      <c r="M2" s="18">
        <v>8.495191599999999E-05</v>
      </c>
      <c r="N2" s="19">
        <v>1.8051870330842718E-07</v>
      </c>
    </row>
    <row r="3" spans="1:14" ht="15" customHeight="1">
      <c r="A3" s="20" t="s">
        <v>3</v>
      </c>
      <c r="B3" s="21">
        <v>2</v>
      </c>
      <c r="D3" s="15" t="s">
        <v>39</v>
      </c>
      <c r="E3" s="16"/>
      <c r="F3" s="16"/>
      <c r="G3" s="16"/>
      <c r="H3" s="16"/>
      <c r="I3" s="16"/>
      <c r="J3" s="17"/>
      <c r="K3" s="18">
        <v>-2.80907164E-05</v>
      </c>
      <c r="L3" s="18">
        <v>1.2455409359116733E-07</v>
      </c>
      <c r="M3" s="18">
        <v>1.1563781999999998E-05</v>
      </c>
      <c r="N3" s="19">
        <v>1.0829219406771318E-07</v>
      </c>
    </row>
    <row r="4" spans="1:14" ht="15" customHeight="1">
      <c r="A4" s="20" t="s">
        <v>4</v>
      </c>
      <c r="B4" s="21">
        <v>2</v>
      </c>
      <c r="D4" s="15" t="s">
        <v>40</v>
      </c>
      <c r="E4" s="16"/>
      <c r="F4" s="16"/>
      <c r="G4" s="16"/>
      <c r="H4" s="16"/>
      <c r="I4" s="16"/>
      <c r="J4" s="17"/>
      <c r="K4" s="18">
        <v>-0.003763126780024552</v>
      </c>
      <c r="L4" s="18">
        <v>-7.978607784752176E-05</v>
      </c>
      <c r="M4" s="18">
        <v>5.5512157637755936E-08</v>
      </c>
      <c r="N4" s="19">
        <v>10.599447000000001</v>
      </c>
    </row>
    <row r="5" spans="1:14" ht="15" customHeight="1" thickBot="1">
      <c r="A5" t="s">
        <v>5</v>
      </c>
      <c r="B5" s="22">
        <v>37504.60909722222</v>
      </c>
      <c r="D5" s="23"/>
      <c r="E5" s="24" t="s">
        <v>55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6</v>
      </c>
      <c r="B6" s="21">
        <v>978</v>
      </c>
      <c r="D6" s="27"/>
      <c r="E6" s="28" t="s">
        <v>7</v>
      </c>
      <c r="F6" s="29"/>
      <c r="G6" s="30"/>
      <c r="H6" s="31" t="s">
        <v>8</v>
      </c>
      <c r="I6" s="32"/>
      <c r="J6" s="29"/>
      <c r="K6" s="33" t="s">
        <v>41</v>
      </c>
      <c r="L6" s="16"/>
      <c r="M6" s="16"/>
      <c r="N6" s="34"/>
    </row>
    <row r="7" spans="1:14" ht="15" customHeight="1" thickBot="1">
      <c r="A7" s="20" t="s">
        <v>9</v>
      </c>
      <c r="B7" s="35" t="s">
        <v>10</v>
      </c>
      <c r="D7" s="36" t="s">
        <v>42</v>
      </c>
      <c r="E7" s="37" t="s">
        <v>43</v>
      </c>
      <c r="F7" s="38" t="s">
        <v>44</v>
      </c>
      <c r="G7" s="37" t="s">
        <v>45</v>
      </c>
      <c r="H7" s="39"/>
      <c r="I7" s="151" t="s">
        <v>11</v>
      </c>
      <c r="J7" s="152"/>
      <c r="K7" s="151" t="s">
        <v>12</v>
      </c>
      <c r="L7" s="152"/>
      <c r="M7" s="151" t="s">
        <v>13</v>
      </c>
      <c r="N7" s="153"/>
    </row>
    <row r="8" spans="1:14" ht="15" customHeight="1">
      <c r="A8" s="20" t="s">
        <v>14</v>
      </c>
      <c r="B8" s="35" t="s">
        <v>98</v>
      </c>
      <c r="D8" s="40">
        <v>1.4897265999999998</v>
      </c>
      <c r="E8" s="41">
        <v>0.007289574695453514</v>
      </c>
      <c r="F8" s="41">
        <v>-0.5969453100000001</v>
      </c>
      <c r="G8" s="41">
        <v>0.01004871139028816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15</v>
      </c>
      <c r="B9" s="45">
        <v>0.017</v>
      </c>
      <c r="D9" s="46">
        <v>0.10109900000000001</v>
      </c>
      <c r="E9" s="43">
        <v>0.014334088894345542</v>
      </c>
      <c r="F9" s="43">
        <v>0.16234551999999997</v>
      </c>
      <c r="G9" s="43">
        <v>0.011797076039875641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16</v>
      </c>
      <c r="B10" s="35" t="s">
        <v>17</v>
      </c>
      <c r="D10" s="46">
        <v>-0.89338891</v>
      </c>
      <c r="E10" s="43">
        <v>0.004089076911627125</v>
      </c>
      <c r="F10" s="43">
        <v>-0.9387401499999999</v>
      </c>
      <c r="G10" s="43">
        <v>0.006435039971918089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18</v>
      </c>
      <c r="B11" s="21">
        <v>3</v>
      </c>
      <c r="D11" s="40">
        <v>4.8240008</v>
      </c>
      <c r="E11" s="41">
        <v>0.0057092930173757855</v>
      </c>
      <c r="F11" s="41">
        <v>0.15816002099999998</v>
      </c>
      <c r="G11" s="41">
        <v>0.008081866695870006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19</v>
      </c>
      <c r="B12" s="47">
        <v>0.7499</v>
      </c>
      <c r="D12" s="46">
        <v>0.068394678</v>
      </c>
      <c r="E12" s="43">
        <v>0.0028911387426438936</v>
      </c>
      <c r="F12" s="43">
        <v>-0.0287804591</v>
      </c>
      <c r="G12" s="43">
        <v>0.003945575747765615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20</v>
      </c>
      <c r="B13" s="45">
        <v>24.069215</v>
      </c>
      <c r="D13" s="46">
        <v>-0.05602979</v>
      </c>
      <c r="E13" s="43">
        <v>0.0017238563582648238</v>
      </c>
      <c r="F13" s="43">
        <v>0.09694319700000001</v>
      </c>
      <c r="G13" s="43">
        <v>0.002800306367890052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21</v>
      </c>
      <c r="B14" s="48">
        <v>12.5</v>
      </c>
      <c r="D14" s="46">
        <v>-0.012946518927</v>
      </c>
      <c r="E14" s="43">
        <v>0.003248058075245076</v>
      </c>
      <c r="F14" s="43">
        <v>-0.054969449999999996</v>
      </c>
      <c r="G14" s="43">
        <v>0.003169949870775599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22</v>
      </c>
      <c r="B15" s="45">
        <v>0</v>
      </c>
      <c r="D15" s="40">
        <v>0.039680543</v>
      </c>
      <c r="E15" s="41">
        <v>0.0012423176034919588</v>
      </c>
      <c r="F15" s="41">
        <v>0.015108628999999998</v>
      </c>
      <c r="G15" s="41">
        <v>0.0013438415265030331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23</v>
      </c>
      <c r="B16" s="45">
        <v>12.505</v>
      </c>
      <c r="D16" s="46">
        <v>0.0249406862</v>
      </c>
      <c r="E16" s="43">
        <v>0.0016285756450732096</v>
      </c>
      <c r="F16" s="43">
        <v>-0.00270466626</v>
      </c>
      <c r="G16" s="43">
        <v>0.0021999670788652973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24</v>
      </c>
      <c r="B17" s="45">
        <v>-0.30399999022483826</v>
      </c>
      <c r="D17" s="46">
        <v>0.022886654</v>
      </c>
      <c r="E17" s="43">
        <v>0.0016348812395657357</v>
      </c>
      <c r="F17" s="43">
        <v>-0.007199346800000001</v>
      </c>
      <c r="G17" s="43">
        <v>0.000583207460507628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25</v>
      </c>
      <c r="B18" s="45">
        <v>40.180999755859375</v>
      </c>
      <c r="D18" s="46">
        <v>0.021930658999999998</v>
      </c>
      <c r="E18" s="43">
        <v>0.0011558923203716528</v>
      </c>
      <c r="F18" s="43">
        <v>0.07238634399999999</v>
      </c>
      <c r="G18" s="43">
        <v>0.0018185415207922517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26</v>
      </c>
      <c r="B19" s="45">
        <v>-0.414000004529953</v>
      </c>
      <c r="D19" s="49">
        <v>-0.19304059999999998</v>
      </c>
      <c r="E19" s="43">
        <v>0.0007480993897863084</v>
      </c>
      <c r="F19" s="43">
        <v>0.00122453305</v>
      </c>
      <c r="G19" s="43">
        <v>0.0009734918761454633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27</v>
      </c>
      <c r="B20" s="50">
        <v>0.1554692</v>
      </c>
      <c r="D20" s="51">
        <v>0.0005950526350000001</v>
      </c>
      <c r="E20" s="52">
        <v>0.0005029422632064644</v>
      </c>
      <c r="F20" s="52">
        <v>0.0019421172389999998</v>
      </c>
      <c r="G20" s="52">
        <v>0.00034307741327072505</v>
      </c>
      <c r="H20" s="53">
        <v>15</v>
      </c>
      <c r="I20" s="52">
        <v>0</v>
      </c>
      <c r="J20" s="52">
        <v>0</v>
      </c>
      <c r="K20" s="52">
        <v>0</v>
      </c>
      <c r="L20" s="52">
        <v>0</v>
      </c>
      <c r="M20" s="52">
        <v>0.05</v>
      </c>
      <c r="N20" s="54">
        <v>0.05</v>
      </c>
    </row>
    <row r="21" spans="1:6" ht="15" customHeight="1">
      <c r="A21" s="20" t="s">
        <v>28</v>
      </c>
      <c r="B21" s="50">
        <v>0.3804679999999999</v>
      </c>
      <c r="F21" s="55" t="s">
        <v>46</v>
      </c>
    </row>
    <row r="22" spans="1:6" ht="15" customHeight="1">
      <c r="A22" s="20" t="s">
        <v>29</v>
      </c>
      <c r="B22" s="35" t="s">
        <v>30</v>
      </c>
      <c r="F22" s="55" t="s">
        <v>47</v>
      </c>
    </row>
    <row r="23" spans="1:2" ht="15" customHeight="1" thickBot="1">
      <c r="A23" s="56" t="s">
        <v>31</v>
      </c>
      <c r="B23" s="57">
        <v>15</v>
      </c>
    </row>
    <row r="24" spans="1:12" ht="18" customHeight="1" thickBot="1" thickTop="1">
      <c r="A24" s="58" t="s">
        <v>48</v>
      </c>
      <c r="B24" s="59">
        <v>0.607304091240423</v>
      </c>
      <c r="E24" s="60"/>
      <c r="F24" s="61"/>
      <c r="G24" s="62" t="s">
        <v>32</v>
      </c>
      <c r="H24" s="61"/>
      <c r="I24" s="61"/>
      <c r="J24" s="61"/>
      <c r="K24" s="61"/>
      <c r="L24" s="63"/>
    </row>
    <row r="25" spans="1:12" ht="18" customHeight="1">
      <c r="A25" s="7" t="s">
        <v>33</v>
      </c>
      <c r="B25" s="8">
        <v>10</v>
      </c>
      <c r="E25" s="64" t="s">
        <v>49</v>
      </c>
      <c r="F25" s="65"/>
      <c r="G25" s="66"/>
      <c r="H25" s="67">
        <v>-3.7639724999999995</v>
      </c>
      <c r="I25" s="65" t="s">
        <v>50</v>
      </c>
      <c r="J25" s="66"/>
      <c r="K25" s="65"/>
      <c r="L25" s="68">
        <v>4.826592826274386</v>
      </c>
    </row>
    <row r="26" spans="1:12" ht="18" customHeight="1" thickBot="1">
      <c r="A26" s="20" t="s">
        <v>34</v>
      </c>
      <c r="B26" s="21" t="s">
        <v>35</v>
      </c>
      <c r="E26" s="69" t="s">
        <v>51</v>
      </c>
      <c r="F26" s="70"/>
      <c r="G26" s="71"/>
      <c r="H26" s="72">
        <v>1.6048766450660796</v>
      </c>
      <c r="I26" s="70" t="s">
        <v>52</v>
      </c>
      <c r="J26" s="71"/>
      <c r="K26" s="70"/>
      <c r="L26" s="73">
        <v>0.042459582699721506</v>
      </c>
    </row>
    <row r="27" spans="1:2" ht="15" customHeight="1" thickBot="1" thickTop="1">
      <c r="A27" s="56" t="s">
        <v>36</v>
      </c>
      <c r="B27" s="57">
        <v>80</v>
      </c>
    </row>
    <row r="28" spans="1:14" s="78" customFormat="1" ht="18" customHeight="1" thickBot="1">
      <c r="A28" s="74" t="s">
        <v>37</v>
      </c>
      <c r="B28" s="75" t="s">
        <v>99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HCMQAP0006_001APER 2Aper 2_pos3_9781437res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5" customWidth="1"/>
    <col min="5" max="7" width="9.33203125" style="55" customWidth="1"/>
    <col min="8" max="8" width="10.83203125" style="55" customWidth="1"/>
    <col min="9" max="14" width="8.83203125" style="55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97</v>
      </c>
      <c r="D2" s="15" t="s">
        <v>38</v>
      </c>
      <c r="E2" s="16"/>
      <c r="F2" s="16"/>
      <c r="G2" s="16"/>
      <c r="H2" s="16"/>
      <c r="I2" s="16"/>
      <c r="J2" s="17"/>
      <c r="K2" s="18">
        <v>5.1860516E-05</v>
      </c>
      <c r="L2" s="18">
        <v>1.7215854243516107E-07</v>
      </c>
      <c r="M2" s="18">
        <v>0.0001119507</v>
      </c>
      <c r="N2" s="19">
        <v>2.1691471365228517E-07</v>
      </c>
    </row>
    <row r="3" spans="1:14" ht="15" customHeight="1">
      <c r="A3" s="20" t="s">
        <v>3</v>
      </c>
      <c r="B3" s="21">
        <v>2</v>
      </c>
      <c r="D3" s="15" t="s">
        <v>39</v>
      </c>
      <c r="E3" s="16"/>
      <c r="F3" s="16"/>
      <c r="G3" s="16"/>
      <c r="H3" s="16"/>
      <c r="I3" s="16"/>
      <c r="J3" s="17"/>
      <c r="K3" s="18">
        <v>-2.856052E-05</v>
      </c>
      <c r="L3" s="18">
        <v>8.61303135380353E-08</v>
      </c>
      <c r="M3" s="18">
        <v>1.0860719999999999E-05</v>
      </c>
      <c r="N3" s="19">
        <v>6.053650634127682E-08</v>
      </c>
    </row>
    <row r="4" spans="1:14" ht="15" customHeight="1">
      <c r="A4" s="20" t="s">
        <v>4</v>
      </c>
      <c r="B4" s="21">
        <v>2</v>
      </c>
      <c r="D4" s="15" t="s">
        <v>40</v>
      </c>
      <c r="E4" s="16"/>
      <c r="F4" s="16"/>
      <c r="G4" s="16"/>
      <c r="H4" s="16"/>
      <c r="I4" s="16"/>
      <c r="J4" s="17"/>
      <c r="K4" s="18">
        <v>-0.003765828030431286</v>
      </c>
      <c r="L4" s="18">
        <v>-5.199773251806567E-05</v>
      </c>
      <c r="M4" s="18">
        <v>7.905187036066686E-08</v>
      </c>
      <c r="N4" s="19">
        <v>6.9034523</v>
      </c>
    </row>
    <row r="5" spans="1:14" ht="15" customHeight="1" thickBot="1">
      <c r="A5" t="s">
        <v>5</v>
      </c>
      <c r="B5" s="22">
        <v>37504.61361111111</v>
      </c>
      <c r="D5" s="23"/>
      <c r="E5" s="24" t="s">
        <v>54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6</v>
      </c>
      <c r="B6" s="21">
        <v>978</v>
      </c>
      <c r="D6" s="27"/>
      <c r="E6" s="28" t="s">
        <v>7</v>
      </c>
      <c r="F6" s="29"/>
      <c r="G6" s="30"/>
      <c r="H6" s="31" t="s">
        <v>8</v>
      </c>
      <c r="I6" s="32"/>
      <c r="J6" s="29"/>
      <c r="K6" s="33" t="s">
        <v>41</v>
      </c>
      <c r="L6" s="16"/>
      <c r="M6" s="16"/>
      <c r="N6" s="34"/>
    </row>
    <row r="7" spans="1:14" ht="15" customHeight="1" thickBot="1">
      <c r="A7" s="20" t="s">
        <v>9</v>
      </c>
      <c r="B7" s="35" t="s">
        <v>10</v>
      </c>
      <c r="D7" s="36" t="s">
        <v>42</v>
      </c>
      <c r="E7" s="37" t="s">
        <v>43</v>
      </c>
      <c r="F7" s="38" t="s">
        <v>44</v>
      </c>
      <c r="G7" s="37" t="s">
        <v>45</v>
      </c>
      <c r="H7" s="39"/>
      <c r="I7" s="151" t="s">
        <v>11</v>
      </c>
      <c r="J7" s="152"/>
      <c r="K7" s="151" t="s">
        <v>12</v>
      </c>
      <c r="L7" s="152"/>
      <c r="M7" s="151" t="s">
        <v>13</v>
      </c>
      <c r="N7" s="153"/>
    </row>
    <row r="8" spans="1:14" ht="15" customHeight="1">
      <c r="A8" s="20" t="s">
        <v>14</v>
      </c>
      <c r="B8" s="35" t="s">
        <v>98</v>
      </c>
      <c r="D8" s="40">
        <v>-0.26447981800000003</v>
      </c>
      <c r="E8" s="41">
        <v>0.007528497287684055</v>
      </c>
      <c r="F8" s="41">
        <v>0.8039831100000001</v>
      </c>
      <c r="G8" s="41">
        <v>0.010291641239099139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15</v>
      </c>
      <c r="B9" s="45">
        <v>0.017</v>
      </c>
      <c r="D9" s="46">
        <v>-0.10187420999999999</v>
      </c>
      <c r="E9" s="43">
        <v>0.0022763632604230017</v>
      </c>
      <c r="F9" s="43">
        <v>1.4292679000000001</v>
      </c>
      <c r="G9" s="43">
        <v>0.015546734651980622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16</v>
      </c>
      <c r="B10" s="35" t="s">
        <v>17</v>
      </c>
      <c r="D10" s="46">
        <v>-0.8885400600000001</v>
      </c>
      <c r="E10" s="43">
        <v>0.008684711251237152</v>
      </c>
      <c r="F10" s="43">
        <v>-0.5219246399999999</v>
      </c>
      <c r="G10" s="43">
        <v>0.0036952275507103924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18</v>
      </c>
      <c r="B11" s="21">
        <v>4</v>
      </c>
      <c r="D11" s="40">
        <v>3.9412906</v>
      </c>
      <c r="E11" s="41">
        <v>0.0045776670628773775</v>
      </c>
      <c r="F11" s="41">
        <v>-0.29353346</v>
      </c>
      <c r="G11" s="41">
        <v>0.008735975567239759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19</v>
      </c>
      <c r="B12" s="47">
        <v>0.7499</v>
      </c>
      <c r="D12" s="46">
        <v>-0.023566615000000003</v>
      </c>
      <c r="E12" s="43">
        <v>0.0025936788912102903</v>
      </c>
      <c r="F12" s="43">
        <v>-0.18491058</v>
      </c>
      <c r="G12" s="43">
        <v>0.0018545111953304446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20</v>
      </c>
      <c r="B13" s="45">
        <v>24.163819</v>
      </c>
      <c r="D13" s="46">
        <v>-0.053637726</v>
      </c>
      <c r="E13" s="43">
        <v>0.0040036587046792865</v>
      </c>
      <c r="F13" s="43">
        <v>0.20069120000000001</v>
      </c>
      <c r="G13" s="43">
        <v>0.001688422200455776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21</v>
      </c>
      <c r="B14" s="48">
        <v>12.5</v>
      </c>
      <c r="D14" s="46">
        <v>-0.088173485</v>
      </c>
      <c r="E14" s="43">
        <v>0.0026933494741679873</v>
      </c>
      <c r="F14" s="43">
        <v>-0.084213872</v>
      </c>
      <c r="G14" s="43">
        <v>0.0027582611370256384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22</v>
      </c>
      <c r="B15" s="45">
        <v>0</v>
      </c>
      <c r="D15" s="40">
        <v>0.064601416</v>
      </c>
      <c r="E15" s="41">
        <v>0.0029747871374509864</v>
      </c>
      <c r="F15" s="41">
        <v>-0.042294122600000005</v>
      </c>
      <c r="G15" s="41">
        <v>0.001501252154487407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23</v>
      </c>
      <c r="B16" s="45">
        <v>12.505</v>
      </c>
      <c r="D16" s="46">
        <v>0.004624348000000001</v>
      </c>
      <c r="E16" s="43">
        <v>0.001316457080525607</v>
      </c>
      <c r="F16" s="43">
        <v>-0.024609249000000003</v>
      </c>
      <c r="G16" s="43">
        <v>0.0010557005372992157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24</v>
      </c>
      <c r="B17" s="45">
        <v>0.39500001072883606</v>
      </c>
      <c r="D17" s="46">
        <v>0.037917097</v>
      </c>
      <c r="E17" s="43">
        <v>0.0014885016770954445</v>
      </c>
      <c r="F17" s="43">
        <v>-0.026798481799999996</v>
      </c>
      <c r="G17" s="43">
        <v>0.0011966793037096932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25</v>
      </c>
      <c r="B18" s="45">
        <v>-2.5429999828338623</v>
      </c>
      <c r="D18" s="46">
        <v>0.04211251199999999</v>
      </c>
      <c r="E18" s="43">
        <v>0.001013043919786628</v>
      </c>
      <c r="F18" s="43">
        <v>0.090080125</v>
      </c>
      <c r="G18" s="43">
        <v>0.0014519716022459578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26</v>
      </c>
      <c r="B19" s="45">
        <v>0.2029999941587448</v>
      </c>
      <c r="D19" s="49">
        <v>-0.18909288000000002</v>
      </c>
      <c r="E19" s="43">
        <v>0.001264638855401994</v>
      </c>
      <c r="F19" s="43">
        <v>-0.009947578700000001</v>
      </c>
      <c r="G19" s="43">
        <v>0.001640957817381313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27</v>
      </c>
      <c r="B20" s="50">
        <v>0.2410432</v>
      </c>
      <c r="D20" s="51">
        <v>0.0032207996790999996</v>
      </c>
      <c r="E20" s="52">
        <v>0.0009503818453610078</v>
      </c>
      <c r="F20" s="52">
        <v>0.0033597226029999996</v>
      </c>
      <c r="G20" s="52">
        <v>0.000699287795861056</v>
      </c>
      <c r="H20" s="53">
        <v>15</v>
      </c>
      <c r="I20" s="52">
        <v>0</v>
      </c>
      <c r="J20" s="52">
        <v>0</v>
      </c>
      <c r="K20" s="52">
        <v>0</v>
      </c>
      <c r="L20" s="52">
        <v>0</v>
      </c>
      <c r="M20" s="52">
        <v>0.05</v>
      </c>
      <c r="N20" s="54">
        <v>0.05</v>
      </c>
    </row>
    <row r="21" spans="1:6" ht="15" customHeight="1">
      <c r="A21" s="20" t="s">
        <v>28</v>
      </c>
      <c r="B21" s="50">
        <v>0.5020353</v>
      </c>
      <c r="F21" s="55" t="s">
        <v>46</v>
      </c>
    </row>
    <row r="22" spans="1:6" ht="15" customHeight="1">
      <c r="A22" s="20" t="s">
        <v>29</v>
      </c>
      <c r="B22" s="35" t="s">
        <v>30</v>
      </c>
      <c r="F22" s="55" t="s">
        <v>47</v>
      </c>
    </row>
    <row r="23" spans="1:2" ht="15" customHeight="1" thickBot="1">
      <c r="A23" s="56" t="s">
        <v>31</v>
      </c>
      <c r="B23" s="57">
        <v>15</v>
      </c>
    </row>
    <row r="24" spans="1:12" ht="18" customHeight="1" thickBot="1" thickTop="1">
      <c r="A24" s="58" t="s">
        <v>48</v>
      </c>
      <c r="B24" s="59">
        <v>0.3955390149573942</v>
      </c>
      <c r="E24" s="60"/>
      <c r="F24" s="61"/>
      <c r="G24" s="62" t="s">
        <v>32</v>
      </c>
      <c r="H24" s="61"/>
      <c r="I24" s="61"/>
      <c r="J24" s="61"/>
      <c r="K24" s="61"/>
      <c r="L24" s="63"/>
    </row>
    <row r="25" spans="1:12" ht="18" customHeight="1">
      <c r="A25" s="7" t="s">
        <v>33</v>
      </c>
      <c r="B25" s="8">
        <v>10</v>
      </c>
      <c r="E25" s="64" t="s">
        <v>49</v>
      </c>
      <c r="F25" s="65"/>
      <c r="G25" s="66"/>
      <c r="H25" s="67">
        <v>-3.766187</v>
      </c>
      <c r="I25" s="65" t="s">
        <v>50</v>
      </c>
      <c r="J25" s="66"/>
      <c r="K25" s="65"/>
      <c r="L25" s="68">
        <v>3.95220615426219</v>
      </c>
    </row>
    <row r="26" spans="1:12" ht="18" customHeight="1" thickBot="1">
      <c r="A26" s="20" t="s">
        <v>34</v>
      </c>
      <c r="B26" s="21" t="s">
        <v>35</v>
      </c>
      <c r="E26" s="69" t="s">
        <v>51</v>
      </c>
      <c r="F26" s="70"/>
      <c r="G26" s="71"/>
      <c r="H26" s="72">
        <v>0.8463677777979177</v>
      </c>
      <c r="I26" s="70" t="s">
        <v>52</v>
      </c>
      <c r="J26" s="71"/>
      <c r="K26" s="70"/>
      <c r="L26" s="73">
        <v>0.07721486745251128</v>
      </c>
    </row>
    <row r="27" spans="1:2" ht="15" customHeight="1" thickBot="1" thickTop="1">
      <c r="A27" s="56" t="s">
        <v>36</v>
      </c>
      <c r="B27" s="57">
        <v>80</v>
      </c>
    </row>
    <row r="28" spans="1:14" s="78" customFormat="1" ht="18" customHeight="1" thickBot="1">
      <c r="A28" s="74" t="s">
        <v>37</v>
      </c>
      <c r="B28" s="75" t="s">
        <v>99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HCMQAP0006_001APER 2Aper 2_pos4_9781443res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B5" sqref="B5"/>
    </sheetView>
  </sheetViews>
  <sheetFormatPr defaultColWidth="9.33203125" defaultRowHeight="15" customHeight="1"/>
  <cols>
    <col min="1" max="1" width="26.33203125" style="9" customWidth="1"/>
    <col min="2" max="2" width="13.33203125" style="9" customWidth="1"/>
    <col min="3" max="3" width="1.83203125" style="9" customWidth="1"/>
    <col min="4" max="4" width="10.83203125" style="55" customWidth="1"/>
    <col min="5" max="7" width="9.33203125" style="55" customWidth="1"/>
    <col min="8" max="8" width="10.83203125" style="55" customWidth="1"/>
    <col min="9" max="14" width="8.83203125" style="55" customWidth="1"/>
    <col min="15" max="16384" width="12" style="9" customWidth="1"/>
  </cols>
  <sheetData>
    <row r="1" spans="1:14" ht="15" customHeight="1">
      <c r="A1" s="7" t="s">
        <v>0</v>
      </c>
      <c r="B1" s="8">
        <v>91</v>
      </c>
      <c r="D1" s="10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5" customHeight="1">
      <c r="A2" s="13" t="s">
        <v>2</v>
      </c>
      <c r="B2" s="14" t="s">
        <v>97</v>
      </c>
      <c r="D2" s="15" t="s">
        <v>38</v>
      </c>
      <c r="E2" s="16"/>
      <c r="F2" s="16"/>
      <c r="G2" s="16"/>
      <c r="H2" s="16"/>
      <c r="I2" s="16"/>
      <c r="J2" s="17"/>
      <c r="K2" s="18">
        <v>1.2793363E-05</v>
      </c>
      <c r="L2" s="18">
        <v>4.492032809318168E-08</v>
      </c>
      <c r="M2" s="18">
        <v>8.1896333E-05</v>
      </c>
      <c r="N2" s="19">
        <v>1.5253638069511818E-07</v>
      </c>
    </row>
    <row r="3" spans="1:14" ht="15" customHeight="1">
      <c r="A3" s="20" t="s">
        <v>3</v>
      </c>
      <c r="B3" s="21">
        <v>2</v>
      </c>
      <c r="D3" s="15" t="s">
        <v>39</v>
      </c>
      <c r="E3" s="16"/>
      <c r="F3" s="16"/>
      <c r="G3" s="16"/>
      <c r="H3" s="16"/>
      <c r="I3" s="16"/>
      <c r="J3" s="17"/>
      <c r="K3" s="18">
        <v>-3.0623065E-05</v>
      </c>
      <c r="L3" s="18">
        <v>8.79725008166312E-08</v>
      </c>
      <c r="M3" s="18">
        <v>1.0085408999999998E-05</v>
      </c>
      <c r="N3" s="19">
        <v>6.141623111187163E-08</v>
      </c>
    </row>
    <row r="4" spans="1:14" ht="15" customHeight="1">
      <c r="A4" s="20" t="s">
        <v>4</v>
      </c>
      <c r="B4" s="21">
        <v>2</v>
      </c>
      <c r="D4" s="15" t="s">
        <v>40</v>
      </c>
      <c r="E4" s="16"/>
      <c r="F4" s="16"/>
      <c r="G4" s="16"/>
      <c r="H4" s="16"/>
      <c r="I4" s="16"/>
      <c r="J4" s="17"/>
      <c r="K4" s="18">
        <v>-0.0021194751525652686</v>
      </c>
      <c r="L4" s="18">
        <v>-2.909912968529577E-05</v>
      </c>
      <c r="M4" s="18">
        <v>3.193493599209432E-08</v>
      </c>
      <c r="N4" s="19">
        <v>6.864270500000001</v>
      </c>
    </row>
    <row r="5" spans="1:14" ht="15" customHeight="1" thickBot="1">
      <c r="A5" t="s">
        <v>5</v>
      </c>
      <c r="B5" s="22">
        <v>37504.61829861111</v>
      </c>
      <c r="D5" s="23"/>
      <c r="E5" s="24" t="s">
        <v>109</v>
      </c>
      <c r="F5" s="25"/>
      <c r="G5" s="25"/>
      <c r="H5" s="25"/>
      <c r="I5" s="25"/>
      <c r="J5" s="25"/>
      <c r="K5" s="25"/>
      <c r="L5" s="25"/>
      <c r="M5" s="25"/>
      <c r="N5" s="26"/>
    </row>
    <row r="6" spans="1:14" ht="15" customHeight="1" thickTop="1">
      <c r="A6" s="20" t="s">
        <v>6</v>
      </c>
      <c r="B6" s="21">
        <v>978</v>
      </c>
      <c r="D6" s="27"/>
      <c r="E6" s="28" t="s">
        <v>7</v>
      </c>
      <c r="F6" s="29"/>
      <c r="G6" s="30"/>
      <c r="H6" s="31" t="s">
        <v>8</v>
      </c>
      <c r="I6" s="32"/>
      <c r="J6" s="29"/>
      <c r="K6" s="33" t="s">
        <v>41</v>
      </c>
      <c r="L6" s="16"/>
      <c r="M6" s="16"/>
      <c r="N6" s="34"/>
    </row>
    <row r="7" spans="1:14" ht="15" customHeight="1" thickBot="1">
      <c r="A7" s="20" t="s">
        <v>9</v>
      </c>
      <c r="B7" s="35" t="s">
        <v>10</v>
      </c>
      <c r="D7" s="36" t="s">
        <v>42</v>
      </c>
      <c r="E7" s="37" t="s">
        <v>43</v>
      </c>
      <c r="F7" s="38" t="s">
        <v>44</v>
      </c>
      <c r="G7" s="37" t="s">
        <v>45</v>
      </c>
      <c r="H7" s="39"/>
      <c r="I7" s="151" t="s">
        <v>11</v>
      </c>
      <c r="J7" s="152"/>
      <c r="K7" s="151" t="s">
        <v>12</v>
      </c>
      <c r="L7" s="152"/>
      <c r="M7" s="151" t="s">
        <v>13</v>
      </c>
      <c r="N7" s="153"/>
    </row>
    <row r="8" spans="1:14" ht="15" customHeight="1">
      <c r="A8" s="20" t="s">
        <v>14</v>
      </c>
      <c r="B8" s="35" t="s">
        <v>98</v>
      </c>
      <c r="D8" s="40">
        <v>-0.9994874199999998</v>
      </c>
      <c r="E8" s="41">
        <v>0.010028266389263229</v>
      </c>
      <c r="F8" s="41">
        <v>4.1240583</v>
      </c>
      <c r="G8" s="41">
        <v>0.017491248253435936</v>
      </c>
      <c r="H8" s="42">
        <v>3</v>
      </c>
      <c r="I8" s="43">
        <v>0</v>
      </c>
      <c r="J8" s="43">
        <v>0</v>
      </c>
      <c r="K8" s="43">
        <v>2</v>
      </c>
      <c r="L8" s="43">
        <v>2</v>
      </c>
      <c r="M8" s="43">
        <v>1</v>
      </c>
      <c r="N8" s="44">
        <v>1</v>
      </c>
    </row>
    <row r="9" spans="1:14" ht="15" customHeight="1">
      <c r="A9" s="20" t="s">
        <v>15</v>
      </c>
      <c r="B9" s="45">
        <v>0.017</v>
      </c>
      <c r="D9" s="46">
        <v>-1.6202590000000001</v>
      </c>
      <c r="E9" s="43">
        <v>0.017894081311972516</v>
      </c>
      <c r="F9" s="43">
        <v>0.1327787</v>
      </c>
      <c r="G9" s="43">
        <v>0.015859600026324656</v>
      </c>
      <c r="H9" s="42">
        <v>4</v>
      </c>
      <c r="I9" s="43">
        <v>0</v>
      </c>
      <c r="J9" s="43">
        <v>0</v>
      </c>
      <c r="K9" s="43">
        <v>0.5</v>
      </c>
      <c r="L9" s="43">
        <v>0.5</v>
      </c>
      <c r="M9" s="43">
        <v>0.7</v>
      </c>
      <c r="N9" s="44">
        <v>0.7</v>
      </c>
    </row>
    <row r="10" spans="1:14" ht="15" customHeight="1">
      <c r="A10" s="20" t="s">
        <v>16</v>
      </c>
      <c r="B10" s="35" t="s">
        <v>17</v>
      </c>
      <c r="D10" s="46">
        <v>-0.033085699999999996</v>
      </c>
      <c r="E10" s="43">
        <v>0.01387452608776243</v>
      </c>
      <c r="F10" s="79">
        <v>-6.5215022000000005</v>
      </c>
      <c r="G10" s="43">
        <v>0.0077565617165206305</v>
      </c>
      <c r="H10" s="42">
        <v>5</v>
      </c>
      <c r="I10" s="43">
        <v>0</v>
      </c>
      <c r="J10" s="43">
        <v>0</v>
      </c>
      <c r="K10" s="43">
        <v>0.5</v>
      </c>
      <c r="L10" s="43">
        <v>0.5</v>
      </c>
      <c r="M10" s="43">
        <v>0.6</v>
      </c>
      <c r="N10" s="44">
        <v>0.6</v>
      </c>
    </row>
    <row r="11" spans="1:14" ht="15" customHeight="1">
      <c r="A11" s="20" t="s">
        <v>18</v>
      </c>
      <c r="B11" s="21">
        <v>5</v>
      </c>
      <c r="D11" s="81">
        <v>13.997298</v>
      </c>
      <c r="E11" s="41">
        <v>0.007746775200676336</v>
      </c>
      <c r="F11" s="80">
        <v>2.8613792999999994</v>
      </c>
      <c r="G11" s="41">
        <v>0.006897696032932529</v>
      </c>
      <c r="H11" s="42">
        <v>6</v>
      </c>
      <c r="I11" s="43">
        <v>3.925</v>
      </c>
      <c r="J11" s="43">
        <v>0</v>
      </c>
      <c r="K11" s="43">
        <v>1</v>
      </c>
      <c r="L11" s="43">
        <v>0.3</v>
      </c>
      <c r="M11" s="43">
        <v>0.5</v>
      </c>
      <c r="N11" s="44">
        <v>0.5</v>
      </c>
    </row>
    <row r="12" spans="1:14" ht="15" customHeight="1">
      <c r="A12" s="20" t="s">
        <v>19</v>
      </c>
      <c r="B12" s="47">
        <v>0.7499</v>
      </c>
      <c r="D12" s="46">
        <v>-0.30146887</v>
      </c>
      <c r="E12" s="43">
        <v>0.004309263486794785</v>
      </c>
      <c r="F12" s="43">
        <v>0.31173934000000003</v>
      </c>
      <c r="G12" s="43">
        <v>0.006709628523205217</v>
      </c>
      <c r="H12" s="42">
        <v>7</v>
      </c>
      <c r="I12" s="43">
        <v>0</v>
      </c>
      <c r="J12" s="43">
        <v>0</v>
      </c>
      <c r="K12" s="43">
        <v>0.15</v>
      </c>
      <c r="L12" s="43">
        <v>0.15</v>
      </c>
      <c r="M12" s="43">
        <v>0.15</v>
      </c>
      <c r="N12" s="44">
        <v>0.15</v>
      </c>
    </row>
    <row r="13" spans="1:14" ht="15" customHeight="1">
      <c r="A13" s="20" t="s">
        <v>20</v>
      </c>
      <c r="B13" s="45">
        <v>24.264527</v>
      </c>
      <c r="D13" s="46">
        <v>-0.07278487200000001</v>
      </c>
      <c r="E13" s="43">
        <v>0.005154412743464075</v>
      </c>
      <c r="F13" s="43">
        <v>-0.090676073</v>
      </c>
      <c r="G13" s="43">
        <v>0.0028658899531356654</v>
      </c>
      <c r="H13" s="42">
        <v>8</v>
      </c>
      <c r="I13" s="43">
        <v>0</v>
      </c>
      <c r="J13" s="43">
        <v>0</v>
      </c>
      <c r="K13" s="43">
        <v>0.1</v>
      </c>
      <c r="L13" s="43">
        <v>0.1</v>
      </c>
      <c r="M13" s="43">
        <v>0.1</v>
      </c>
      <c r="N13" s="44">
        <v>0.1</v>
      </c>
    </row>
    <row r="14" spans="1:14" ht="15" customHeight="1">
      <c r="A14" s="13" t="s">
        <v>21</v>
      </c>
      <c r="B14" s="48">
        <v>12.5</v>
      </c>
      <c r="D14" s="46">
        <v>0.094686677</v>
      </c>
      <c r="E14" s="43">
        <v>0.0034693225991463445</v>
      </c>
      <c r="F14" s="43">
        <v>0.04407483000000001</v>
      </c>
      <c r="G14" s="43">
        <v>0.0034897586075514583</v>
      </c>
      <c r="H14" s="42">
        <v>9</v>
      </c>
      <c r="I14" s="43">
        <v>0</v>
      </c>
      <c r="J14" s="43">
        <v>0</v>
      </c>
      <c r="K14" s="43">
        <v>0.1</v>
      </c>
      <c r="L14" s="43">
        <v>0.1</v>
      </c>
      <c r="M14" s="43">
        <v>0.1</v>
      </c>
      <c r="N14" s="44">
        <v>0.1</v>
      </c>
    </row>
    <row r="15" spans="1:14" ht="15" customHeight="1">
      <c r="A15" s="20" t="s">
        <v>22</v>
      </c>
      <c r="B15" s="45">
        <v>0</v>
      </c>
      <c r="D15" s="40">
        <v>-0.25574568</v>
      </c>
      <c r="E15" s="41">
        <v>0.0031964656221519605</v>
      </c>
      <c r="F15" s="41">
        <v>0.11521430299999999</v>
      </c>
      <c r="G15" s="41">
        <v>0.0018524248546940754</v>
      </c>
      <c r="H15" s="42">
        <v>10</v>
      </c>
      <c r="I15" s="43">
        <v>-0.26</v>
      </c>
      <c r="J15" s="43">
        <v>0</v>
      </c>
      <c r="K15" s="43">
        <v>0.2</v>
      </c>
      <c r="L15" s="43">
        <v>0.1</v>
      </c>
      <c r="M15" s="43">
        <v>0.3</v>
      </c>
      <c r="N15" s="44">
        <v>0.3</v>
      </c>
    </row>
    <row r="16" spans="1:14" ht="15" customHeight="1">
      <c r="A16" s="20" t="s">
        <v>23</v>
      </c>
      <c r="B16" s="45">
        <v>12.505</v>
      </c>
      <c r="D16" s="46">
        <v>-0.004999654000000001</v>
      </c>
      <c r="E16" s="43">
        <v>0.00209565652721146</v>
      </c>
      <c r="F16" s="43">
        <v>0.0177018263</v>
      </c>
      <c r="G16" s="43">
        <v>0.0019612987193659477</v>
      </c>
      <c r="H16" s="42">
        <v>11</v>
      </c>
      <c r="I16" s="43">
        <v>0</v>
      </c>
      <c r="J16" s="43">
        <v>0</v>
      </c>
      <c r="K16" s="43">
        <v>0</v>
      </c>
      <c r="L16" s="43">
        <v>0</v>
      </c>
      <c r="M16" s="43">
        <v>0.05</v>
      </c>
      <c r="N16" s="44">
        <v>0.05</v>
      </c>
    </row>
    <row r="17" spans="1:14" ht="15" customHeight="1">
      <c r="A17" s="20" t="s">
        <v>24</v>
      </c>
      <c r="B17" s="45">
        <v>-0.2919999957084656</v>
      </c>
      <c r="D17" s="46">
        <v>0.023843539</v>
      </c>
      <c r="E17" s="43">
        <v>0.00266849351965</v>
      </c>
      <c r="F17" s="43">
        <v>-0.002009521</v>
      </c>
      <c r="G17" s="43">
        <v>0.0018319541379204884</v>
      </c>
      <c r="H17" s="42">
        <v>12</v>
      </c>
      <c r="I17" s="43">
        <v>0</v>
      </c>
      <c r="J17" s="43">
        <v>0</v>
      </c>
      <c r="K17" s="43">
        <v>0</v>
      </c>
      <c r="L17" s="43">
        <v>0</v>
      </c>
      <c r="M17" s="43">
        <v>0.05</v>
      </c>
      <c r="N17" s="44">
        <v>0.05</v>
      </c>
    </row>
    <row r="18" spans="1:14" ht="15" customHeight="1">
      <c r="A18" s="20" t="s">
        <v>25</v>
      </c>
      <c r="B18" s="45">
        <v>38.65599822998047</v>
      </c>
      <c r="D18" s="46">
        <v>-0.00641508216</v>
      </c>
      <c r="E18" s="43">
        <v>0.0017690264416423598</v>
      </c>
      <c r="F18" s="43">
        <v>0.07906819300000001</v>
      </c>
      <c r="G18" s="43">
        <v>0.0016777677702785126</v>
      </c>
      <c r="H18" s="42">
        <v>13</v>
      </c>
      <c r="I18" s="43">
        <v>0</v>
      </c>
      <c r="J18" s="43">
        <v>0</v>
      </c>
      <c r="K18" s="43">
        <v>0</v>
      </c>
      <c r="L18" s="43">
        <v>0</v>
      </c>
      <c r="M18" s="43">
        <v>0.05</v>
      </c>
      <c r="N18" s="44">
        <v>0.05</v>
      </c>
    </row>
    <row r="19" spans="1:14" ht="15" customHeight="1">
      <c r="A19" s="20" t="s">
        <v>26</v>
      </c>
      <c r="B19" s="45">
        <v>-0.42100000381469727</v>
      </c>
      <c r="D19" s="46">
        <v>-0.13405993</v>
      </c>
      <c r="E19" s="43">
        <v>0.001740483025368902</v>
      </c>
      <c r="F19" s="43">
        <v>-0.032833845</v>
      </c>
      <c r="G19" s="43">
        <v>0.0015226093411311455</v>
      </c>
      <c r="H19" s="42">
        <v>14</v>
      </c>
      <c r="I19" s="43">
        <v>0</v>
      </c>
      <c r="J19" s="43">
        <v>0</v>
      </c>
      <c r="K19" s="43">
        <v>0</v>
      </c>
      <c r="L19" s="43">
        <v>0</v>
      </c>
      <c r="M19" s="43">
        <v>0.05</v>
      </c>
      <c r="N19" s="44">
        <v>0.05</v>
      </c>
    </row>
    <row r="20" spans="1:14" ht="15" customHeight="1" thickBot="1">
      <c r="A20" s="20" t="s">
        <v>27</v>
      </c>
      <c r="B20" s="50">
        <v>0.11160649999999998</v>
      </c>
      <c r="D20" s="51">
        <v>-0.00022220234999999997</v>
      </c>
      <c r="E20" s="52">
        <v>0.0012162040877528697</v>
      </c>
      <c r="F20" s="52">
        <v>0.00337369076</v>
      </c>
      <c r="G20" s="52">
        <v>0.00228600124320701</v>
      </c>
      <c r="H20" s="53">
        <v>15</v>
      </c>
      <c r="I20" s="52">
        <v>0</v>
      </c>
      <c r="J20" s="52">
        <v>0</v>
      </c>
      <c r="K20" s="52">
        <v>0</v>
      </c>
      <c r="L20" s="52">
        <v>0</v>
      </c>
      <c r="M20" s="52">
        <v>0.05</v>
      </c>
      <c r="N20" s="54">
        <v>0.05</v>
      </c>
    </row>
    <row r="21" spans="1:6" ht="15" customHeight="1">
      <c r="A21" s="20" t="s">
        <v>28</v>
      </c>
      <c r="B21" s="50">
        <v>0.655315</v>
      </c>
      <c r="F21" s="55" t="s">
        <v>46</v>
      </c>
    </row>
    <row r="22" spans="1:6" ht="15" customHeight="1">
      <c r="A22" s="20" t="s">
        <v>29</v>
      </c>
      <c r="B22" s="35" t="s">
        <v>30</v>
      </c>
      <c r="F22" s="55" t="s">
        <v>47</v>
      </c>
    </row>
    <row r="23" spans="1:2" ht="15" customHeight="1" thickBot="1">
      <c r="A23" s="56" t="s">
        <v>31</v>
      </c>
      <c r="B23" s="57">
        <v>15</v>
      </c>
    </row>
    <row r="24" spans="1:12" ht="18" customHeight="1" thickBot="1" thickTop="1">
      <c r="A24" s="58" t="s">
        <v>48</v>
      </c>
      <c r="B24" s="59">
        <v>0.3932940612874373</v>
      </c>
      <c r="E24" s="60"/>
      <c r="F24" s="61"/>
      <c r="G24" s="62" t="s">
        <v>32</v>
      </c>
      <c r="H24" s="61"/>
      <c r="I24" s="61"/>
      <c r="J24" s="61"/>
      <c r="K24" s="61"/>
      <c r="L24" s="63"/>
    </row>
    <row r="25" spans="1:12" ht="18" customHeight="1">
      <c r="A25" s="7" t="s">
        <v>33</v>
      </c>
      <c r="B25" s="8">
        <v>10</v>
      </c>
      <c r="E25" s="64" t="s">
        <v>49</v>
      </c>
      <c r="F25" s="65"/>
      <c r="G25" s="66"/>
      <c r="H25" s="67">
        <v>-2.1196749</v>
      </c>
      <c r="I25" s="65" t="s">
        <v>50</v>
      </c>
      <c r="J25" s="66"/>
      <c r="K25" s="65"/>
      <c r="L25" s="68">
        <v>14.286771601704581</v>
      </c>
    </row>
    <row r="26" spans="1:12" ht="18" customHeight="1" thickBot="1">
      <c r="A26" s="20" t="s">
        <v>34</v>
      </c>
      <c r="B26" s="21" t="s">
        <v>35</v>
      </c>
      <c r="E26" s="69" t="s">
        <v>51</v>
      </c>
      <c r="F26" s="70"/>
      <c r="G26" s="71"/>
      <c r="H26" s="72">
        <v>4.243445765476112</v>
      </c>
      <c r="I26" s="70" t="s">
        <v>52</v>
      </c>
      <c r="J26" s="71"/>
      <c r="K26" s="70"/>
      <c r="L26" s="73">
        <v>0.28049989029309474</v>
      </c>
    </row>
    <row r="27" spans="1:2" ht="15" customHeight="1" thickBot="1" thickTop="1">
      <c r="A27" s="56" t="s">
        <v>36</v>
      </c>
      <c r="B27" s="57">
        <v>80</v>
      </c>
    </row>
    <row r="28" spans="1:14" s="78" customFormat="1" ht="18" customHeight="1" thickBot="1">
      <c r="A28" s="74" t="s">
        <v>37</v>
      </c>
      <c r="B28" s="75" t="s">
        <v>99</v>
      </c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7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HCMQAP0006_001APER 2Aper 2_pos5_9781450res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G35"/>
  <sheetViews>
    <sheetView workbookViewId="0" topLeftCell="A1">
      <selection activeCell="B1" sqref="B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10" t="s">
        <v>92</v>
      </c>
      <c r="B1" s="102" t="s">
        <v>129</v>
      </c>
      <c r="C1" s="92" t="s">
        <v>103</v>
      </c>
      <c r="D1" s="92" t="s">
        <v>105</v>
      </c>
      <c r="E1" s="92" t="s">
        <v>107</v>
      </c>
      <c r="F1" s="99" t="s">
        <v>110</v>
      </c>
      <c r="G1" s="132" t="s">
        <v>93</v>
      </c>
    </row>
    <row r="2" spans="1:7" ht="13.5" thickBot="1">
      <c r="A2" s="111" t="s">
        <v>62</v>
      </c>
      <c r="B2" s="103">
        <v>-2.2408178999999997</v>
      </c>
      <c r="C2" s="94">
        <v>-3.7640545</v>
      </c>
      <c r="D2" s="94">
        <v>-3.7639724999999995</v>
      </c>
      <c r="E2" s="94">
        <v>-3.766187</v>
      </c>
      <c r="F2" s="100">
        <v>-2.1196749</v>
      </c>
      <c r="G2" s="133">
        <v>3.118268689433368</v>
      </c>
    </row>
    <row r="3" spans="1:7" ht="14.25" thickBot="1" thickTop="1">
      <c r="A3" s="119" t="s">
        <v>61</v>
      </c>
      <c r="B3" s="120" t="s">
        <v>56</v>
      </c>
      <c r="C3" s="121" t="s">
        <v>57</v>
      </c>
      <c r="D3" s="121" t="s">
        <v>58</v>
      </c>
      <c r="E3" s="121" t="s">
        <v>59</v>
      </c>
      <c r="F3" s="122" t="s">
        <v>60</v>
      </c>
      <c r="G3" s="128" t="s">
        <v>94</v>
      </c>
    </row>
    <row r="4" spans="1:7" ht="12.75">
      <c r="A4" s="116" t="s">
        <v>63</v>
      </c>
      <c r="B4" s="117">
        <v>-1.8248332</v>
      </c>
      <c r="C4" s="118">
        <v>0.74892115</v>
      </c>
      <c r="D4" s="118">
        <v>1.4897265999999998</v>
      </c>
      <c r="E4" s="118">
        <v>-0.26447981800000003</v>
      </c>
      <c r="F4" s="123">
        <v>-0.9994874199999998</v>
      </c>
      <c r="G4" s="129">
        <v>0.07809039459577552</v>
      </c>
    </row>
    <row r="5" spans="1:7" ht="12.75">
      <c r="A5" s="111" t="s">
        <v>65</v>
      </c>
      <c r="B5" s="105">
        <v>0.2018253934</v>
      </c>
      <c r="C5" s="89">
        <v>0.0813366</v>
      </c>
      <c r="D5" s="89">
        <v>0.10109900000000001</v>
      </c>
      <c r="E5" s="89">
        <v>-0.10187420999999999</v>
      </c>
      <c r="F5" s="124">
        <v>-1.6202590000000001</v>
      </c>
      <c r="G5" s="130">
        <v>-0.17114063445180006</v>
      </c>
    </row>
    <row r="6" spans="1:7" ht="12.75">
      <c r="A6" s="111" t="s">
        <v>67</v>
      </c>
      <c r="B6" s="105">
        <v>-0.5638500000000001</v>
      </c>
      <c r="C6" s="89">
        <v>-1.356345</v>
      </c>
      <c r="D6" s="89">
        <v>-0.89338891</v>
      </c>
      <c r="E6" s="89">
        <v>-0.8885400600000001</v>
      </c>
      <c r="F6" s="124">
        <v>-0.033085699999999996</v>
      </c>
      <c r="G6" s="130">
        <v>-0.8398797934403105</v>
      </c>
    </row>
    <row r="7" spans="1:7" ht="12.75">
      <c r="A7" s="111" t="s">
        <v>69</v>
      </c>
      <c r="B7" s="104">
        <v>3.5459566000000002</v>
      </c>
      <c r="C7" s="88">
        <v>4.5719875000000005</v>
      </c>
      <c r="D7" s="88">
        <v>4.8240008</v>
      </c>
      <c r="E7" s="88">
        <v>3.9412906</v>
      </c>
      <c r="F7" s="125">
        <v>13.997298</v>
      </c>
      <c r="G7" s="130">
        <v>5.61018607871738</v>
      </c>
    </row>
    <row r="8" spans="1:7" ht="12.75">
      <c r="A8" s="111" t="s">
        <v>71</v>
      </c>
      <c r="B8" s="105">
        <v>0.22042149000000003</v>
      </c>
      <c r="C8" s="89">
        <v>0.37803105</v>
      </c>
      <c r="D8" s="89">
        <v>0.068394678</v>
      </c>
      <c r="E8" s="89">
        <v>-0.023566615000000003</v>
      </c>
      <c r="F8" s="124">
        <v>-0.30146887</v>
      </c>
      <c r="G8" s="130">
        <v>0.09240143076010103</v>
      </c>
    </row>
    <row r="9" spans="1:7" ht="12.75">
      <c r="A9" s="111" t="s">
        <v>73</v>
      </c>
      <c r="B9" s="105">
        <v>0.06516550699999998</v>
      </c>
      <c r="C9" s="89">
        <v>0.0189331097</v>
      </c>
      <c r="D9" s="89">
        <v>-0.05602979</v>
      </c>
      <c r="E9" s="89">
        <v>-0.053637726</v>
      </c>
      <c r="F9" s="124">
        <v>-0.07278487200000001</v>
      </c>
      <c r="G9" s="130">
        <v>-0.02235080315117725</v>
      </c>
    </row>
    <row r="10" spans="1:7" ht="12.75">
      <c r="A10" s="111" t="s">
        <v>75</v>
      </c>
      <c r="B10" s="105">
        <v>-0.061457405</v>
      </c>
      <c r="C10" s="89">
        <v>-0.10153767899999999</v>
      </c>
      <c r="D10" s="89">
        <v>-0.012946518927</v>
      </c>
      <c r="E10" s="89">
        <v>-0.088173485</v>
      </c>
      <c r="F10" s="124">
        <v>0.094686677</v>
      </c>
      <c r="G10" s="130">
        <v>-0.044715715297420966</v>
      </c>
    </row>
    <row r="11" spans="1:7" ht="12.75">
      <c r="A11" s="111" t="s">
        <v>77</v>
      </c>
      <c r="B11" s="104">
        <v>-0.35085900999999997</v>
      </c>
      <c r="C11" s="88">
        <v>-0.077602438</v>
      </c>
      <c r="D11" s="88">
        <v>0.039680543</v>
      </c>
      <c r="E11" s="88">
        <v>0.064601416</v>
      </c>
      <c r="F11" s="126">
        <v>-0.25574568</v>
      </c>
      <c r="G11" s="130">
        <v>-0.07842696669801075</v>
      </c>
    </row>
    <row r="12" spans="1:7" ht="12.75">
      <c r="A12" s="111" t="s">
        <v>79</v>
      </c>
      <c r="B12" s="105">
        <v>0.013001684199999999</v>
      </c>
      <c r="C12" s="89">
        <v>0.00994856</v>
      </c>
      <c r="D12" s="89">
        <v>0.0249406862</v>
      </c>
      <c r="E12" s="89">
        <v>0.004624348000000001</v>
      </c>
      <c r="F12" s="124">
        <v>-0.004999654000000001</v>
      </c>
      <c r="G12" s="130">
        <v>0.010685342502776743</v>
      </c>
    </row>
    <row r="13" spans="1:7" ht="12.75">
      <c r="A13" s="111" t="s">
        <v>81</v>
      </c>
      <c r="B13" s="105">
        <v>0.0179802153</v>
      </c>
      <c r="C13" s="89">
        <v>0.0136755533</v>
      </c>
      <c r="D13" s="89">
        <v>0.022886654</v>
      </c>
      <c r="E13" s="89">
        <v>0.037917097</v>
      </c>
      <c r="F13" s="124">
        <v>0.023843539</v>
      </c>
      <c r="G13" s="130">
        <v>0.023715173090726543</v>
      </c>
    </row>
    <row r="14" spans="1:7" ht="12.75">
      <c r="A14" s="111" t="s">
        <v>83</v>
      </c>
      <c r="B14" s="105">
        <v>0.037213518</v>
      </c>
      <c r="C14" s="89">
        <v>0.03570782</v>
      </c>
      <c r="D14" s="89">
        <v>0.021930658999999998</v>
      </c>
      <c r="E14" s="89">
        <v>0.04211251199999999</v>
      </c>
      <c r="F14" s="124">
        <v>-0.00641508216</v>
      </c>
      <c r="G14" s="130">
        <v>0.028448121544581973</v>
      </c>
    </row>
    <row r="15" spans="1:7" ht="12.75">
      <c r="A15" s="111" t="s">
        <v>85</v>
      </c>
      <c r="B15" s="106">
        <v>-0.18737501</v>
      </c>
      <c r="C15" s="90">
        <v>-0.17353949</v>
      </c>
      <c r="D15" s="90">
        <v>-0.19304059999999998</v>
      </c>
      <c r="E15" s="90">
        <v>-0.18909288000000002</v>
      </c>
      <c r="F15" s="124">
        <v>-0.13405993</v>
      </c>
      <c r="G15" s="130">
        <v>-0.1786049100345783</v>
      </c>
    </row>
    <row r="16" spans="1:7" ht="12.75">
      <c r="A16" s="111" t="s">
        <v>87</v>
      </c>
      <c r="B16" s="105">
        <v>0.004743995415999999</v>
      </c>
      <c r="C16" s="89">
        <v>0.0049406415000000006</v>
      </c>
      <c r="D16" s="89">
        <v>0.0005950526350000001</v>
      </c>
      <c r="E16" s="89">
        <v>0.0032207996790999996</v>
      </c>
      <c r="F16" s="124">
        <v>-0.00022220234999999997</v>
      </c>
      <c r="G16" s="130">
        <v>0.0027548374529671555</v>
      </c>
    </row>
    <row r="17" spans="1:7" ht="12.75">
      <c r="A17" s="111" t="s">
        <v>64</v>
      </c>
      <c r="B17" s="104">
        <v>-0.70690846</v>
      </c>
      <c r="C17" s="88">
        <v>0.0014787000000000016</v>
      </c>
      <c r="D17" s="88">
        <v>-0.5969453100000001</v>
      </c>
      <c r="E17" s="88">
        <v>0.8039831100000001</v>
      </c>
      <c r="F17" s="126">
        <v>4.1240583</v>
      </c>
      <c r="G17" s="130">
        <v>0.5074665880975798</v>
      </c>
    </row>
    <row r="18" spans="1:7" ht="12.75">
      <c r="A18" s="111" t="s">
        <v>66</v>
      </c>
      <c r="B18" s="105">
        <v>-0.60288528</v>
      </c>
      <c r="C18" s="89">
        <v>-0.11294738600000001</v>
      </c>
      <c r="D18" s="89">
        <v>0.16234551999999997</v>
      </c>
      <c r="E18" s="89">
        <v>1.4292679000000001</v>
      </c>
      <c r="F18" s="124">
        <v>0.1327787</v>
      </c>
      <c r="G18" s="130">
        <v>0.2874091318856947</v>
      </c>
    </row>
    <row r="19" spans="1:7" ht="12.75">
      <c r="A19" s="111" t="s">
        <v>68</v>
      </c>
      <c r="B19" s="105">
        <v>-0.8916575100000002</v>
      </c>
      <c r="C19" s="89">
        <v>-0.69227846</v>
      </c>
      <c r="D19" s="89">
        <v>-0.9387401499999999</v>
      </c>
      <c r="E19" s="89">
        <v>-0.5219246399999999</v>
      </c>
      <c r="F19" s="135">
        <v>-6.5215022000000005</v>
      </c>
      <c r="G19" s="130">
        <v>-1.5283798473135144</v>
      </c>
    </row>
    <row r="20" spans="1:7" ht="12.75">
      <c r="A20" s="111" t="s">
        <v>70</v>
      </c>
      <c r="B20" s="104">
        <v>0.42175834000000006</v>
      </c>
      <c r="C20" s="88">
        <v>0.12749563199999997</v>
      </c>
      <c r="D20" s="88">
        <v>0.15816002099999998</v>
      </c>
      <c r="E20" s="88">
        <v>-0.29353346</v>
      </c>
      <c r="F20" s="125">
        <v>2.8613792999999994</v>
      </c>
      <c r="G20" s="130">
        <v>0.445871403686858</v>
      </c>
    </row>
    <row r="21" spans="1:7" ht="12.75">
      <c r="A21" s="111" t="s">
        <v>72</v>
      </c>
      <c r="B21" s="105">
        <v>0.034674433</v>
      </c>
      <c r="C21" s="89">
        <v>-0.0011117050000000004</v>
      </c>
      <c r="D21" s="89">
        <v>-0.0287804591</v>
      </c>
      <c r="E21" s="89">
        <v>-0.18491058</v>
      </c>
      <c r="F21" s="124">
        <v>0.31173934000000003</v>
      </c>
      <c r="G21" s="130">
        <v>-0.004499353055711041</v>
      </c>
    </row>
    <row r="22" spans="1:7" ht="12.75">
      <c r="A22" s="111" t="s">
        <v>74</v>
      </c>
      <c r="B22" s="105">
        <v>-0.09154253</v>
      </c>
      <c r="C22" s="89">
        <v>0.0059855659999999995</v>
      </c>
      <c r="D22" s="89">
        <v>0.09694319700000001</v>
      </c>
      <c r="E22" s="89">
        <v>0.20069120000000001</v>
      </c>
      <c r="F22" s="124">
        <v>-0.090676073</v>
      </c>
      <c r="G22" s="130">
        <v>0.0476488117208222</v>
      </c>
    </row>
    <row r="23" spans="1:7" ht="12.75">
      <c r="A23" s="111" t="s">
        <v>76</v>
      </c>
      <c r="B23" s="105">
        <v>0.027418641131</v>
      </c>
      <c r="C23" s="89">
        <v>-0.005343835999999999</v>
      </c>
      <c r="D23" s="89">
        <v>-0.054969449999999996</v>
      </c>
      <c r="E23" s="89">
        <v>-0.084213872</v>
      </c>
      <c r="F23" s="124">
        <v>0.04407483000000001</v>
      </c>
      <c r="G23" s="130">
        <v>-0.02486911382565548</v>
      </c>
    </row>
    <row r="24" spans="1:7" ht="12.75">
      <c r="A24" s="111" t="s">
        <v>78</v>
      </c>
      <c r="B24" s="104">
        <v>-0.0031678189999999997</v>
      </c>
      <c r="C24" s="88">
        <v>0.030606862040000005</v>
      </c>
      <c r="D24" s="88">
        <v>0.015108628999999998</v>
      </c>
      <c r="E24" s="88">
        <v>-0.042294122600000005</v>
      </c>
      <c r="F24" s="126">
        <v>0.11521430299999999</v>
      </c>
      <c r="G24" s="130">
        <v>0.015963578878376187</v>
      </c>
    </row>
    <row r="25" spans="1:7" ht="12.75">
      <c r="A25" s="111" t="s">
        <v>80</v>
      </c>
      <c r="B25" s="105">
        <v>-0.0009499609999999995</v>
      </c>
      <c r="C25" s="89">
        <v>0.0114998456</v>
      </c>
      <c r="D25" s="89">
        <v>-0.00270466626</v>
      </c>
      <c r="E25" s="89">
        <v>-0.024609249000000003</v>
      </c>
      <c r="F25" s="124">
        <v>0.0177018263</v>
      </c>
      <c r="G25" s="130">
        <v>-0.001544829330736982</v>
      </c>
    </row>
    <row r="26" spans="1:7" ht="12.75">
      <c r="A26" s="111" t="s">
        <v>82</v>
      </c>
      <c r="B26" s="105">
        <v>-0.045096498</v>
      </c>
      <c r="C26" s="89">
        <v>-0.026919977500000004</v>
      </c>
      <c r="D26" s="89">
        <v>-0.007199346800000001</v>
      </c>
      <c r="E26" s="89">
        <v>-0.026798481799999996</v>
      </c>
      <c r="F26" s="124">
        <v>-0.002009521</v>
      </c>
      <c r="G26" s="130">
        <v>-0.021378047832059714</v>
      </c>
    </row>
    <row r="27" spans="1:7" ht="12.75">
      <c r="A27" s="111" t="s">
        <v>84</v>
      </c>
      <c r="B27" s="105">
        <v>0.073261876</v>
      </c>
      <c r="C27" s="89">
        <v>0.06334258</v>
      </c>
      <c r="D27" s="89">
        <v>0.07238634399999999</v>
      </c>
      <c r="E27" s="89">
        <v>0.090080125</v>
      </c>
      <c r="F27" s="124">
        <v>0.07906819300000001</v>
      </c>
      <c r="G27" s="130">
        <v>0.07549864264684669</v>
      </c>
    </row>
    <row r="28" spans="1:7" ht="12.75">
      <c r="A28" s="111" t="s">
        <v>86</v>
      </c>
      <c r="B28" s="105">
        <v>-0.013620374999999999</v>
      </c>
      <c r="C28" s="89">
        <v>-0.0017493731300000002</v>
      </c>
      <c r="D28" s="89">
        <v>0.00122453305</v>
      </c>
      <c r="E28" s="89">
        <v>-0.009947578700000001</v>
      </c>
      <c r="F28" s="124">
        <v>-0.032833845</v>
      </c>
      <c r="G28" s="130">
        <v>-0.008914758204205675</v>
      </c>
    </row>
    <row r="29" spans="1:7" ht="13.5" thickBot="1">
      <c r="A29" s="112" t="s">
        <v>88</v>
      </c>
      <c r="B29" s="107">
        <v>0.00310163799</v>
      </c>
      <c r="C29" s="91">
        <v>0.004502808839999999</v>
      </c>
      <c r="D29" s="91">
        <v>0.0019421172389999998</v>
      </c>
      <c r="E29" s="91">
        <v>0.0033597226029999996</v>
      </c>
      <c r="F29" s="127">
        <v>0.00337369076</v>
      </c>
      <c r="G29" s="131">
        <v>0.0032586730336517326</v>
      </c>
    </row>
    <row r="30" spans="1:7" ht="13.5" thickTop="1">
      <c r="A30" s="113" t="s">
        <v>89</v>
      </c>
      <c r="B30" s="108">
        <v>0.8945391919378404</v>
      </c>
      <c r="C30" s="97">
        <v>0.7504796042768154</v>
      </c>
      <c r="D30" s="97">
        <v>0.607304091240423</v>
      </c>
      <c r="E30" s="97">
        <v>0.3955390149573942</v>
      </c>
      <c r="F30" s="93">
        <v>0.3932940612874373</v>
      </c>
      <c r="G30" s="132" t="s">
        <v>96</v>
      </c>
    </row>
    <row r="31" spans="1:7" ht="13.5" thickBot="1">
      <c r="A31" s="114" t="s">
        <v>90</v>
      </c>
      <c r="B31" s="103">
        <v>23.864747</v>
      </c>
      <c r="C31" s="94">
        <v>23.971558</v>
      </c>
      <c r="D31" s="94">
        <v>24.069215</v>
      </c>
      <c r="E31" s="94">
        <v>24.163819</v>
      </c>
      <c r="F31" s="95">
        <v>24.264527</v>
      </c>
      <c r="G31" s="134">
        <v>-210.29</v>
      </c>
    </row>
    <row r="32" spans="1:7" ht="15.75" thickBot="1" thickTop="1">
      <c r="A32" s="115" t="s">
        <v>91</v>
      </c>
      <c r="B32" s="109">
        <v>-0.3464999943971634</v>
      </c>
      <c r="C32" s="98">
        <v>0.2774999961256981</v>
      </c>
      <c r="D32" s="98">
        <v>-0.35899999737739563</v>
      </c>
      <c r="E32" s="98">
        <v>0.29900000244379044</v>
      </c>
      <c r="F32" s="96">
        <v>-0.3564999997615814</v>
      </c>
      <c r="G32" s="101" t="s">
        <v>113</v>
      </c>
    </row>
    <row r="33" spans="1:7" ht="15" thickTop="1">
      <c r="A33" t="s">
        <v>114</v>
      </c>
      <c r="G33" s="6" t="s">
        <v>95</v>
      </c>
    </row>
    <row r="34" ht="14.25">
      <c r="A34" t="s">
        <v>115</v>
      </c>
    </row>
    <row r="35" spans="1:2" ht="12.75">
      <c r="A35" t="s">
        <v>116</v>
      </c>
      <c r="B35" t="s">
        <v>98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33203125" style="146" bestFit="1" customWidth="1"/>
    <col min="2" max="2" width="15.66015625" style="146" bestFit="1" customWidth="1"/>
    <col min="3" max="3" width="14.83203125" style="146" bestFit="1" customWidth="1"/>
    <col min="4" max="4" width="16" style="146" bestFit="1" customWidth="1"/>
    <col min="5" max="5" width="14.83203125" style="146" bestFit="1" customWidth="1"/>
    <col min="6" max="6" width="15.33203125" style="146" bestFit="1" customWidth="1"/>
    <col min="7" max="7" width="14.83203125" style="146" bestFit="1" customWidth="1"/>
    <col min="8" max="8" width="14.16015625" style="146" bestFit="1" customWidth="1"/>
    <col min="9" max="9" width="14.83203125" style="146" bestFit="1" customWidth="1"/>
    <col min="10" max="10" width="6.33203125" style="146" bestFit="1" customWidth="1"/>
    <col min="11" max="11" width="15" style="146" bestFit="1" customWidth="1"/>
    <col min="12" max="16384" width="10.66015625" style="146" customWidth="1"/>
  </cols>
  <sheetData>
    <row r="1" spans="1:4" ht="12.75">
      <c r="A1" s="146" t="s">
        <v>130</v>
      </c>
      <c r="B1" s="146" t="s">
        <v>131</v>
      </c>
      <c r="C1" s="146" t="s">
        <v>132</v>
      </c>
      <c r="D1" s="146" t="s">
        <v>133</v>
      </c>
    </row>
    <row r="3" spans="1:7" ht="12.75">
      <c r="A3" s="146" t="s">
        <v>134</v>
      </c>
      <c r="B3" s="146" t="s">
        <v>56</v>
      </c>
      <c r="C3" s="146" t="s">
        <v>57</v>
      </c>
      <c r="D3" s="146" t="s">
        <v>58</v>
      </c>
      <c r="E3" s="146" t="s">
        <v>59</v>
      </c>
      <c r="F3" s="146" t="s">
        <v>60</v>
      </c>
      <c r="G3" s="146" t="s">
        <v>135</v>
      </c>
    </row>
    <row r="4" spans="1:7" ht="12.75">
      <c r="A4" s="146" t="s">
        <v>136</v>
      </c>
      <c r="B4" s="146">
        <v>0.00224</v>
      </c>
      <c r="C4" s="146">
        <v>0.003762</v>
      </c>
      <c r="D4" s="146">
        <v>0.003762</v>
      </c>
      <c r="E4" s="146">
        <v>0.003765</v>
      </c>
      <c r="F4" s="146">
        <v>0.002119</v>
      </c>
      <c r="G4" s="146">
        <v>0.011734</v>
      </c>
    </row>
    <row r="5" spans="1:7" ht="12.75">
      <c r="A5" s="146" t="s">
        <v>137</v>
      </c>
      <c r="B5" s="146">
        <v>5.289656</v>
      </c>
      <c r="C5" s="146">
        <v>2.758105</v>
      </c>
      <c r="D5" s="146">
        <v>-0.237827</v>
      </c>
      <c r="E5" s="146">
        <v>-3.413261</v>
      </c>
      <c r="F5" s="146">
        <v>-4.022118</v>
      </c>
      <c r="G5" s="146">
        <v>10.638942</v>
      </c>
    </row>
    <row r="6" spans="1:7" ht="12.75">
      <c r="A6" s="146" t="s">
        <v>138</v>
      </c>
      <c r="B6" s="147">
        <v>-278.0205</v>
      </c>
      <c r="C6" s="147">
        <v>-253.703</v>
      </c>
      <c r="D6" s="147">
        <v>-208.9288</v>
      </c>
      <c r="E6" s="147">
        <v>-262.2138</v>
      </c>
      <c r="F6" s="147">
        <v>-186.3285</v>
      </c>
      <c r="G6" s="147">
        <v>-519.6742</v>
      </c>
    </row>
    <row r="7" spans="1:7" s="149" customFormat="1" ht="12.75">
      <c r="A7" s="149" t="s">
        <v>139</v>
      </c>
      <c r="B7" s="150">
        <v>10000</v>
      </c>
      <c r="C7" s="150">
        <v>10000</v>
      </c>
      <c r="D7" s="150">
        <v>10000</v>
      </c>
      <c r="E7" s="150">
        <v>10000</v>
      </c>
      <c r="F7" s="150">
        <v>10000</v>
      </c>
      <c r="G7" s="150">
        <v>10000</v>
      </c>
    </row>
    <row r="8" spans="1:7" ht="12.75">
      <c r="A8" s="146" t="s">
        <v>63</v>
      </c>
      <c r="B8" s="147">
        <v>-1.814879</v>
      </c>
      <c r="C8" s="147">
        <v>0.7535645</v>
      </c>
      <c r="D8" s="147">
        <v>1.495616</v>
      </c>
      <c r="E8" s="147">
        <v>-0.2678359</v>
      </c>
      <c r="F8" s="147">
        <v>-0.9216059</v>
      </c>
      <c r="G8" s="147">
        <v>-0.4962459</v>
      </c>
    </row>
    <row r="9" spans="1:7" ht="12.75">
      <c r="A9" s="146" t="s">
        <v>65</v>
      </c>
      <c r="B9" s="147">
        <v>0.1776165</v>
      </c>
      <c r="C9" s="147">
        <v>0.05613957</v>
      </c>
      <c r="D9" s="147">
        <v>0.09517249</v>
      </c>
      <c r="E9" s="147">
        <v>-0.08531614</v>
      </c>
      <c r="F9" s="147">
        <v>-1.331976</v>
      </c>
      <c r="G9" s="147">
        <v>0.1390773</v>
      </c>
    </row>
    <row r="10" spans="1:7" ht="12.75">
      <c r="A10" s="146" t="s">
        <v>67</v>
      </c>
      <c r="B10" s="147">
        <v>-0.4580231</v>
      </c>
      <c r="C10" s="147">
        <v>-1.308691</v>
      </c>
      <c r="D10" s="147">
        <v>-0.970433</v>
      </c>
      <c r="E10" s="147">
        <v>-0.8570243</v>
      </c>
      <c r="F10" s="147">
        <v>-0.7373349</v>
      </c>
      <c r="G10" s="147">
        <v>-1.462579</v>
      </c>
    </row>
    <row r="11" spans="1:7" ht="12.75">
      <c r="A11" s="146" t="s">
        <v>69</v>
      </c>
      <c r="B11" s="147">
        <v>3.543466</v>
      </c>
      <c r="C11" s="147">
        <v>4.577824</v>
      </c>
      <c r="D11" s="147">
        <v>4.826004</v>
      </c>
      <c r="E11" s="147">
        <v>3.942757</v>
      </c>
      <c r="F11" s="147">
        <v>14.05547</v>
      </c>
      <c r="G11" s="147">
        <v>5.619955</v>
      </c>
    </row>
    <row r="12" spans="1:7" ht="12.75">
      <c r="A12" s="146" t="s">
        <v>71</v>
      </c>
      <c r="B12" s="147">
        <v>0.2187954</v>
      </c>
      <c r="C12" s="147">
        <v>0.3779551</v>
      </c>
      <c r="D12" s="147">
        <v>0.0717363</v>
      </c>
      <c r="E12" s="147">
        <v>-0.03353052</v>
      </c>
      <c r="F12" s="147">
        <v>-0.2818624</v>
      </c>
      <c r="G12" s="147">
        <v>-0.002225163</v>
      </c>
    </row>
    <row r="13" spans="1:7" ht="12.75">
      <c r="A13" s="146" t="s">
        <v>73</v>
      </c>
      <c r="B13" s="147">
        <v>0.06955973</v>
      </c>
      <c r="C13" s="147">
        <v>0.0159472</v>
      </c>
      <c r="D13" s="147">
        <v>-0.05784371</v>
      </c>
      <c r="E13" s="147">
        <v>-0.04780629</v>
      </c>
      <c r="F13" s="147">
        <v>-0.0821357</v>
      </c>
      <c r="G13" s="147">
        <v>0.0227408</v>
      </c>
    </row>
    <row r="14" spans="1:7" ht="12.75">
      <c r="A14" s="146" t="s">
        <v>75</v>
      </c>
      <c r="B14" s="147">
        <v>-0.07561479</v>
      </c>
      <c r="C14" s="147">
        <v>-0.09968457</v>
      </c>
      <c r="D14" s="147">
        <v>-0.01214025</v>
      </c>
      <c r="E14" s="147">
        <v>-0.08622728</v>
      </c>
      <c r="F14" s="147">
        <v>0.09681634</v>
      </c>
      <c r="G14" s="147">
        <v>-0.02492147</v>
      </c>
    </row>
    <row r="15" spans="1:7" ht="12.75">
      <c r="A15" s="146" t="s">
        <v>77</v>
      </c>
      <c r="B15" s="147">
        <v>-0.356204</v>
      </c>
      <c r="C15" s="147">
        <v>-0.0806689</v>
      </c>
      <c r="D15" s="147">
        <v>0.0358768</v>
      </c>
      <c r="E15" s="147">
        <v>0.06107015</v>
      </c>
      <c r="F15" s="147">
        <v>-0.2573043</v>
      </c>
      <c r="G15" s="147">
        <v>-0.08190326</v>
      </c>
    </row>
    <row r="16" spans="1:7" ht="12.75">
      <c r="A16" s="146" t="s">
        <v>79</v>
      </c>
      <c r="B16" s="147">
        <v>0.01040922</v>
      </c>
      <c r="C16" s="147">
        <v>0.008012909</v>
      </c>
      <c r="D16" s="147">
        <v>0.02312885</v>
      </c>
      <c r="E16" s="147">
        <v>0.004797764</v>
      </c>
      <c r="F16" s="147">
        <v>-0.005438776</v>
      </c>
      <c r="G16" s="147">
        <v>0.003323633</v>
      </c>
    </row>
    <row r="17" spans="1:7" ht="12.75">
      <c r="A17" s="146" t="s">
        <v>81</v>
      </c>
      <c r="B17" s="147">
        <v>0.02731989</v>
      </c>
      <c r="C17" s="147">
        <v>0.01911626</v>
      </c>
      <c r="D17" s="147">
        <v>0.02527964</v>
      </c>
      <c r="E17" s="147">
        <v>0.03428209</v>
      </c>
      <c r="F17" s="147">
        <v>0.01256469</v>
      </c>
      <c r="G17" s="147">
        <v>-0.0245346</v>
      </c>
    </row>
    <row r="18" spans="1:7" ht="12.75">
      <c r="A18" s="146" t="s">
        <v>83</v>
      </c>
      <c r="B18" s="147">
        <v>0.0281038</v>
      </c>
      <c r="C18" s="147">
        <v>0.03198461</v>
      </c>
      <c r="D18" s="147">
        <v>0.02452165</v>
      </c>
      <c r="E18" s="147">
        <v>0.04462269</v>
      </c>
      <c r="F18" s="147">
        <v>0.002281226</v>
      </c>
      <c r="G18" s="147">
        <v>0.07591804</v>
      </c>
    </row>
    <row r="19" spans="1:7" ht="12.75">
      <c r="A19" s="146" t="s">
        <v>85</v>
      </c>
      <c r="B19" s="147">
        <v>-0.1858605</v>
      </c>
      <c r="C19" s="147">
        <v>-0.1733083</v>
      </c>
      <c r="D19" s="147">
        <v>-0.1930091</v>
      </c>
      <c r="E19" s="147">
        <v>-0.1893336</v>
      </c>
      <c r="F19" s="147">
        <v>-0.1356973</v>
      </c>
      <c r="G19" s="147">
        <v>-0.1786042</v>
      </c>
    </row>
    <row r="20" spans="1:7" ht="12.75">
      <c r="A20" s="146" t="s">
        <v>87</v>
      </c>
      <c r="B20" s="147">
        <v>0.004497835</v>
      </c>
      <c r="C20" s="147">
        <v>0.00475667</v>
      </c>
      <c r="D20" s="147">
        <v>0.0006119376</v>
      </c>
      <c r="E20" s="147">
        <v>0.003387391</v>
      </c>
      <c r="F20" s="147">
        <v>-1.41048E-05</v>
      </c>
      <c r="G20" s="147">
        <v>-0.003318472</v>
      </c>
    </row>
    <row r="21" spans="1:7" ht="12.75">
      <c r="A21" s="146" t="s">
        <v>140</v>
      </c>
      <c r="B21" s="147">
        <v>-472.0543</v>
      </c>
      <c r="C21" s="147">
        <v>-477.6442</v>
      </c>
      <c r="D21" s="147">
        <v>-484.5303</v>
      </c>
      <c r="E21" s="147">
        <v>-554.8434</v>
      </c>
      <c r="F21" s="147">
        <v>-644.5628</v>
      </c>
      <c r="G21" s="147">
        <v>239.3416</v>
      </c>
    </row>
    <row r="22" spans="1:7" ht="12.75">
      <c r="A22" s="146" t="s">
        <v>141</v>
      </c>
      <c r="B22" s="147">
        <v>105.7971</v>
      </c>
      <c r="C22" s="147">
        <v>55.16267</v>
      </c>
      <c r="D22" s="147">
        <v>-4.756537</v>
      </c>
      <c r="E22" s="147">
        <v>-68.26629</v>
      </c>
      <c r="F22" s="147">
        <v>-80.4441</v>
      </c>
      <c r="G22" s="147">
        <v>0</v>
      </c>
    </row>
    <row r="23" spans="1:7" ht="12.75">
      <c r="A23" s="146" t="s">
        <v>64</v>
      </c>
      <c r="B23" s="147">
        <v>-0.7509746</v>
      </c>
      <c r="C23" s="147">
        <v>0.003545468</v>
      </c>
      <c r="D23" s="147">
        <v>-0.6031384</v>
      </c>
      <c r="E23" s="147">
        <v>0.8107742</v>
      </c>
      <c r="F23" s="147">
        <v>4.082974</v>
      </c>
      <c r="G23" s="147">
        <v>0.0917947</v>
      </c>
    </row>
    <row r="24" spans="1:7" ht="12.75">
      <c r="A24" s="146" t="s">
        <v>66</v>
      </c>
      <c r="B24" s="147">
        <v>-0.598164</v>
      </c>
      <c r="C24" s="147">
        <v>-0.09336712</v>
      </c>
      <c r="D24" s="147">
        <v>0.1884133</v>
      </c>
      <c r="E24" s="147">
        <v>1.414835</v>
      </c>
      <c r="F24" s="147">
        <v>0.2917613</v>
      </c>
      <c r="G24" s="147">
        <v>-0.3171178</v>
      </c>
    </row>
    <row r="25" spans="1:7" ht="12.75">
      <c r="A25" s="146" t="s">
        <v>68</v>
      </c>
      <c r="B25" s="147">
        <v>-0.9846826</v>
      </c>
      <c r="C25" s="147">
        <v>-0.8111739</v>
      </c>
      <c r="D25" s="147">
        <v>-1.027288</v>
      </c>
      <c r="E25" s="147">
        <v>-0.4415037</v>
      </c>
      <c r="F25" s="147">
        <v>-5.71158</v>
      </c>
      <c r="G25" s="147">
        <v>0.9195557</v>
      </c>
    </row>
    <row r="26" spans="1:7" ht="12.75">
      <c r="A26" s="146" t="s">
        <v>70</v>
      </c>
      <c r="B26" s="147">
        <v>0.5253826</v>
      </c>
      <c r="C26" s="147">
        <v>0.189885</v>
      </c>
      <c r="D26" s="147">
        <v>0.1467008</v>
      </c>
      <c r="E26" s="147">
        <v>-0.3806805</v>
      </c>
      <c r="F26" s="147">
        <v>2.483719</v>
      </c>
      <c r="G26" s="147">
        <v>0.4009382</v>
      </c>
    </row>
    <row r="27" spans="1:7" ht="12.75">
      <c r="A27" s="146" t="s">
        <v>72</v>
      </c>
      <c r="B27" s="147">
        <v>0.04387993</v>
      </c>
      <c r="C27" s="147">
        <v>0.008830828</v>
      </c>
      <c r="D27" s="147">
        <v>-0.0267013</v>
      </c>
      <c r="E27" s="147">
        <v>-0.1794404</v>
      </c>
      <c r="F27" s="147">
        <v>0.3205911</v>
      </c>
      <c r="G27" s="147">
        <v>0.09321042</v>
      </c>
    </row>
    <row r="28" spans="1:7" ht="12.75">
      <c r="A28" s="146" t="s">
        <v>74</v>
      </c>
      <c r="B28" s="147">
        <v>-0.08788229</v>
      </c>
      <c r="C28" s="147">
        <v>0.01046788</v>
      </c>
      <c r="D28" s="147">
        <v>0.09945152</v>
      </c>
      <c r="E28" s="147">
        <v>0.198529</v>
      </c>
      <c r="F28" s="147">
        <v>-0.07969553</v>
      </c>
      <c r="G28" s="147">
        <v>-0.0508204</v>
      </c>
    </row>
    <row r="29" spans="1:7" ht="12.75">
      <c r="A29" s="146" t="s">
        <v>76</v>
      </c>
      <c r="B29" s="147">
        <v>0.04327505</v>
      </c>
      <c r="C29" s="147">
        <v>-0.00255523</v>
      </c>
      <c r="D29" s="147">
        <v>-0.054369</v>
      </c>
      <c r="E29" s="147">
        <v>-0.07746452</v>
      </c>
      <c r="F29" s="147">
        <v>0.008926199</v>
      </c>
      <c r="G29" s="147">
        <v>0.04534523</v>
      </c>
    </row>
    <row r="30" spans="1:7" ht="12.75">
      <c r="A30" s="146" t="s">
        <v>78</v>
      </c>
      <c r="B30" s="147">
        <v>-0.02382172</v>
      </c>
      <c r="C30" s="147">
        <v>0.02905313</v>
      </c>
      <c r="D30" s="147">
        <v>0.0149664</v>
      </c>
      <c r="E30" s="147">
        <v>-0.04385931</v>
      </c>
      <c r="F30" s="147">
        <v>0.1241147</v>
      </c>
      <c r="G30" s="147">
        <v>0.01342614</v>
      </c>
    </row>
    <row r="31" spans="1:7" ht="12.75">
      <c r="A31" s="146" t="s">
        <v>80</v>
      </c>
      <c r="B31" s="147">
        <v>-0.006804359</v>
      </c>
      <c r="C31" s="147">
        <v>0.009278981</v>
      </c>
      <c r="D31" s="147">
        <v>-0.004585203</v>
      </c>
      <c r="E31" s="147">
        <v>-0.02507544</v>
      </c>
      <c r="F31" s="147">
        <v>0.01886264</v>
      </c>
      <c r="G31" s="147">
        <v>0.009395584</v>
      </c>
    </row>
    <row r="32" spans="1:7" ht="12.75">
      <c r="A32" s="146" t="s">
        <v>82</v>
      </c>
      <c r="B32" s="147">
        <v>-0.04189233</v>
      </c>
      <c r="C32" s="147">
        <v>-0.02719316</v>
      </c>
      <c r="D32" s="147">
        <v>-0.01146701</v>
      </c>
      <c r="E32" s="147">
        <v>-0.02483447</v>
      </c>
      <c r="F32" s="147">
        <v>-0.009933767</v>
      </c>
      <c r="G32" s="147">
        <v>0.02261073</v>
      </c>
    </row>
    <row r="33" spans="1:7" ht="12.75">
      <c r="A33" s="146" t="s">
        <v>84</v>
      </c>
      <c r="B33" s="147">
        <v>0.07902695</v>
      </c>
      <c r="C33" s="147">
        <v>0.06751019</v>
      </c>
      <c r="D33" s="147">
        <v>0.07496172</v>
      </c>
      <c r="E33" s="147">
        <v>0.08519478</v>
      </c>
      <c r="F33" s="147">
        <v>0.07277028</v>
      </c>
      <c r="G33" s="147">
        <v>-0.02865066</v>
      </c>
    </row>
    <row r="34" spans="1:7" ht="12.75">
      <c r="A34" s="146" t="s">
        <v>86</v>
      </c>
      <c r="B34" s="147">
        <v>-0.02741545</v>
      </c>
      <c r="C34" s="147">
        <v>-0.008451083</v>
      </c>
      <c r="D34" s="147">
        <v>0.001862167</v>
      </c>
      <c r="E34" s="147">
        <v>-0.0008875908</v>
      </c>
      <c r="F34" s="147">
        <v>-0.02524261</v>
      </c>
      <c r="G34" s="147">
        <v>-0.009146429</v>
      </c>
    </row>
    <row r="35" spans="1:7" ht="12.75">
      <c r="A35" s="146" t="s">
        <v>88</v>
      </c>
      <c r="B35" s="147">
        <v>0.00346412</v>
      </c>
      <c r="C35" s="147">
        <v>0.00470279</v>
      </c>
      <c r="D35" s="147">
        <v>0.001939045</v>
      </c>
      <c r="E35" s="147">
        <v>0.003191662</v>
      </c>
      <c r="F35" s="147">
        <v>0.003380302</v>
      </c>
      <c r="G35" s="147">
        <v>0.002747534</v>
      </c>
    </row>
    <row r="36" spans="1:6" ht="12.75">
      <c r="A36" s="146" t="s">
        <v>142</v>
      </c>
      <c r="B36" s="147">
        <v>24.26453</v>
      </c>
      <c r="C36" s="147">
        <v>24.26148</v>
      </c>
      <c r="D36" s="147">
        <v>24.27979</v>
      </c>
      <c r="E36" s="147">
        <v>24.29199</v>
      </c>
      <c r="F36" s="147">
        <v>24.30725</v>
      </c>
    </row>
    <row r="37" spans="1:6" ht="12.75">
      <c r="A37" s="146" t="s">
        <v>143</v>
      </c>
      <c r="B37" s="147">
        <v>-0.3814697</v>
      </c>
      <c r="C37" s="147">
        <v>-0.3448486</v>
      </c>
      <c r="D37" s="147">
        <v>-0.3250122</v>
      </c>
      <c r="E37" s="147">
        <v>-0.3158569</v>
      </c>
      <c r="F37" s="147">
        <v>-0.3112793</v>
      </c>
    </row>
    <row r="38" spans="1:7" ht="12.75">
      <c r="A38" s="146" t="s">
        <v>144</v>
      </c>
      <c r="B38" s="147">
        <v>0.0004810711</v>
      </c>
      <c r="C38" s="147">
        <v>0.0004357611</v>
      </c>
      <c r="D38" s="147">
        <v>0.0003547871</v>
      </c>
      <c r="E38" s="147">
        <v>0.0004393038</v>
      </c>
      <c r="F38" s="147">
        <v>0.0003079239</v>
      </c>
      <c r="G38" s="147">
        <v>0.0002081259</v>
      </c>
    </row>
    <row r="39" spans="1:7" ht="12.75">
      <c r="A39" s="146" t="s">
        <v>145</v>
      </c>
      <c r="B39" s="147">
        <v>0.0007974027</v>
      </c>
      <c r="C39" s="147">
        <v>0.0008095913</v>
      </c>
      <c r="D39" s="147">
        <v>0.0008238702</v>
      </c>
      <c r="E39" s="147">
        <v>0.0009462327</v>
      </c>
      <c r="F39" s="147">
        <v>0.001098234</v>
      </c>
      <c r="G39" s="147">
        <v>0.0004395272</v>
      </c>
    </row>
    <row r="40" spans="2:5" ht="12.75">
      <c r="B40" s="146" t="s">
        <v>146</v>
      </c>
      <c r="C40" s="146">
        <v>0.003763</v>
      </c>
      <c r="D40" s="146" t="s">
        <v>147</v>
      </c>
      <c r="E40" s="146">
        <v>3.118268</v>
      </c>
    </row>
    <row r="42" ht="12.75">
      <c r="A42" s="146" t="s">
        <v>148</v>
      </c>
    </row>
    <row r="50" spans="1:7" ht="12.75">
      <c r="A50" s="146" t="s">
        <v>149</v>
      </c>
      <c r="B50" s="146">
        <f>-0.017/(B7*B7+B22*B22)*(B21*B22+B6*B7)</f>
        <v>0.00048107113949753545</v>
      </c>
      <c r="C50" s="146">
        <f>-0.017/(C7*C7+C22*C22)*(C21*C22+C6*C7)</f>
        <v>0.00043576102213494373</v>
      </c>
      <c r="D50" s="146">
        <f>-0.017/(D7*D7+D22*D22)*(D21*D22+D6*D7)</f>
        <v>0.0003547870830597576</v>
      </c>
      <c r="E50" s="146">
        <f>-0.017/(E7*E7+E22*E22)*(E21*E22+E6*E7)</f>
        <v>0.0004393038801049112</v>
      </c>
      <c r="F50" s="146">
        <f>-0.017/(F7*F7+F22*F22)*(F21*F22+F6*F7)</f>
        <v>0.00030792380683300876</v>
      </c>
      <c r="G50" s="146">
        <f>(B50*B$4+C50*C$4+D50*D$4+E50*E$4+F50*F$4)/SUM(B$4:F$4)</f>
        <v>0.00040632099817811113</v>
      </c>
    </row>
    <row r="51" spans="1:7" ht="12.75">
      <c r="A51" s="146" t="s">
        <v>150</v>
      </c>
      <c r="B51" s="146">
        <f>-0.017/(B7*B7+B22*B22)*(B21*B7-B6*B22)</f>
        <v>0.0007974027168547466</v>
      </c>
      <c r="C51" s="146">
        <f>-0.017/(C7*C7+C22*C22)*(C21*C7-C6*C22)</f>
        <v>0.0008095913658537107</v>
      </c>
      <c r="D51" s="146">
        <f>-0.017/(D7*D7+D22*D22)*(D21*D7-D6*D22)</f>
        <v>0.0008238702657887696</v>
      </c>
      <c r="E51" s="146">
        <f>-0.017/(E7*E7+E22*E22)*(E21*E7-E6*E22)</f>
        <v>0.0009462327446077367</v>
      </c>
      <c r="F51" s="146">
        <f>-0.017/(F7*F7+F22*F22)*(F21*F7-F6*F22)</f>
        <v>0.0010982338253509255</v>
      </c>
      <c r="G51" s="146">
        <f>(B51*B$4+C51*C$4+D51*D$4+E51*E$4+F51*F$4)/SUM(B$4:F$4)</f>
        <v>0.000883243130327223</v>
      </c>
    </row>
    <row r="52" spans="1:7" ht="12.75">
      <c r="A52" s="146" t="s">
        <v>150</v>
      </c>
      <c r="B52" s="146">
        <f aca="true" t="shared" si="0" ref="B51:F52">-0.017/(B8*B8+B23*B23)*(B22*B8-B7*B23)</f>
        <v>-32.24718401610026</v>
      </c>
      <c r="C52" s="146">
        <f t="shared" si="0"/>
        <v>-0.1830291729003009</v>
      </c>
      <c r="D52" s="146">
        <f t="shared" si="0"/>
        <v>-39.37971683683454</v>
      </c>
      <c r="E52" s="146">
        <f t="shared" si="0"/>
        <v>188.61953752517968</v>
      </c>
      <c r="F52" s="146">
        <f t="shared" si="0"/>
        <v>39.54588406612752</v>
      </c>
      <c r="G52" s="146">
        <f>(B52*B$5+C52*C$5+D52*D$5+E52*E$5+F52*F$5)/SUM(B$5:F$5)</f>
        <v>-2575.273825140912</v>
      </c>
    </row>
    <row r="58" ht="12.75">
      <c r="A58" s="146" t="s">
        <v>152</v>
      </c>
    </row>
    <row r="59" ht="12.75">
      <c r="A59" s="146" t="s">
        <v>152</v>
      </c>
    </row>
    <row r="60" spans="2:6" ht="12.75">
      <c r="B60" s="146" t="s">
        <v>56</v>
      </c>
      <c r="C60" s="146" t="s">
        <v>57</v>
      </c>
      <c r="D60" s="146" t="s">
        <v>58</v>
      </c>
      <c r="E60" s="146" t="s">
        <v>59</v>
      </c>
      <c r="F60" s="146" t="s">
        <v>60</v>
      </c>
    </row>
    <row r="61" spans="1:6" ht="12.75">
      <c r="A61" s="146" t="s">
        <v>154</v>
      </c>
      <c r="B61" s="146">
        <f>B6+(1/0.017)*(B7*B50-B22*B51)</f>
        <v>0</v>
      </c>
      <c r="C61" s="146">
        <f>C6+(1/0.017)*(C7*C50-C22*C51)</f>
        <v>0</v>
      </c>
      <c r="D61" s="146">
        <f>D6+(1/0.017)*(D7*D50-D22*D51)</f>
        <v>0</v>
      </c>
      <c r="E61" s="146">
        <f>E6+(1/0.017)*(E7*E50-E22*E51)</f>
        <v>0</v>
      </c>
      <c r="F61" s="146">
        <f>F6+(1/0.017)*(F7*F50-F22*F51)</f>
        <v>0</v>
      </c>
    </row>
    <row r="62" spans="1:6" ht="12.75">
      <c r="A62" s="146" t="s">
        <v>157</v>
      </c>
      <c r="B62" s="146">
        <f>B7+(2/0.017)*(B8*B50-B23*B51)</f>
        <v>9999.967734503265</v>
      </c>
      <c r="C62" s="146">
        <f>C7+(2/0.017)*(C8*C50-C23*C51)</f>
        <v>10000.038294547821</v>
      </c>
      <c r="D62" s="146">
        <f>D7+(2/0.017)*(D8*D50-D23*D51)</f>
        <v>10000.12088623905</v>
      </c>
      <c r="E62" s="146">
        <f>E7+(2/0.017)*(E8*E50-E23*E51)</f>
        <v>9999.895900888632</v>
      </c>
      <c r="F62" s="146">
        <f>F7+(2/0.017)*(F8*F50-F23*F51)</f>
        <v>9999.439077111534</v>
      </c>
    </row>
    <row r="63" spans="1:6" ht="12.75">
      <c r="A63" s="146" t="s">
        <v>158</v>
      </c>
      <c r="B63" s="146">
        <f>B8+(3/0.017)*(B9*B50-B24*B51)</f>
        <v>-1.7156277463341294</v>
      </c>
      <c r="C63" s="146">
        <f>C8+(3/0.017)*(C9*C50-C24*C51)</f>
        <v>0.7712208501080077</v>
      </c>
      <c r="D63" s="146">
        <f>D8+(3/0.017)*(D9*D50-D24*D51)</f>
        <v>1.474181503746852</v>
      </c>
      <c r="E63" s="146">
        <f>E8+(3/0.017)*(E9*E50-E24*E51)</f>
        <v>-0.5107022970390579</v>
      </c>
      <c r="F63" s="146">
        <f>F8+(3/0.017)*(F9*F50-F24*F51)</f>
        <v>-1.0505298851385698</v>
      </c>
    </row>
    <row r="64" spans="1:6" ht="12.75">
      <c r="A64" s="146" t="s">
        <v>159</v>
      </c>
      <c r="B64" s="146">
        <f>B9+(4/0.017)*(B10*B50-B25*B51)</f>
        <v>0.3105216496109181</v>
      </c>
      <c r="C64" s="146">
        <f>C9+(4/0.017)*(C10*C50-C25*C51)</f>
        <v>0.07647906595931286</v>
      </c>
      <c r="D64" s="146">
        <f>D9+(4/0.017)*(D10*D50-D25*D51)</f>
        <v>0.2133030651121609</v>
      </c>
      <c r="E64" s="146">
        <f>E9+(4/0.017)*(E10*E50-E25*E51)</f>
        <v>-0.07560527941852345</v>
      </c>
      <c r="F64" s="146">
        <f>F9+(4/0.017)*(F10*F50-F25*F51)</f>
        <v>0.09051985479505942</v>
      </c>
    </row>
    <row r="65" spans="1:6" ht="12.75">
      <c r="A65" s="146" t="s">
        <v>160</v>
      </c>
      <c r="B65" s="146">
        <f>B10+(5/0.017)*(B11*B50-B26*B51)</f>
        <v>-0.0798708312463049</v>
      </c>
      <c r="C65" s="146">
        <f>C10+(5/0.017)*(C11*C50-C26*C51)</f>
        <v>-0.767188644444487</v>
      </c>
      <c r="D65" s="146">
        <f>D10+(5/0.017)*(D11*D50-D26*D51)</f>
        <v>-0.5023913956155007</v>
      </c>
      <c r="E65" s="146">
        <f>E10+(5/0.017)*(E11*E50-E26*E51)</f>
        <v>-0.24164759331045738</v>
      </c>
      <c r="F65" s="146">
        <f>F10+(5/0.017)*(F11*F50-F26*F51)</f>
        <v>-0.2666556027175371</v>
      </c>
    </row>
    <row r="66" spans="1:6" ht="12.75">
      <c r="A66" s="146" t="s">
        <v>161</v>
      </c>
      <c r="B66" s="146">
        <f>B11+(6/0.017)*(B12*B50-B27*B51)</f>
        <v>3.568265827175561</v>
      </c>
      <c r="C66" s="146">
        <f>C11+(6/0.017)*(C12*C50-C27*C51)</f>
        <v>4.633429437151167</v>
      </c>
      <c r="D66" s="146">
        <f>D11+(6/0.017)*(D12*D50-D27*D51)</f>
        <v>4.842750889325084</v>
      </c>
      <c r="E66" s="146">
        <f>E11+(6/0.017)*(E12*E50-E27*E51)</f>
        <v>3.9974848686991438</v>
      </c>
      <c r="F66" s="146">
        <f>F11+(6/0.017)*(F12*F50-F27*F51)</f>
        <v>13.900572541174983</v>
      </c>
    </row>
    <row r="67" spans="1:6" ht="12.75">
      <c r="A67" s="146" t="s">
        <v>162</v>
      </c>
      <c r="B67" s="146">
        <f>B12+(7/0.017)*(B13*B50-B28*B51)</f>
        <v>0.26142982868738845</v>
      </c>
      <c r="C67" s="146">
        <f>C12+(7/0.017)*(C13*C50-C28*C51)</f>
        <v>0.37732693766692843</v>
      </c>
      <c r="D67" s="146">
        <f>D12+(7/0.017)*(D13*D50-D28*D51)</f>
        <v>0.02954797885186696</v>
      </c>
      <c r="E67" s="146">
        <f>E12+(7/0.017)*(E13*E50-E28*E51)</f>
        <v>-0.11953010263014999</v>
      </c>
      <c r="F67" s="146">
        <f>F12+(7/0.017)*(F13*F50-F28*F51)</f>
        <v>-0.25623713379525714</v>
      </c>
    </row>
    <row r="68" spans="1:6" ht="12.75">
      <c r="A68" s="146" t="s">
        <v>163</v>
      </c>
      <c r="B68" s="146">
        <f>B13+(8/0.017)*(B14*B50-B29*B51)</f>
        <v>0.03620267793873325</v>
      </c>
      <c r="C68" s="146">
        <f>C13+(8/0.017)*(C14*C50-C29*C51)</f>
        <v>-0.003521015514593863</v>
      </c>
      <c r="D68" s="146">
        <f>D13+(8/0.017)*(D14*D50-D29*D51)</f>
        <v>-0.03879156948444547</v>
      </c>
      <c r="E68" s="146">
        <f>E13+(8/0.017)*(E14*E50-E29*E51)</f>
        <v>-0.031138296261445507</v>
      </c>
      <c r="F68" s="146">
        <f>F13+(8/0.017)*(F14*F50-F29*F51)</f>
        <v>-0.07271969891631752</v>
      </c>
    </row>
    <row r="69" spans="1:6" ht="12.75">
      <c r="A69" s="146" t="s">
        <v>164</v>
      </c>
      <c r="B69" s="146">
        <f>B14+(9/0.017)*(B15*B50-B30*B51)</f>
        <v>-0.15627806290169668</v>
      </c>
      <c r="C69" s="146">
        <f>C14+(9/0.017)*(C15*C50-C30*C51)</f>
        <v>-0.13074702468574959</v>
      </c>
      <c r="D69" s="146">
        <f>D14+(9/0.017)*(D15*D50-D30*D51)</f>
        <v>-0.011929410030555563</v>
      </c>
      <c r="E69" s="146">
        <f>E14+(9/0.017)*(E15*E50-E30*E51)</f>
        <v>-0.05005285516568151</v>
      </c>
      <c r="F69" s="146">
        <f>F14+(9/0.017)*(F15*F50-F30*F51)</f>
        <v>-0.017291526588474437</v>
      </c>
    </row>
    <row r="70" spans="1:6" ht="12.75">
      <c r="A70" s="146" t="s">
        <v>165</v>
      </c>
      <c r="B70" s="146">
        <f>B15+(10/0.017)*(B16*B50-B31*B51)</f>
        <v>-0.35006671195309674</v>
      </c>
      <c r="C70" s="146">
        <f>C15+(10/0.017)*(C16*C50-C31*C51)</f>
        <v>-0.08303388205023902</v>
      </c>
      <c r="D70" s="146">
        <f>D15+(10/0.017)*(D16*D50-D31*D51)</f>
        <v>0.042925876259018905</v>
      </c>
      <c r="E70" s="146">
        <f>E15+(10/0.017)*(E16*E50-E31*E51)</f>
        <v>0.07626713750263193</v>
      </c>
      <c r="F70" s="146">
        <f>F15+(10/0.017)*(F16*F50-F31*F51)</f>
        <v>-0.2704750752316761</v>
      </c>
    </row>
    <row r="71" spans="1:6" ht="12.75">
      <c r="A71" s="146" t="s">
        <v>166</v>
      </c>
      <c r="B71" s="146">
        <f>B16+(11/0.017)*(B17*B50-B32*B51)</f>
        <v>0.040528428945697186</v>
      </c>
      <c r="C71" s="146">
        <f>C16+(11/0.017)*(C17*C50-C32*C51)</f>
        <v>0.027648212175060832</v>
      </c>
      <c r="D71" s="146">
        <f>D16+(11/0.017)*(D17*D50-D32*D51)</f>
        <v>0.03504522655540798</v>
      </c>
      <c r="E71" s="146">
        <f>E16+(11/0.017)*(E17*E50-E32*E51)</f>
        <v>0.029747992382642766</v>
      </c>
      <c r="F71" s="146">
        <f>F16+(11/0.017)*(F17*F50-F32*F51)</f>
        <v>0.0041238255999615095</v>
      </c>
    </row>
    <row r="72" spans="1:6" ht="12.75">
      <c r="A72" s="146" t="s">
        <v>167</v>
      </c>
      <c r="B72" s="146">
        <f>B17+(12/0.017)*(B18*B50-B33*B51)</f>
        <v>-0.00761872944320003</v>
      </c>
      <c r="C72" s="146">
        <f>C17+(12/0.017)*(C18*C50-C33*C51)</f>
        <v>-0.009625872177615985</v>
      </c>
      <c r="D72" s="146">
        <f>D17+(12/0.017)*(D18*D50-D33*D51)</f>
        <v>-0.012173607650638359</v>
      </c>
      <c r="E72" s="146">
        <f>E17+(12/0.017)*(E18*E50-E33*E51)</f>
        <v>-0.008784617986776724</v>
      </c>
      <c r="F72" s="146">
        <f>F17+(12/0.017)*(F18*F50-F33*F51)</f>
        <v>-0.04335272589324107</v>
      </c>
    </row>
    <row r="73" spans="1:6" ht="12.75">
      <c r="A73" s="146" t="s">
        <v>168</v>
      </c>
      <c r="B73" s="146">
        <f>B18+(13/0.017)*(B19*B50-B34*B51)</f>
        <v>-0.023552822747895347</v>
      </c>
      <c r="C73" s="146">
        <f>C18+(13/0.017)*(C19*C50-C34*C51)</f>
        <v>-0.02053468503566077</v>
      </c>
      <c r="D73" s="146">
        <f>D18+(13/0.017)*(D19*D50-D34*D51)</f>
        <v>-0.02901641794028751</v>
      </c>
      <c r="E73" s="146">
        <f>E18+(13/0.017)*(E19*E50-E34*E51)</f>
        <v>-0.0183394587800566</v>
      </c>
      <c r="F73" s="146">
        <f>F18+(13/0.017)*(F19*F50-F34*F51)</f>
        <v>-0.008472175980038299</v>
      </c>
    </row>
    <row r="74" spans="1:6" ht="12.75">
      <c r="A74" s="146" t="s">
        <v>169</v>
      </c>
      <c r="B74" s="146">
        <f>B19+(14/0.017)*(B20*B50-B35*B51)</f>
        <v>-0.1863533988982968</v>
      </c>
      <c r="C74" s="146">
        <f>C19+(14/0.017)*(C20*C50-C35*C51)</f>
        <v>-0.17473676677504138</v>
      </c>
      <c r="D74" s="146">
        <f>D19+(14/0.017)*(D20*D50-D35*D51)</f>
        <v>-0.19414591149927699</v>
      </c>
      <c r="E74" s="146">
        <f>E19+(14/0.017)*(E20*E50-E35*E51)</f>
        <v>-0.19059521501067225</v>
      </c>
      <c r="F74" s="146">
        <f>F19+(14/0.017)*(F20*F50-F35*F51)</f>
        <v>-0.1387581160470687</v>
      </c>
    </row>
    <row r="75" spans="1:6" ht="12.75">
      <c r="A75" s="146" t="s">
        <v>170</v>
      </c>
      <c r="B75" s="147">
        <f>B20</f>
        <v>0.004497835</v>
      </c>
      <c r="C75" s="147">
        <f>C20</f>
        <v>0.00475667</v>
      </c>
      <c r="D75" s="147">
        <f>D20</f>
        <v>0.0006119376</v>
      </c>
      <c r="E75" s="147">
        <f>E20</f>
        <v>0.003387391</v>
      </c>
      <c r="F75" s="147">
        <f>F20</f>
        <v>-1.41048E-05</v>
      </c>
    </row>
    <row r="76" spans="1:6" ht="12.75">
      <c r="A76" s="146" t="s">
        <v>170</v>
      </c>
      <c r="B76" s="147">
        <f aca="true" t="shared" si="1" ref="B75:F76">B21</f>
        <v>-472.0543</v>
      </c>
      <c r="C76" s="147">
        <f t="shared" si="1"/>
        <v>-477.6442</v>
      </c>
      <c r="D76" s="147">
        <f t="shared" si="1"/>
        <v>-484.5303</v>
      </c>
      <c r="E76" s="147">
        <f t="shared" si="1"/>
        <v>-554.8434</v>
      </c>
      <c r="F76" s="147">
        <f t="shared" si="1"/>
        <v>-644.5628</v>
      </c>
    </row>
    <row r="78" ht="12.75">
      <c r="A78" s="146" t="s">
        <v>152</v>
      </c>
    </row>
    <row r="79" ht="12.75">
      <c r="A79" s="146" t="s">
        <v>152</v>
      </c>
    </row>
    <row r="80" spans="2:6" ht="12.75">
      <c r="B80" s="146" t="s">
        <v>56</v>
      </c>
      <c r="C80" s="146" t="s">
        <v>57</v>
      </c>
      <c r="D80" s="146" t="s">
        <v>58</v>
      </c>
      <c r="E80" s="146" t="s">
        <v>59</v>
      </c>
      <c r="F80" s="146" t="s">
        <v>60</v>
      </c>
    </row>
    <row r="81" spans="1:6" ht="12.75">
      <c r="A81" s="146" t="s">
        <v>171</v>
      </c>
      <c r="B81" s="146">
        <f>B21+(1/0.017)*(B7*B51+B22*B50)</f>
        <v>0</v>
      </c>
      <c r="C81" s="146">
        <f>C21+(1/0.017)*(C7*C51+C22*C50)</f>
        <v>0</v>
      </c>
      <c r="D81" s="146">
        <f>D21+(1/0.017)*(D7*D51+D22*D50)</f>
        <v>0</v>
      </c>
      <c r="E81" s="146">
        <f>E21+(1/0.017)*(E7*E51+E22*E50)</f>
        <v>0</v>
      </c>
      <c r="F81" s="146">
        <f>F21+(1/0.017)*(F7*F51+F22*F50)</f>
        <v>0</v>
      </c>
    </row>
    <row r="82" spans="1:6" ht="12.75">
      <c r="A82" s="146" t="s">
        <v>172</v>
      </c>
      <c r="B82" s="146">
        <f>B22+(2/0.017)*(B8*B51+B23*B50)</f>
        <v>105.58433980565667</v>
      </c>
      <c r="C82" s="146">
        <f>C22+(2/0.017)*(C8*C51+C23*C50)</f>
        <v>55.23462579877335</v>
      </c>
      <c r="D82" s="146">
        <f>D22+(2/0.017)*(D8*D51+D23*D50)</f>
        <v>-4.63674784260934</v>
      </c>
      <c r="E82" s="146">
        <f>E22+(2/0.017)*(E8*E51+E23*E50)</f>
        <v>-68.25420280550735</v>
      </c>
      <c r="F82" s="146">
        <f>F22+(2/0.017)*(F8*F51+F23*F50)</f>
        <v>-80.41526398538151</v>
      </c>
    </row>
    <row r="83" spans="1:6" ht="12.75">
      <c r="A83" s="146" t="s">
        <v>173</v>
      </c>
      <c r="B83" s="146">
        <f>B23+(3/0.017)*(B9*B51+B24*B50)</f>
        <v>-0.7767618160167364</v>
      </c>
      <c r="C83" s="146">
        <f>C23+(3/0.017)*(C9*C51+C24*C50)</f>
        <v>0.0043862373252489505</v>
      </c>
      <c r="D83" s="146">
        <f>D23+(3/0.017)*(D9*D51+D24*D50)</f>
        <v>-0.5775049194561043</v>
      </c>
      <c r="E83" s="146">
        <f>E23+(3/0.017)*(E9*E51+E24*E50)</f>
        <v>0.9062118905700048</v>
      </c>
      <c r="F83" s="146">
        <f>F23+(3/0.017)*(F9*F51+F24*F50)</f>
        <v>3.8406832621929867</v>
      </c>
    </row>
    <row r="84" spans="1:6" ht="12.75">
      <c r="A84" s="146" t="s">
        <v>174</v>
      </c>
      <c r="B84" s="146">
        <f>B24+(4/0.017)*(B10*B51+B25*B50)</f>
        <v>-0.7955595869994422</v>
      </c>
      <c r="C84" s="146">
        <f>C24+(4/0.017)*(C10*C51+C25*C50)</f>
        <v>-0.425833685167917</v>
      </c>
      <c r="D84" s="146">
        <f>D24+(4/0.017)*(D10*D51+D25*D50)</f>
        <v>-0.08546420744058475</v>
      </c>
      <c r="E84" s="146">
        <f>E24+(4/0.017)*(E10*E51+E25*E50)</f>
        <v>1.1783882366881886</v>
      </c>
      <c r="F84" s="146">
        <f>F24+(4/0.017)*(F10*F51+F25*F50)</f>
        <v>-0.312591072805416</v>
      </c>
    </row>
    <row r="85" spans="1:6" ht="12.75">
      <c r="A85" s="146" t="s">
        <v>175</v>
      </c>
      <c r="B85" s="146">
        <f>B25+(5/0.017)*(B11*B51+B26*B50)</f>
        <v>-0.07929559366570593</v>
      </c>
      <c r="C85" s="146">
        <f>C25+(5/0.017)*(C11*C51+C26*C50)</f>
        <v>0.3032117666135268</v>
      </c>
      <c r="D85" s="146">
        <f>D25+(5/0.017)*(D11*D51+D26*D50)</f>
        <v>0.1574322197329996</v>
      </c>
      <c r="E85" s="146">
        <f>E25+(5/0.017)*(E11*E51+E26*E50)</f>
        <v>0.6065937578532614</v>
      </c>
      <c r="F85" s="146">
        <f>F25+(5/0.017)*(F11*F51+F26*F50)</f>
        <v>-0.9465832956503979</v>
      </c>
    </row>
    <row r="86" spans="1:6" ht="12.75">
      <c r="A86" s="146" t="s">
        <v>176</v>
      </c>
      <c r="B86" s="146">
        <f>B26+(6/0.017)*(B12*B51+B27*B50)</f>
        <v>0.5944099227017035</v>
      </c>
      <c r="C86" s="146">
        <f>C26+(6/0.017)*(C12*C51+C27*C50)</f>
        <v>0.2992393469209248</v>
      </c>
      <c r="D86" s="146">
        <f>D26+(6/0.017)*(D12*D51+D27*D50)</f>
        <v>0.16421660995534096</v>
      </c>
      <c r="E86" s="146">
        <f>E26+(6/0.017)*(E12*E51+E27*E50)</f>
        <v>-0.419700455271283</v>
      </c>
      <c r="F86" s="146">
        <f>F26+(6/0.017)*(F12*F51+F27*F50)</f>
        <v>2.4093072859438314</v>
      </c>
    </row>
    <row r="87" spans="1:6" ht="12.75">
      <c r="A87" s="146" t="s">
        <v>177</v>
      </c>
      <c r="B87" s="146">
        <f>B27+(7/0.017)*(B13*B51+B28*B50)</f>
        <v>0.049310894120947545</v>
      </c>
      <c r="C87" s="146">
        <f>C27+(7/0.017)*(C13*C51+C28*C50)</f>
        <v>0.01602526721326457</v>
      </c>
      <c r="D87" s="146">
        <f>D27+(7/0.017)*(D13*D51+D28*D50)</f>
        <v>-0.0317954874303968</v>
      </c>
      <c r="E87" s="146">
        <f>E27+(7/0.017)*(E13*E51+E28*E50)</f>
        <v>-0.16215505993412108</v>
      </c>
      <c r="F87" s="146">
        <f>F27+(7/0.017)*(F13*F51+F28*F50)</f>
        <v>0.2733434244142146</v>
      </c>
    </row>
    <row r="88" spans="1:6" ht="12.75">
      <c r="A88" s="146" t="s">
        <v>178</v>
      </c>
      <c r="B88" s="146">
        <f>B28+(8/0.017)*(B14*B51+B29*B50)</f>
        <v>-0.1064597306423945</v>
      </c>
      <c r="C88" s="146">
        <f>C28+(8/0.017)*(C14*C51+C29*C50)</f>
        <v>-0.02803434909055516</v>
      </c>
      <c r="D88" s="146">
        <f>D28+(8/0.017)*(D14*D51+D29*D50)</f>
        <v>0.08566732709970915</v>
      </c>
      <c r="E88" s="146">
        <f>E28+(8/0.017)*(E14*E51+E29*E50)</f>
        <v>0.14411886351956504</v>
      </c>
      <c r="F88" s="146">
        <f>F28+(8/0.017)*(F14*F51+F29*F50)</f>
        <v>-0.02836585065350361</v>
      </c>
    </row>
    <row r="89" spans="1:6" ht="12.75">
      <c r="A89" s="146" t="s">
        <v>179</v>
      </c>
      <c r="B89" s="146">
        <f>B29+(9/0.017)*(B15*B51+B30*B50)</f>
        <v>-0.11316505670926322</v>
      </c>
      <c r="C89" s="146">
        <f>C29+(9/0.017)*(C15*C51+C30*C50)</f>
        <v>-0.030428030574768998</v>
      </c>
      <c r="D89" s="146">
        <f>D29+(9/0.017)*(D15*D51+D30*D50)</f>
        <v>-0.03590962191976443</v>
      </c>
      <c r="E89" s="146">
        <f>E29+(9/0.017)*(E15*E51+E30*E50)</f>
        <v>-0.05707210263073892</v>
      </c>
      <c r="F89" s="146">
        <f>F29+(9/0.017)*(F15*F51+F30*F50)</f>
        <v>-0.120442138226044</v>
      </c>
    </row>
    <row r="90" spans="1:6" ht="12.75">
      <c r="A90" s="146" t="s">
        <v>180</v>
      </c>
      <c r="B90" s="146">
        <f>B30+(10/0.017)*(B16*B51+B31*B50)</f>
        <v>-0.020864684958436203</v>
      </c>
      <c r="C90" s="146">
        <f>C30+(10/0.017)*(C16*C51+C31*C50)</f>
        <v>0.03524760069806013</v>
      </c>
      <c r="D90" s="146">
        <f>D30+(10/0.017)*(D16*D51+D31*D50)</f>
        <v>0.02521840058781278</v>
      </c>
      <c r="E90" s="146">
        <f>E30+(10/0.017)*(E16*E51+E31*E50)</f>
        <v>-0.047668684523316296</v>
      </c>
      <c r="F90" s="146">
        <f>F30+(10/0.017)*(F16*F51+F31*F50)</f>
        <v>0.12401776361412574</v>
      </c>
    </row>
    <row r="91" spans="1:6" ht="12.75">
      <c r="A91" s="146" t="s">
        <v>181</v>
      </c>
      <c r="B91" s="146">
        <f>B31+(11/0.017)*(B17*B51+B32*B50)</f>
        <v>-0.005748511977086683</v>
      </c>
      <c r="C91" s="146">
        <f>C31+(11/0.017)*(C17*C51+C32*C50)</f>
        <v>0.011625630312593619</v>
      </c>
      <c r="D91" s="146">
        <f>D31+(11/0.017)*(D17*D51+D32*D50)</f>
        <v>0.00625872427422357</v>
      </c>
      <c r="E91" s="146">
        <f>E31+(11/0.017)*(E17*E51+E32*E50)</f>
        <v>-0.011144938359844427</v>
      </c>
      <c r="F91" s="146">
        <f>F31+(11/0.017)*(F17*F51+F32*F50)</f>
        <v>0.025812132137316496</v>
      </c>
    </row>
    <row r="92" spans="1:6" ht="12.75">
      <c r="A92" s="146" t="s">
        <v>182</v>
      </c>
      <c r="B92" s="146">
        <f>B32+(12/0.017)*(B18*B51+B33*B50)</f>
        <v>0.000762468608087423</v>
      </c>
      <c r="C92" s="146">
        <f>C32+(12/0.017)*(C18*C51+C33*C50)</f>
        <v>0.011851150702439417</v>
      </c>
      <c r="D92" s="146">
        <f>D32+(12/0.017)*(D18*D51+D33*D50)</f>
        <v>0.021566948788015156</v>
      </c>
      <c r="E92" s="146">
        <f>E32+(12/0.017)*(E18*E51+E33*E50)</f>
        <v>0.031388952011174934</v>
      </c>
      <c r="F92" s="146">
        <f>F32+(12/0.017)*(F18*F51+F33*F50)</f>
        <v>0.007651895022381613</v>
      </c>
    </row>
    <row r="93" spans="1:6" ht="12.75">
      <c r="A93" s="146" t="s">
        <v>183</v>
      </c>
      <c r="B93" s="146">
        <f>B33+(13/0.017)*(B19*B51+B34*B50)</f>
        <v>-0.044392334856185364</v>
      </c>
      <c r="C93" s="146">
        <f>C33+(13/0.017)*(C19*C51+C34*C50)</f>
        <v>-0.042600999788303215</v>
      </c>
      <c r="D93" s="146">
        <f>D33+(13/0.017)*(D19*D51+D34*D50)</f>
        <v>-0.04613235143183314</v>
      </c>
      <c r="E93" s="146">
        <f>E33+(13/0.017)*(E19*E51+E34*E50)</f>
        <v>-0.052103247219943194</v>
      </c>
      <c r="F93" s="146">
        <f>F33+(13/0.017)*(F19*F51+F34*F50)</f>
        <v>-0.047135728861594714</v>
      </c>
    </row>
    <row r="94" spans="1:6" ht="12.75">
      <c r="A94" s="146" t="s">
        <v>184</v>
      </c>
      <c r="B94" s="146">
        <f>B34+(14/0.017)*(B20*B51+B35*B50)</f>
        <v>-0.023089389054936002</v>
      </c>
      <c r="C94" s="146">
        <f>C34+(14/0.017)*(C20*C51+C35*C50)</f>
        <v>-0.0035920523204106434</v>
      </c>
      <c r="D94" s="146">
        <f>D34+(14/0.017)*(D20*D51+D35*D50)</f>
        <v>0.0028439007868715583</v>
      </c>
      <c r="E94" s="146">
        <f>E34+(14/0.017)*(E20*E51+E35*E50)</f>
        <v>0.0029067137276483092</v>
      </c>
      <c r="F94" s="146">
        <f>F34+(14/0.017)*(F20*F51+F35*F50)</f>
        <v>-0.024398175218661416</v>
      </c>
    </row>
    <row r="95" spans="1:6" ht="12.75">
      <c r="A95" s="146" t="s">
        <v>185</v>
      </c>
      <c r="B95" s="147">
        <f>B35</f>
        <v>0.00346412</v>
      </c>
      <c r="C95" s="147">
        <f>C35</f>
        <v>0.00470279</v>
      </c>
      <c r="D95" s="147">
        <f>D35</f>
        <v>0.001939045</v>
      </c>
      <c r="E95" s="147">
        <f>E35</f>
        <v>0.003191662</v>
      </c>
      <c r="F95" s="147">
        <f>F35</f>
        <v>0.003380302</v>
      </c>
    </row>
    <row r="96" spans="1:6" ht="12.75">
      <c r="A96" s="146" t="s">
        <v>185</v>
      </c>
      <c r="B96" s="147">
        <f aca="true" t="shared" si="2" ref="B95:F96">B36</f>
        <v>24.26453</v>
      </c>
      <c r="C96" s="147">
        <f t="shared" si="2"/>
        <v>24.26148</v>
      </c>
      <c r="D96" s="147">
        <f t="shared" si="2"/>
        <v>24.27979</v>
      </c>
      <c r="E96" s="147">
        <f t="shared" si="2"/>
        <v>24.29199</v>
      </c>
      <c r="F96" s="147">
        <f t="shared" si="2"/>
        <v>24.30725</v>
      </c>
    </row>
    <row r="98" ht="12.75">
      <c r="A98" s="146" t="s">
        <v>153</v>
      </c>
    </row>
    <row r="99" ht="12.75">
      <c r="A99" s="146" t="s">
        <v>153</v>
      </c>
    </row>
    <row r="100" spans="2:11" ht="12.75">
      <c r="B100" s="146" t="s">
        <v>56</v>
      </c>
      <c r="C100" s="146" t="s">
        <v>57</v>
      </c>
      <c r="D100" s="146" t="s">
        <v>58</v>
      </c>
      <c r="E100" s="146" t="s">
        <v>59</v>
      </c>
      <c r="F100" s="146" t="s">
        <v>60</v>
      </c>
      <c r="G100" s="146" t="s">
        <v>155</v>
      </c>
      <c r="H100" s="146" t="s">
        <v>156</v>
      </c>
      <c r="I100" s="146" t="s">
        <v>151</v>
      </c>
      <c r="K100" s="146" t="s">
        <v>186</v>
      </c>
    </row>
    <row r="101" spans="1:11" ht="12.75">
      <c r="A101" s="146" t="s">
        <v>154</v>
      </c>
      <c r="B101" s="146">
        <f>B61*10000/B62</f>
        <v>0</v>
      </c>
      <c r="C101" s="146">
        <f>C61*10000/C62</f>
        <v>0</v>
      </c>
      <c r="D101" s="146">
        <f>D61*10000/D62</f>
        <v>0</v>
      </c>
      <c r="E101" s="146">
        <f>E61*10000/E62</f>
        <v>0</v>
      </c>
      <c r="F101" s="146">
        <f>F61*10000/F62</f>
        <v>0</v>
      </c>
      <c r="G101" s="146">
        <f>AVERAGE(C101:E101)</f>
        <v>0</v>
      </c>
      <c r="H101" s="146">
        <f>STDEV(C101:E101)</f>
        <v>0</v>
      </c>
      <c r="I101" s="146">
        <f>(B101*B4+C101*C4+D101*D4+E101*E4+F101*F4)/SUM(B4:F4)</f>
        <v>0</v>
      </c>
      <c r="K101" s="146" t="s">
        <v>186</v>
      </c>
    </row>
    <row r="102" spans="1:9" ht="12.75">
      <c r="A102" s="146" t="s">
        <v>157</v>
      </c>
      <c r="B102" s="146">
        <f>B62*10000/B62</f>
        <v>10000</v>
      </c>
      <c r="C102" s="146">
        <f>C62*10000/C62</f>
        <v>10000</v>
      </c>
      <c r="D102" s="146">
        <f>D62*10000/D62</f>
        <v>10000</v>
      </c>
      <c r="E102" s="146">
        <f>E62*10000/E62</f>
        <v>10000</v>
      </c>
      <c r="F102" s="146">
        <f>F62*10000/F62</f>
        <v>10000</v>
      </c>
      <c r="G102" s="146">
        <f>AVERAGE(C102:E102)</f>
        <v>10000</v>
      </c>
      <c r="H102" s="146">
        <f>STDEV(C102:E102)</f>
        <v>0</v>
      </c>
      <c r="I102" s="146">
        <f>(B102*B4+C102*C4+D102*D4+E102*E4+F102*F4)/SUM(B4:F4)</f>
        <v>10000.000000000002</v>
      </c>
    </row>
    <row r="103" spans="1:11" ht="12.75">
      <c r="A103" s="146" t="s">
        <v>158</v>
      </c>
      <c r="B103" s="146">
        <f>B63*10000/B62</f>
        <v>-1.7156332819101352</v>
      </c>
      <c r="C103" s="146">
        <f>C63*10000/C62</f>
        <v>0.7712178967639448</v>
      </c>
      <c r="D103" s="146">
        <f>D63*10000/D62</f>
        <v>1.474163683136512</v>
      </c>
      <c r="E103" s="146">
        <f>E63*10000/E62</f>
        <v>-0.5107076134599309</v>
      </c>
      <c r="F103" s="146">
        <f>F63*10000/F62</f>
        <v>-1.0505888150698437</v>
      </c>
      <c r="G103" s="146">
        <f>AVERAGE(C103:E103)</f>
        <v>0.5782246554801752</v>
      </c>
      <c r="H103" s="146">
        <f>STDEV(C103:E103)</f>
        <v>1.0064111035749868</v>
      </c>
      <c r="I103" s="146">
        <f>(B103*B4+C103*C4+D103*D4+E103*E4+F103*F4)/SUM(B4:F4)</f>
        <v>0.029083275070116137</v>
      </c>
      <c r="K103" s="146">
        <f>(LN(H103)+LN(H123))/2-LN(K114*K115^3)</f>
        <v>-4.020807484606488</v>
      </c>
    </row>
    <row r="104" spans="1:11" ht="12.75">
      <c r="A104" s="146" t="s">
        <v>159</v>
      </c>
      <c r="B104" s="148">
        <f>B64*10000/B62</f>
        <v>0.310522651527678</v>
      </c>
      <c r="C104" s="148">
        <f>C64*10000/C62</f>
        <v>0.07647877308730953</v>
      </c>
      <c r="D104" s="148">
        <f>D64*10000/D62</f>
        <v>0.2133004866027996</v>
      </c>
      <c r="E104" s="146">
        <f>E64*10000/E62</f>
        <v>-0.07560606647095681</v>
      </c>
      <c r="F104" s="148">
        <f>F64*10000/F62</f>
        <v>0.0905249325457236</v>
      </c>
      <c r="G104" s="146">
        <f>AVERAGE(C104:E104)</f>
        <v>0.07139106440638411</v>
      </c>
      <c r="H104" s="146">
        <f>STDEV(C104:E104)</f>
        <v>0.14452045767626215</v>
      </c>
      <c r="I104" s="146">
        <f>(B104*B4+C104*C4+D104*D4+E104*E4+F104*F4)/SUM(B4:F4)</f>
        <v>0.10818544262381297</v>
      </c>
      <c r="K104" s="146">
        <f>(LN(H104)+LN(H124))/2-LN(K114*K115^4)</f>
        <v>-4.338461590263768</v>
      </c>
    </row>
    <row r="105" spans="1:11" ht="12.75">
      <c r="A105" s="146" t="s">
        <v>160</v>
      </c>
      <c r="B105" s="148">
        <f>B65*10000/B62</f>
        <v>-0.07987108895434089</v>
      </c>
      <c r="C105" s="148">
        <f>C65*10000/C62</f>
        <v>-0.7671857065415143</v>
      </c>
      <c r="D105" s="148">
        <f>D65*10000/D62</f>
        <v>-0.502385322468282</v>
      </c>
      <c r="E105" s="148">
        <f>E65*10000/E62</f>
        <v>-0.2416501088666169</v>
      </c>
      <c r="F105" s="148">
        <f>F65*10000/F62</f>
        <v>-0.2666705608796648</v>
      </c>
      <c r="G105" s="146">
        <f>AVERAGE(C105:E105)</f>
        <v>-0.5037403792921378</v>
      </c>
      <c r="H105" s="146">
        <f>STDEV(C105:E105)</f>
        <v>0.2627704192638981</v>
      </c>
      <c r="I105" s="146">
        <f>(B105*B4+C105*C4+D105*D4+E105*E4+F105*F4)/SUM(B4:F4)</f>
        <v>-0.4109103418187245</v>
      </c>
      <c r="K105" s="146">
        <f>(LN(H105)+LN(H125))/2-LN(K114*K115^5)</f>
        <v>-4.100857512819402</v>
      </c>
    </row>
    <row r="106" spans="1:11" ht="12.75">
      <c r="A106" s="146" t="s">
        <v>161</v>
      </c>
      <c r="B106" s="148">
        <f>B66*10000/B62</f>
        <v>3.5682773403996486</v>
      </c>
      <c r="C106" s="148">
        <f>C66*10000/C62</f>
        <v>4.633411693710599</v>
      </c>
      <c r="D106" s="148">
        <f>D66*10000/D62</f>
        <v>4.842692347838604</v>
      </c>
      <c r="E106" s="146">
        <f>E66*10000/E62</f>
        <v>3.997526482594594</v>
      </c>
      <c r="F106" s="148">
        <f>F66*10000/F62</f>
        <v>13.901352299843543</v>
      </c>
      <c r="G106" s="146">
        <f>AVERAGE(C106:E106)</f>
        <v>4.491210174714599</v>
      </c>
      <c r="H106" s="146">
        <f>STDEV(C106:E106)</f>
        <v>0.44016166228670217</v>
      </c>
      <c r="I106" s="146">
        <f>(B106*B4+C106*C4+D106*D4+E106*E4+F106*F4)/SUM(B4:F4)</f>
        <v>5.633288431565722</v>
      </c>
      <c r="K106" s="146">
        <f>(LN(H106)+LN(H126))/2-LN(K114*K115^6)</f>
        <v>-2.995935048463302</v>
      </c>
    </row>
    <row r="107" spans="1:11" ht="12.75">
      <c r="A107" s="146" t="s">
        <v>162</v>
      </c>
      <c r="B107" s="148">
        <f>B67*10000/B62</f>
        <v>0.2614306722064385</v>
      </c>
      <c r="C107" s="146">
        <f>C67*10000/C62</f>
        <v>0.3773254927160159</v>
      </c>
      <c r="D107" s="148">
        <f>D67*10000/D62</f>
        <v>0.029547621661781407</v>
      </c>
      <c r="E107" s="146">
        <f>E67*10000/E62</f>
        <v>-0.1195313469408497</v>
      </c>
      <c r="F107" s="146">
        <f>F67*10000/F62</f>
        <v>-0.25625150752883485</v>
      </c>
      <c r="G107" s="146">
        <f>AVERAGE(C107:E107)</f>
        <v>0.0957805891456492</v>
      </c>
      <c r="H107" s="146">
        <f>STDEV(C107:E107)</f>
        <v>0.254964280370293</v>
      </c>
      <c r="I107" s="146">
        <f>(B107*B4+C107*C4+D107*D4+E107*E4+F107*F4)/SUM(B4:F4)</f>
        <v>0.07178098775215976</v>
      </c>
      <c r="K107" s="146">
        <f>(LN(H107)+LN(H127))/2-LN(K114*K115^7)</f>
        <v>-3.388391460428041</v>
      </c>
    </row>
    <row r="108" spans="1:11" ht="12.75">
      <c r="A108" s="146" t="s">
        <v>163</v>
      </c>
      <c r="B108" s="148">
        <f>B68*10000/B62</f>
        <v>0.03620279474884883</v>
      </c>
      <c r="C108" s="148">
        <f>C68*10000/C62</f>
        <v>-0.003521002031075797</v>
      </c>
      <c r="D108" s="148">
        <f>D68*10000/D62</f>
        <v>-0.03879110055342001</v>
      </c>
      <c r="E108" s="146">
        <f>E68*10000/E62</f>
        <v>-0.031138620411716916</v>
      </c>
      <c r="F108" s="146">
        <f>F68*10000/F62</f>
        <v>-0.07272377815948806</v>
      </c>
      <c r="G108" s="146">
        <f>AVERAGE(C108:E108)</f>
        <v>-0.024483574332070906</v>
      </c>
      <c r="H108" s="146">
        <f>STDEV(C108:E108)</f>
        <v>0.018552956400143504</v>
      </c>
      <c r="I108" s="146">
        <f>(B108*B4+C108*C4+D108*D4+E108*E4+F108*F4)/SUM(B4:F4)</f>
        <v>-0.022330167526554274</v>
      </c>
      <c r="K108" s="146">
        <f>(LN(H108)+LN(H128))/2-LN(K115*K116^7)</f>
        <v>1.5191231959102067</v>
      </c>
    </row>
    <row r="109" spans="1:9" ht="12.75">
      <c r="A109" s="146" t="s">
        <v>164</v>
      </c>
      <c r="B109" s="148">
        <f>B69*10000/B62</f>
        <v>-0.1562785671422565</v>
      </c>
      <c r="C109" s="148">
        <f>C69*10000/C62</f>
        <v>-0.130746523997848</v>
      </c>
      <c r="D109" s="148">
        <f>D69*10000/D62</f>
        <v>-0.011929265822147575</v>
      </c>
      <c r="E109" s="146">
        <f>E69*10000/E62</f>
        <v>-0.050053376216880024</v>
      </c>
      <c r="F109" s="148">
        <f>F69*10000/F62</f>
        <v>-0.017292496564186594</v>
      </c>
      <c r="G109" s="146">
        <f>AVERAGE(C109:E109)</f>
        <v>-0.0642430553456252</v>
      </c>
      <c r="H109" s="146">
        <f>STDEV(C109:E109)</f>
        <v>0.060666262909712186</v>
      </c>
      <c r="I109" s="146">
        <f>(B109*B4+C109*C4+D109*D4+E109*E4+F109*F4)/SUM(B4:F4)</f>
        <v>-0.07105726440296158</v>
      </c>
    </row>
    <row r="110" spans="1:11" ht="12.75">
      <c r="A110" s="146" t="s">
        <v>165</v>
      </c>
      <c r="B110" s="146">
        <f>B70*10000/B62</f>
        <v>-0.3500678414643763</v>
      </c>
      <c r="C110" s="146">
        <f>C70*10000/C62</f>
        <v>-0.08303356407696</v>
      </c>
      <c r="D110" s="148">
        <f>D70*10000/D62</f>
        <v>0.042925357350517904</v>
      </c>
      <c r="E110" s="146">
        <f>E70*10000/E62</f>
        <v>0.07626793144502086</v>
      </c>
      <c r="F110" s="146">
        <f>F70*10000/F62</f>
        <v>-0.2704902476487774</v>
      </c>
      <c r="G110" s="146">
        <f>AVERAGE(C110:E110)</f>
        <v>0.01205324157285959</v>
      </c>
      <c r="H110" s="146">
        <f>STDEV(C110:E110)</f>
        <v>0.08401819605494262</v>
      </c>
      <c r="I110" s="146">
        <f>(B110*B4+C110*C4+D110*D4+E110*E4+F110*F4)/SUM(B4:F4)</f>
        <v>-0.07803291867729639</v>
      </c>
      <c r="K110" s="146">
        <f>EXP(AVERAGE(K103:K107))</f>
        <v>0.02307765099158635</v>
      </c>
    </row>
    <row r="111" spans="1:11" ht="12.75">
      <c r="A111" s="146" t="s">
        <v>166</v>
      </c>
      <c r="B111" s="146">
        <f>B71*10000/B62</f>
        <v>0.04052855971310829</v>
      </c>
      <c r="C111" s="148">
        <f>C71*10000/C62</f>
        <v>0.027648106297887953</v>
      </c>
      <c r="D111" s="148">
        <f>D71*10000/D62</f>
        <v>0.03504480291196575</v>
      </c>
      <c r="E111" s="146">
        <f>E71*10000/E62</f>
        <v>0.029748302059823678</v>
      </c>
      <c r="F111" s="146">
        <f>F71*10000/F62</f>
        <v>0.0041240569277539215</v>
      </c>
      <c r="G111" s="146">
        <f>AVERAGE(C111:E111)</f>
        <v>0.030813737089892462</v>
      </c>
      <c r="H111" s="146">
        <f>STDEV(C111:E111)</f>
        <v>0.0038117114335493125</v>
      </c>
      <c r="I111" s="146">
        <f>(B111*B4+C111*C4+D111*D4+E111*E4+F111*F4)/SUM(B4:F4)</f>
        <v>0.02858997521024917</v>
      </c>
      <c r="K111" s="146">
        <f>EXP(AVERAGE(K104:K108))</f>
        <v>0.06988498335565968</v>
      </c>
    </row>
    <row r="112" spans="1:9" ht="12.75">
      <c r="A112" s="146" t="s">
        <v>167</v>
      </c>
      <c r="B112" s="148">
        <f>B72*10000/B62</f>
        <v>-0.007618754025488343</v>
      </c>
      <c r="C112" s="148">
        <f>C72*10000/C62</f>
        <v>-0.009625835315914901</v>
      </c>
      <c r="D112" s="148">
        <f>D72*10000/D62</f>
        <v>-0.012173460490252868</v>
      </c>
      <c r="E112" s="146">
        <f>E72*10000/E62</f>
        <v>-0.008784709434821304</v>
      </c>
      <c r="F112" s="146">
        <f>F72*10000/F62</f>
        <v>-0.043355157783274444</v>
      </c>
      <c r="G112" s="146">
        <f>AVERAGE(C112:E112)</f>
        <v>-0.010194668413663024</v>
      </c>
      <c r="H112" s="146">
        <f>STDEV(C112:E112)</f>
        <v>0.0017645358451282391</v>
      </c>
      <c r="I112" s="146">
        <f>(B112*B4+C112*C4+D112*D4+E112*E4+F112*F4)/SUM(B4:F4)</f>
        <v>-0.014316140733944134</v>
      </c>
    </row>
    <row r="113" spans="1:9" ht="12.75">
      <c r="A113" s="146" t="s">
        <v>168</v>
      </c>
      <c r="B113" s="148">
        <f>B73*10000/B62</f>
        <v>-0.023552898742493094</v>
      </c>
      <c r="C113" s="148">
        <f>C73*10000/C62</f>
        <v>-0.020534606399314093</v>
      </c>
      <c r="D113" s="148">
        <f>D73*10000/D62</f>
        <v>-0.02901606717596422</v>
      </c>
      <c r="E113" s="146">
        <f>E73*10000/E62</f>
        <v>-0.018339649694180192</v>
      </c>
      <c r="F113" s="146">
        <f>F73*10000/F62</f>
        <v>-0.008472651230438413</v>
      </c>
      <c r="G113" s="146">
        <f>AVERAGE(C113:E113)</f>
        <v>-0.022630107756486172</v>
      </c>
      <c r="H113" s="146">
        <f>STDEV(C113:E113)</f>
        <v>0.005638245916485745</v>
      </c>
      <c r="I113" s="146">
        <f>(B113*B4+C113*C4+D113*D4+E113*E4+F113*F4)/SUM(B4:F4)</f>
        <v>-0.020844226497269233</v>
      </c>
    </row>
    <row r="114" spans="1:11" ht="12.75">
      <c r="A114" s="146" t="s">
        <v>169</v>
      </c>
      <c r="B114" s="146">
        <f>B74*10000/B62</f>
        <v>-0.1863540001787352</v>
      </c>
      <c r="C114" s="146">
        <f>C74*10000/C62</f>
        <v>-0.17473609763105669</v>
      </c>
      <c r="D114" s="146">
        <f>D74*10000/D62</f>
        <v>-0.1941435645707413</v>
      </c>
      <c r="E114" s="146">
        <f>E74*10000/E62</f>
        <v>-0.1905971991105779</v>
      </c>
      <c r="F114" s="146">
        <f>F74*10000/F62</f>
        <v>-0.1387658997439992</v>
      </c>
      <c r="G114" s="146">
        <f>AVERAGE(C114:E114)</f>
        <v>-0.18649228710412533</v>
      </c>
      <c r="H114" s="146">
        <f>STDEV(C114:E114)</f>
        <v>0.010334416780315981</v>
      </c>
      <c r="I114" s="146">
        <f>(B114*B4+C114*C4+D114*D4+E114*E4+F114*F4)/SUM(B4:F4)</f>
        <v>-0.1800103301260475</v>
      </c>
      <c r="J114" s="146" t="s">
        <v>187</v>
      </c>
      <c r="K114" s="146">
        <v>285</v>
      </c>
    </row>
    <row r="115" spans="1:11" ht="12.75">
      <c r="A115" s="146" t="s">
        <v>170</v>
      </c>
      <c r="B115" s="148">
        <f>B75*10000/B62</f>
        <v>0.0044978495125348765</v>
      </c>
      <c r="C115" s="148">
        <f>C75*10000/C62</f>
        <v>0.004756651784617077</v>
      </c>
      <c r="D115" s="148">
        <f>D75*10000/D62</f>
        <v>0.0006119302026059246</v>
      </c>
      <c r="E115" s="148">
        <f>E75*10000/E62</f>
        <v>0.0033874262628063785</v>
      </c>
      <c r="F115" s="148">
        <f>F75*10000/F62</f>
        <v>-1.4105591214896776E-05</v>
      </c>
      <c r="G115" s="146">
        <f>AVERAGE(C115:E115)</f>
        <v>0.00291866941667646</v>
      </c>
      <c r="H115" s="146">
        <f>STDEV(C115:E115)</f>
        <v>0.0021117478504055613</v>
      </c>
      <c r="I115" s="146">
        <f>(B115*B4+C115*C4+D115*D4+E115*E4+F115*F4)/SUM(B4:F4)</f>
        <v>0.002747671170481385</v>
      </c>
      <c r="J115" s="146" t="s">
        <v>188</v>
      </c>
      <c r="K115" s="146">
        <v>0.5536</v>
      </c>
    </row>
    <row r="116" spans="1:11" ht="12.75">
      <c r="A116" s="146" t="s">
        <v>170</v>
      </c>
      <c r="B116" s="146">
        <f aca="true" t="shared" si="3" ref="B115:F116">B76*10000/B63</f>
        <v>2751496.0690549733</v>
      </c>
      <c r="C116" s="146">
        <f t="shared" si="3"/>
        <v>-6193351.747856753</v>
      </c>
      <c r="D116" s="148">
        <f t="shared" si="3"/>
        <v>-3286775.0597093645</v>
      </c>
      <c r="E116" s="146">
        <f t="shared" si="3"/>
        <v>10864321.606087591</v>
      </c>
      <c r="F116" s="146">
        <f t="shared" si="3"/>
        <v>6135596.988894601</v>
      </c>
      <c r="G116" s="146">
        <f>AVERAGE(C116:E116)</f>
        <v>461398.26617382467</v>
      </c>
      <c r="H116" s="146">
        <f>STDEV(C116:E116)</f>
        <v>9125659.292517576</v>
      </c>
      <c r="I116" s="146">
        <f>(B116*B5+C116*C5+D116*D5+E116*E5+F116*F5)/SUM(B5:F5)</f>
        <v>-169552197.13804063</v>
      </c>
      <c r="J116" s="146" t="s">
        <v>188</v>
      </c>
      <c r="K116" s="146">
        <v>0.5536</v>
      </c>
    </row>
    <row r="118" ht="12.75">
      <c r="A118" s="146" t="s">
        <v>153</v>
      </c>
    </row>
    <row r="119" ht="12.75">
      <c r="A119" s="146" t="s">
        <v>153</v>
      </c>
    </row>
    <row r="120" spans="2:9" ht="12.75">
      <c r="B120" s="146" t="s">
        <v>56</v>
      </c>
      <c r="C120" s="146" t="s">
        <v>57</v>
      </c>
      <c r="D120" s="146" t="s">
        <v>58</v>
      </c>
      <c r="E120" s="146" t="s">
        <v>59</v>
      </c>
      <c r="F120" s="146" t="s">
        <v>60</v>
      </c>
      <c r="G120" s="146" t="s">
        <v>155</v>
      </c>
      <c r="H120" s="146" t="s">
        <v>156</v>
      </c>
      <c r="I120" s="146" t="s">
        <v>151</v>
      </c>
    </row>
    <row r="121" spans="1:9" ht="12.75">
      <c r="A121" s="146" t="s">
        <v>171</v>
      </c>
      <c r="B121" s="146">
        <f>B81*10000/B62</f>
        <v>0</v>
      </c>
      <c r="C121" s="146">
        <f>C81*10000/C62</f>
        <v>0</v>
      </c>
      <c r="D121" s="146">
        <f>D81*10000/D62</f>
        <v>0</v>
      </c>
      <c r="E121" s="146">
        <f>E81*10000/E62</f>
        <v>0</v>
      </c>
      <c r="F121" s="146">
        <f>F81*10000/F62</f>
        <v>0</v>
      </c>
      <c r="G121" s="146">
        <f>AVERAGE(C121:E121)</f>
        <v>0</v>
      </c>
      <c r="H121" s="146">
        <f>STDEV(C121:E121)</f>
        <v>0</v>
      </c>
      <c r="I121" s="146">
        <f>(B121*B4+C121*C4+D121*D4+E121*E4+F121*F4)/SUM(B4:F4)</f>
        <v>0</v>
      </c>
    </row>
    <row r="122" spans="1:9" ht="12.75">
      <c r="A122" s="146" t="s">
        <v>172</v>
      </c>
      <c r="B122" s="146">
        <f>B82*10000/B62</f>
        <v>105.584680479873</v>
      </c>
      <c r="C122" s="146">
        <f>C82*10000/C62</f>
        <v>55.23441428108144</v>
      </c>
      <c r="D122" s="146">
        <f>D82*10000/D62</f>
        <v>-4.63669179138611</v>
      </c>
      <c r="E122" s="146">
        <f>E82*10000/E62</f>
        <v>-68.25491333308979</v>
      </c>
      <c r="F122" s="146">
        <f>F82*10000/F62</f>
        <v>-80.41977491462501</v>
      </c>
      <c r="G122" s="146">
        <f>AVERAGE(C122:E122)</f>
        <v>-5.885730281131487</v>
      </c>
      <c r="H122" s="146">
        <f>STDEV(C122:E122)</f>
        <v>61.75413817317571</v>
      </c>
      <c r="I122" s="146">
        <f>(B122*B4+C122*C4+D122*D4+E122*E4+F122*F4)/SUM(B4:F4)</f>
        <v>-0.033929924720355546</v>
      </c>
    </row>
    <row r="123" spans="1:9" ht="12.75">
      <c r="A123" s="146" t="s">
        <v>173</v>
      </c>
      <c r="B123" s="148">
        <f>B83*10000/B62</f>
        <v>-0.7767643222854069</v>
      </c>
      <c r="C123" s="148">
        <f>C83*10000/C62</f>
        <v>0.004386220528415773</v>
      </c>
      <c r="D123" s="148">
        <f>D83*10000/D62</f>
        <v>-0.5774979383007223</v>
      </c>
      <c r="E123" s="146">
        <f>E83*10000/E62</f>
        <v>0.9062213242534606</v>
      </c>
      <c r="F123" s="148">
        <f>F83*10000/F62</f>
        <v>3.84089870699269</v>
      </c>
      <c r="G123" s="146">
        <f>AVERAGE(C123:E123)</f>
        <v>0.11103653549371802</v>
      </c>
      <c r="H123" s="146">
        <f>STDEV(C123:E123)</f>
        <v>0.7475870717048488</v>
      </c>
      <c r="I123" s="146">
        <f>(B123*B4+C123*C4+D123*D4+E123*E4+F123*F4)/SUM(B4:F4)</f>
        <v>0.4891864316048735</v>
      </c>
    </row>
    <row r="124" spans="1:9" ht="12.75">
      <c r="A124" s="146" t="s">
        <v>174</v>
      </c>
      <c r="B124" s="148">
        <f>B84*10000/B62</f>
        <v>-0.7955621539202502</v>
      </c>
      <c r="C124" s="148">
        <f>C84*10000/C62</f>
        <v>-0.4258320544633196</v>
      </c>
      <c r="D124" s="148">
        <f>D84*10000/D62</f>
        <v>-0.08546317430841281</v>
      </c>
      <c r="E124" s="148">
        <f>E84*10000/E62</f>
        <v>1.1784005037327159</v>
      </c>
      <c r="F124" s="148">
        <f>F84*10000/F62</f>
        <v>-0.31260860773773713</v>
      </c>
      <c r="G124" s="146">
        <f>AVERAGE(C124:E124)</f>
        <v>0.2223684249869945</v>
      </c>
      <c r="H124" s="146">
        <f>STDEV(C124:E124)</f>
        <v>0.8452577981525076</v>
      </c>
      <c r="I124" s="146">
        <f>(B124*B4+C124*C4+D124*D4+E124*E4+F124*F4)/SUM(B4:F4)</f>
        <v>0.004390873040439169</v>
      </c>
    </row>
    <row r="125" spans="1:9" ht="12.75">
      <c r="A125" s="146" t="s">
        <v>175</v>
      </c>
      <c r="B125" s="148">
        <f>B85*10000/B62</f>
        <v>-0.0792958495177033</v>
      </c>
      <c r="C125" s="148">
        <f>C85*10000/C62</f>
        <v>0.3032106054822236</v>
      </c>
      <c r="D125" s="148">
        <f>D85*10000/D62</f>
        <v>0.15743031661711074</v>
      </c>
      <c r="E125" s="148">
        <f>E85*10000/E62</f>
        <v>0.6066000725061117</v>
      </c>
      <c r="F125" s="148">
        <f>F85*10000/F62</f>
        <v>-0.9466363946524794</v>
      </c>
      <c r="G125" s="146">
        <f>AVERAGE(C125:E125)</f>
        <v>0.3557469982018153</v>
      </c>
      <c r="H125" s="146">
        <f>STDEV(C125:E125)</f>
        <v>0.2291471619316648</v>
      </c>
      <c r="I125" s="146">
        <f>(B125*B4+C125*C4+D125*D4+E125*E4+F125*F4)/SUM(B4:F4)</f>
        <v>0.11715460114614953</v>
      </c>
    </row>
    <row r="126" spans="1:9" ht="12.75">
      <c r="A126" s="146" t="s">
        <v>176</v>
      </c>
      <c r="B126" s="148">
        <f>B86*10000/B62</f>
        <v>0.5944118406010337</v>
      </c>
      <c r="C126" s="146">
        <f>C86*10000/C62</f>
        <v>0.29923820100176496</v>
      </c>
      <c r="D126" s="146">
        <f>D86*10000/D62</f>
        <v>0.16421462482650173</v>
      </c>
      <c r="E126" s="146">
        <f>E86*10000/E62</f>
        <v>-0.4197048243612083</v>
      </c>
      <c r="F126" s="146">
        <f>F86*10000/F62</f>
        <v>2.4094424370849716</v>
      </c>
      <c r="G126" s="146">
        <f>AVERAGE(C126:E126)</f>
        <v>0.014582667155686124</v>
      </c>
      <c r="H126" s="146">
        <f>STDEV(C126:E126)</f>
        <v>0.38211524504632993</v>
      </c>
      <c r="I126" s="146">
        <f>(B126*B4+C126*C4+D126*D4+E126*E4+F126*F4)/SUM(B4:F4)</f>
        <v>0.42180546486294485</v>
      </c>
    </row>
    <row r="127" spans="1:9" ht="12.75">
      <c r="A127" s="146" t="s">
        <v>177</v>
      </c>
      <c r="B127" s="148">
        <f>B87*10000/B62</f>
        <v>0.04931105322551023</v>
      </c>
      <c r="C127" s="146">
        <f>C87*10000/C62</f>
        <v>0.01602520584546341</v>
      </c>
      <c r="D127" s="148">
        <f>D87*10000/D62</f>
        <v>-0.03179510307135375</v>
      </c>
      <c r="E127" s="146">
        <f>E87*10000/E62</f>
        <v>-0.16215674797145768</v>
      </c>
      <c r="F127" s="146">
        <f>F87*10000/F62</f>
        <v>0.2733587577326121</v>
      </c>
      <c r="G127" s="146">
        <f>AVERAGE(C127:E127)</f>
        <v>-0.05930888173244934</v>
      </c>
      <c r="H127" s="146">
        <f>STDEV(C127:E127)</f>
        <v>0.09222233015199013</v>
      </c>
      <c r="I127" s="146">
        <f>(B127*B4+C127*C4+D127*D4+E127*E4+F127*F4)/SUM(B4:F4)</f>
        <v>0.0012690092909132303</v>
      </c>
    </row>
    <row r="128" spans="1:9" ht="12.75">
      <c r="A128" s="146" t="s">
        <v>178</v>
      </c>
      <c r="B128" s="148">
        <f>B88*10000/B62</f>
        <v>-0.10646007414111196</v>
      </c>
      <c r="C128" s="146">
        <f>C88*10000/C62</f>
        <v>-0.028034241734694088</v>
      </c>
      <c r="D128" s="148">
        <f>D88*10000/D62</f>
        <v>0.08566629151212972</v>
      </c>
      <c r="E128" s="146">
        <f>E88*10000/E62</f>
        <v>0.14412036379974522</v>
      </c>
      <c r="F128" s="146">
        <f>F88*10000/F62</f>
        <v>-0.028367441848245602</v>
      </c>
      <c r="G128" s="146">
        <f>AVERAGE(C128:E128)</f>
        <v>0.06725080452572695</v>
      </c>
      <c r="H128" s="146">
        <f>STDEV(C128:E128)</f>
        <v>0.08754227363045454</v>
      </c>
      <c r="I128" s="146">
        <f>(B128*B4+C128*C4+D128*D4+E128*E4+F128*F4)/SUM(B4:F4)</f>
        <v>0.02945064964316401</v>
      </c>
    </row>
    <row r="129" spans="1:9" ht="12.75">
      <c r="A129" s="146" t="s">
        <v>179</v>
      </c>
      <c r="B129" s="148">
        <f>B89*10000/B62</f>
        <v>-0.11316542184311812</v>
      </c>
      <c r="C129" s="148">
        <f>C89*10000/C62</f>
        <v>-0.03042791405244802</v>
      </c>
      <c r="D129" s="148">
        <f>D89*10000/D62</f>
        <v>-0.035909187827098045</v>
      </c>
      <c r="E129" s="146">
        <f>E89*10000/E62</f>
        <v>-0.05707269675244044</v>
      </c>
      <c r="F129" s="148">
        <f>F89*10000/F62</f>
        <v>-0.12044889448022443</v>
      </c>
      <c r="G129" s="146">
        <f>AVERAGE(C129:E129)</f>
        <v>-0.041136599543995504</v>
      </c>
      <c r="H129" s="146">
        <f>STDEV(C129:E129)</f>
        <v>0.014070553870616518</v>
      </c>
      <c r="I129" s="146">
        <f>(B129*B4+C129*C4+D129*D4+E129*E4+F129*F4)/SUM(B4:F4)</f>
        <v>-0.06219073574105131</v>
      </c>
    </row>
    <row r="130" spans="1:9" ht="12.75">
      <c r="A130" s="146" t="s">
        <v>180</v>
      </c>
      <c r="B130" s="146">
        <f>B90*10000/B62</f>
        <v>-0.020864752279595857</v>
      </c>
      <c r="C130" s="146">
        <f>C90*10000/C62</f>
        <v>0.03524746571948397</v>
      </c>
      <c r="D130" s="148">
        <f>D90*10000/D62</f>
        <v>0.02521809573573783</v>
      </c>
      <c r="E130" s="146">
        <f>E90*10000/E62</f>
        <v>-0.04766918075525192</v>
      </c>
      <c r="F130" s="146">
        <f>F90*10000/F62</f>
        <v>0.12402472044456904</v>
      </c>
      <c r="G130" s="146">
        <f>AVERAGE(C130:E130)</f>
        <v>0.004265460233323294</v>
      </c>
      <c r="H130" s="146">
        <f>STDEV(C130:E130)</f>
        <v>0.045255411461248084</v>
      </c>
      <c r="I130" s="146">
        <f>(B130*B4+C130*C4+D130*D4+E130*E4+F130*F4)/SUM(B4:F4)</f>
        <v>0.016875531324563396</v>
      </c>
    </row>
    <row r="131" spans="1:9" ht="12.75">
      <c r="A131" s="146" t="s">
        <v>181</v>
      </c>
      <c r="B131" s="148">
        <f>B91*10000/B62</f>
        <v>-0.005748530525005972</v>
      </c>
      <c r="C131" s="148">
        <f>C91*10000/C62</f>
        <v>0.011625585792938509</v>
      </c>
      <c r="D131" s="146">
        <f>D91*10000/D62</f>
        <v>0.0062586486157743</v>
      </c>
      <c r="E131" s="146">
        <f>E91*10000/E62</f>
        <v>-0.011145054378870126</v>
      </c>
      <c r="F131" s="146">
        <f>F91*10000/F62</f>
        <v>0.025813580080106514</v>
      </c>
      <c r="G131" s="146">
        <f>AVERAGE(C131:E131)</f>
        <v>0.0022463933432808943</v>
      </c>
      <c r="H131" s="146">
        <f>STDEV(C131:E131)</f>
        <v>0.011903745533958404</v>
      </c>
      <c r="I131" s="146">
        <f>(B131*B4+C131*C4+D131*D4+E131*E4+F131*F4)/SUM(B4:F4)</f>
        <v>0.004290748205704492</v>
      </c>
    </row>
    <row r="132" spans="1:9" ht="12.75">
      <c r="A132" s="146" t="s">
        <v>182</v>
      </c>
      <c r="B132" s="148">
        <f>B92*10000/B62</f>
        <v>0.0007624710682381992</v>
      </c>
      <c r="C132" s="148">
        <f>C92*10000/C62</f>
        <v>0.011851105319167478</v>
      </c>
      <c r="D132" s="148">
        <f>D92*10000/D62</f>
        <v>0.021566688076434123</v>
      </c>
      <c r="E132" s="146">
        <f>E92*10000/E62</f>
        <v>0.03138927877077759</v>
      </c>
      <c r="F132" s="146">
        <f>F92*10000/F62</f>
        <v>0.007652324258764284</v>
      </c>
      <c r="G132" s="146">
        <f>AVERAGE(C132:E132)</f>
        <v>0.02160235738879306</v>
      </c>
      <c r="H132" s="146">
        <f>STDEV(C132:E132)</f>
        <v>0.009769135564684516</v>
      </c>
      <c r="I132" s="146">
        <f>(B132*B4+C132*C4+D132*D4+E132*E4+F132*F4)/SUM(B4:F4)</f>
        <v>0.01673195191867369</v>
      </c>
    </row>
    <row r="133" spans="1:9" ht="12.75">
      <c r="A133" s="146" t="s">
        <v>183</v>
      </c>
      <c r="B133" s="148">
        <f>B93*10000/B62</f>
        <v>-0.044392478090721055</v>
      </c>
      <c r="C133" s="146">
        <f>C93*10000/C62</f>
        <v>-0.04260083665032558</v>
      </c>
      <c r="D133" s="148">
        <f>D93*10000/D62</f>
        <v>-0.04613179376192829</v>
      </c>
      <c r="E133" s="146">
        <f>E93*10000/E62</f>
        <v>-0.05210378961576298</v>
      </c>
      <c r="F133" s="148">
        <f>F93*10000/F62</f>
        <v>-0.04713837296082659</v>
      </c>
      <c r="G133" s="146">
        <f>AVERAGE(C133:E133)</f>
        <v>-0.04694547334267229</v>
      </c>
      <c r="H133" s="146">
        <f>STDEV(C133:E133)</f>
        <v>0.004803445077329217</v>
      </c>
      <c r="I133" s="146">
        <f>(B133*B4+C133*C4+D133*D4+E133*E4+F133*F4)/SUM(B4:F4)</f>
        <v>-0.04660712466394769</v>
      </c>
    </row>
    <row r="134" spans="1:9" ht="12.75">
      <c r="A134" s="146" t="s">
        <v>184</v>
      </c>
      <c r="B134" s="146">
        <f>B94*10000/B62</f>
        <v>-0.02308946355423709</v>
      </c>
      <c r="C134" s="146">
        <f>C94*10000/C62</f>
        <v>-0.003592038564861384</v>
      </c>
      <c r="D134" s="146">
        <f>D94*10000/D62</f>
        <v>0.0028438664084401103</v>
      </c>
      <c r="E134" s="146">
        <f>E94*10000/E62</f>
        <v>0.0029067439865949067</v>
      </c>
      <c r="F134" s="146">
        <f>F94*10000/F62</f>
        <v>-0.02439954384492249</v>
      </c>
      <c r="G134" s="146">
        <f>AVERAGE(C134:E134)</f>
        <v>0.0007195239433912111</v>
      </c>
      <c r="H134" s="146">
        <f>STDEV(C134:E134)</f>
        <v>0.0037340550135724717</v>
      </c>
      <c r="I134" s="146">
        <f>(B134*B4+C134*C4+D134*D4+E134*E4+F134*F4)/SUM(B4:F4)</f>
        <v>-0.006089836676368151</v>
      </c>
    </row>
    <row r="135" spans="1:9" ht="12.75">
      <c r="A135" s="146" t="s">
        <v>185</v>
      </c>
      <c r="B135" s="148">
        <f>B95*10000/B62</f>
        <v>0.0034641311771913185</v>
      </c>
      <c r="C135" s="148">
        <f>C95*10000/C62</f>
        <v>0.00470277199094731</v>
      </c>
      <c r="D135" s="148">
        <f>D95*10000/D62</f>
        <v>0.0019390215598976185</v>
      </c>
      <c r="E135" s="148">
        <f>E95*10000/E62</f>
        <v>0.003191695225263671</v>
      </c>
      <c r="F135" s="148">
        <f>F95*10000/F62</f>
        <v>0.003380491619512365</v>
      </c>
      <c r="G135" s="146">
        <f>AVERAGE(C135:E135)</f>
        <v>0.0032778295920361995</v>
      </c>
      <c r="H135" s="146">
        <f>STDEV(C135:E135)</f>
        <v>0.0013838870828706805</v>
      </c>
      <c r="I135" s="146">
        <f>(B135*B4+C135*C4+D135*D4+E135*E4+F135*F4)/SUM(B4:F4)</f>
        <v>0.0033183841666699645</v>
      </c>
    </row>
    <row r="136" spans="1:9" ht="12.75">
      <c r="A136" s="146" t="s">
        <v>185</v>
      </c>
      <c r="B136" s="146">
        <f aca="true" t="shared" si="4" ref="B135:F136">B96*10000/B63</f>
        <v>-141432.37104813254</v>
      </c>
      <c r="C136" s="146">
        <f t="shared" si="4"/>
        <v>314585.37456037704</v>
      </c>
      <c r="D136" s="146">
        <f t="shared" si="4"/>
        <v>164700.13996437544</v>
      </c>
      <c r="E136" s="146">
        <f t="shared" si="4"/>
        <v>-475658.52240805916</v>
      </c>
      <c r="F136" s="146">
        <f t="shared" si="4"/>
        <v>-231380.8521191547</v>
      </c>
      <c r="G136" s="146">
        <f>AVERAGE(C136:E136)</f>
        <v>1208.9973722311163</v>
      </c>
      <c r="H136" s="146">
        <f>STDEV(C136:E136)</f>
        <v>419724.158768028</v>
      </c>
      <c r="I136" s="146">
        <f>(B136*B5+C136*C5+D136*D5+E136*E5+F136*F5)/SUM(B5:F5)</f>
        <v>7033809.555932788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touet</dc:creator>
  <cp:keywords/>
  <dc:description/>
  <cp:lastModifiedBy>hagen</cp:lastModifiedBy>
  <cp:lastPrinted>2003-02-25T14:52:07Z</cp:lastPrinted>
  <dcterms:created xsi:type="dcterms:W3CDTF">2002-03-14T07:46:46Z</dcterms:created>
  <dcterms:modified xsi:type="dcterms:W3CDTF">2003-09-26T12:26:09Z</dcterms:modified>
  <cp:category/>
  <cp:version/>
  <cp:contentType/>
  <cp:contentStatus/>
</cp:coreProperties>
</file>