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60_pos5ap2" sheetId="2" r:id="rId2"/>
    <sheet name="HCMQAP060_pos1ap2" sheetId="3" r:id="rId3"/>
    <sheet name="HCMQAP060_pos2ap2" sheetId="4" r:id="rId4"/>
    <sheet name="HCMQAP060_pos3ap2" sheetId="5" r:id="rId5"/>
    <sheet name="HCMQAP060_pos4ap2" sheetId="6" r:id="rId6"/>
    <sheet name="Lmag_hcmqap" sheetId="7" r:id="rId7"/>
    <sheet name="Result_HCMQAP" sheetId="8" r:id="rId8"/>
  </sheets>
  <definedNames>
    <definedName name="_xlnm.Print_Area" localSheetId="2">'HCMQAP060_pos1ap2'!$A$1:$N$28</definedName>
    <definedName name="_xlnm.Print_Area" localSheetId="3">'HCMQAP060_pos2ap2'!$A$1:$N$28</definedName>
    <definedName name="_xlnm.Print_Area" localSheetId="4">'HCMQAP060_pos3ap2'!$A$1:$N$28</definedName>
    <definedName name="_xlnm.Print_Area" localSheetId="5">'HCMQAP060_pos4ap2'!$A$1:$N$28</definedName>
    <definedName name="_xlnm.Print_Area" localSheetId="1">'HCMQAP060_pos5ap2'!$A$1:$N$28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<sst xmlns="http://schemas.openxmlformats.org/spreadsheetml/2006/main" count="510" uniqueCount="192">
  <si>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</si>
  <si>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</si>
  <si>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</si>
  <si>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</si>
  <si>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</si>
  <si>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</si>
  <si>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</si>
  <si>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</si>
  <si>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</si>
  <si>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</si>
  <si>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</si>
  <si>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</si>
  <si>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</si>
  <si>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</si>
  <si>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</si>
  <si>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</si>
  <si>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</si>
  <si>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</si>
  <si>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</si>
  <si>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</si>
  <si>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</si>
  <si>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</si>
  <si>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</si>
  <si>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</si>
  <si>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</si>
  <si>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</si>
  <si>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</si>
  <si>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</si>
  <si>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</si>
  <si>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</si>
  <si>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</si>
  <si>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</si>
  <si>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</si>
  <si>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</si>
  <si>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</si>
  <si>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</si>
  <si>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</si>
  <si>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</si>
  <si>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</si>
  <si>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</si>
  <si>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</si>
  <si>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</si>
  <si>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</si>
  <si>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</si>
  <si>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</si>
  <si>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</si>
  <si>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</si>
  <si>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</si>
  <si>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</si>
  <si>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</si>
  <si>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</si>
  <si>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</si>
  <si>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</si>
  <si>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</si>
  <si>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</si>
  <si>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-2.079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</si>
  <si>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</si>
  <si>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</si>
  <si>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</si>
  <si>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</si>
  <si>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</si>
  <si>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</si>
  <si>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</si>
  <si>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</si>
  <si>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</si>
  <si>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</si>
  <si>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</si>
  <si>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</si>
  <si>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HCMQAP060_pos5ap2</t>
  </si>
  <si>
    <t>16/07/2003</t>
  </si>
  <si>
    <t>±12.5</t>
  </si>
  <si>
    <t>THCMQAP060_pos5ap2.xls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</si>
  <si>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-2.263 mT)</t>
    </r>
  </si>
  <si>
    <t>HCMQAP060_pos1ap2</t>
  </si>
  <si>
    <t>THCMQAP060_pos1ap2.xls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</si>
  <si>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</si>
  <si>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HCMQAP060_pos2ap2</t>
  </si>
  <si>
    <t>THCMQAP060_pos2ap2.xls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</si>
  <si>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</si>
  <si>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HCMQAP060_pos3ap2</t>
  </si>
  <si>
    <t>THCMQAP060_pos3ap2.xls</t>
  </si>
  <si>
    <t>HCMQAP060_pos4ap2</t>
  </si>
  <si>
    <t>THCMQAP060_pos4ap2.xls</t>
  </si>
  <si>
    <t>Sommaire : Valeurs intégrales calculées avec les fichiers: HCMQAP060_pos5ap2+HCMQAP060_pos1ap2+HCMQAP060_pos2ap2+HCMQAP060_pos3ap2+HCMQAP060_pos4ap2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</si>
  <si>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</si>
  <si>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</si>
  <si>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</si>
  <si>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</si>
  <si>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</si>
  <si>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</si>
  <si>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</si>
  <si>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</si>
  <si>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</si>
  <si>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</si>
  <si>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</si>
  <si>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</si>
  <si>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</si>
  <si>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</si>
  <si>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</si>
  <si>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</si>
  <si>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</si>
  <si>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</si>
  <si>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</si>
  <si>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</si>
  <si>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</si>
  <si>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</si>
  <si>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</si>
  <si>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</si>
  <si>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</si>
  <si>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</si>
  <si>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</si>
  <si>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</si>
  <si>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</si>
  <si>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</si>
  <si>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</si>
  <si>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</si>
  <si>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</si>
  <si>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</si>
  <si>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</si>
  <si>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</si>
  <si>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</si>
  <si>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</si>
  <si>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</si>
  <si>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</si>
  <si>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</si>
  <si>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</si>
  <si>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</si>
  <si>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=-3.756</t>
    </r>
  </si>
  <si>
    <t>Gradient (T/m)</t>
  </si>
  <si>
    <t xml:space="preserve"> Wed 16/07/2003       12:24:59</t>
  </si>
  <si>
    <t>LISSNER</t>
  </si>
  <si>
    <t>HCMQAP060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</si>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</sst>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557626"/>
        <c:axId val="62147723"/>
      </c:lineChart>
      <c:catAx>
        <c:axId val="66557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5576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95250</xdr:rowOff>
    </xdr:from>
    <xdr:to>
      <xdr:col>7</xdr:col>
      <xdr:colOff>19050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71450" y="5915025"/>
        <a:ext cx="5381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1925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1</v>
      </c>
      <c r="F3" s="26"/>
      <c r="G3" s="26" t="s">
        <v>73</v>
      </c>
      <c r="H3" s="25">
        <v>1925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2</v>
      </c>
      <c r="F4" s="26"/>
      <c r="G4" s="26" t="s">
        <v>76</v>
      </c>
      <c r="H4" s="25">
        <v>1925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3</v>
      </c>
      <c r="F5" s="26"/>
      <c r="G5" s="26" t="s">
        <v>79</v>
      </c>
      <c r="H5" s="25">
        <v>1925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4</v>
      </c>
      <c r="F6" s="26"/>
      <c r="G6" s="26" t="s">
        <v>81</v>
      </c>
      <c r="H6" s="25">
        <v>1925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-1.6926552E-05</v>
      </c>
      <c r="L2" s="54">
        <v>4.809771851616099E-07</v>
      </c>
      <c r="M2" s="54">
        <v>0.00012492835000000002</v>
      </c>
      <c r="N2" s="55">
        <v>2.8623801459249435E-07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-3.0353788E-05</v>
      </c>
      <c r="L3" s="54">
        <v>1.990322627767575E-07</v>
      </c>
      <c r="M3" s="54">
        <v>9.428310000000002E-06</v>
      </c>
      <c r="N3" s="55">
        <v>9.008517858108987E-08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-0.0020779859879675824</v>
      </c>
      <c r="L4" s="54">
        <v>4.7861361104754213E-05</v>
      </c>
      <c r="M4" s="54">
        <v>5.4476977433162784E-08</v>
      </c>
      <c r="N4" s="55">
        <v>-11.51425</v>
      </c>
    </row>
    <row r="5" spans="1:14" ht="15" customHeight="1" thickBot="1">
      <c r="A5" t="s">
        <v>18</v>
      </c>
      <c r="B5" s="58">
        <v>37818.513865740744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1925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-0.29801731</v>
      </c>
      <c r="E8" s="77">
        <v>0.018898456346416376</v>
      </c>
      <c r="F8" s="78">
        <v>9.2282214</v>
      </c>
      <c r="G8" s="77">
        <v>0.02596705966835505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-3.7289355</v>
      </c>
      <c r="E9" s="80">
        <v>0.02870249520681998</v>
      </c>
      <c r="F9" s="80">
        <v>-0.4248999099999999</v>
      </c>
      <c r="G9" s="80">
        <v>0.07049317553703671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0.90392395</v>
      </c>
      <c r="E10" s="80">
        <v>0.03732899541166273</v>
      </c>
      <c r="F10" s="85">
        <v>-9.454448199999998</v>
      </c>
      <c r="G10" s="80">
        <v>0.01745328273628526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14.386247000000001</v>
      </c>
      <c r="E11" s="77">
        <v>0.01049612909711971</v>
      </c>
      <c r="F11" s="77">
        <v>1.292098</v>
      </c>
      <c r="G11" s="77">
        <v>0.011560243903145168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0.16558227000000003</v>
      </c>
      <c r="E12" s="80">
        <v>0.007155688430933518</v>
      </c>
      <c r="F12" s="80">
        <v>0.34164473000000006</v>
      </c>
      <c r="G12" s="80">
        <v>0.00825205643603818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30.749513</v>
      </c>
      <c r="D13" s="84">
        <v>0.0320960493</v>
      </c>
      <c r="E13" s="80">
        <v>0.003321053744603744</v>
      </c>
      <c r="F13" s="80">
        <v>0.004581509</v>
      </c>
      <c r="G13" s="80">
        <v>0.00577497466892228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0.0320924166</v>
      </c>
      <c r="E14" s="80">
        <v>0.006143937494907022</v>
      </c>
      <c r="F14" s="80">
        <v>0.38922785</v>
      </c>
      <c r="G14" s="80">
        <v>0.004487654610709099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-0.33777876</v>
      </c>
      <c r="E15" s="77">
        <v>0.0017934510939461867</v>
      </c>
      <c r="F15" s="77">
        <v>0.10336473400000001</v>
      </c>
      <c r="G15" s="77">
        <v>0.006480915890084564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4">
        <v>0.075541851</v>
      </c>
      <c r="E16" s="80">
        <v>0.0015967387561135527</v>
      </c>
      <c r="F16" s="80">
        <v>0.0058015255</v>
      </c>
      <c r="G16" s="80">
        <v>0.004959431095026022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-0.12999999523162842</v>
      </c>
      <c r="D17" s="84">
        <v>0.07137487499999999</v>
      </c>
      <c r="E17" s="80">
        <v>0.002682556113034871</v>
      </c>
      <c r="F17" s="80">
        <v>0.10921836500000001</v>
      </c>
      <c r="G17" s="80">
        <v>0.002708318233036377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140.88900756835938</v>
      </c>
      <c r="D18" s="84">
        <v>-0.082873812</v>
      </c>
      <c r="E18" s="80">
        <v>0.0025025738094921935</v>
      </c>
      <c r="F18" s="80">
        <v>0.11131451399999999</v>
      </c>
      <c r="G18" s="80">
        <v>0.00354931614959674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-0.40799999237060547</v>
      </c>
      <c r="D19" s="84">
        <v>-0.12793341</v>
      </c>
      <c r="E19" s="80">
        <v>0.0023245920045028615</v>
      </c>
      <c r="F19" s="80">
        <v>-0.037546205</v>
      </c>
      <c r="G19" s="80">
        <v>0.0007601950998461486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-0.161931</v>
      </c>
      <c r="D20" s="90">
        <v>0.0019239434</v>
      </c>
      <c r="E20" s="91">
        <v>0.0011133920301648653</v>
      </c>
      <c r="F20" s="91">
        <v>0.0052996085</v>
      </c>
      <c r="G20" s="91">
        <v>0.0010850753330109858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1.0183092000000002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-0.6597184864988748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-2.0785370999999997</v>
      </c>
      <c r="I25" s="103" t="s">
        <v>65</v>
      </c>
      <c r="J25" s="104"/>
      <c r="K25" s="103"/>
      <c r="L25" s="106">
        <v>14.444155218863202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9.23303224972585</v>
      </c>
      <c r="I26" s="108" t="s">
        <v>67</v>
      </c>
      <c r="J26" s="109"/>
      <c r="K26" s="108"/>
      <c r="L26" s="111">
        <v>0.35324036992114644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HCMQAP060_pos5ap2res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2.1365860999999998E-05</v>
      </c>
      <c r="L2" s="54">
        <v>3.808612467094052E-08</v>
      </c>
      <c r="M2" s="54">
        <v>0.00012604966</v>
      </c>
      <c r="N2" s="55">
        <v>9.120531454817847E-08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-3.121910699999999E-05</v>
      </c>
      <c r="L3" s="54">
        <v>1.3630661020097023E-07</v>
      </c>
      <c r="M3" s="54">
        <v>1.379118E-05</v>
      </c>
      <c r="N3" s="55">
        <v>4.792617865031868E-08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-0.0022629166438395167</v>
      </c>
      <c r="L4" s="54">
        <v>2.1863228004284062E-06</v>
      </c>
      <c r="M4" s="54">
        <v>3.222514054008673E-08</v>
      </c>
      <c r="N4" s="55">
        <v>-0.48307615000000004</v>
      </c>
    </row>
    <row r="5" spans="1:14" ht="15" customHeight="1" thickBot="1">
      <c r="A5" t="s">
        <v>18</v>
      </c>
      <c r="B5" s="58">
        <v>37818.49576388889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1925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-2.1302348</v>
      </c>
      <c r="E8" s="77">
        <v>0.020209257390114626</v>
      </c>
      <c r="F8" s="77">
        <v>0.185965902</v>
      </c>
      <c r="G8" s="77">
        <v>0.017311554906813614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-0.51371687</v>
      </c>
      <c r="E9" s="80">
        <v>0.03758162597526255</v>
      </c>
      <c r="F9" s="80">
        <v>-0.9978259700000001</v>
      </c>
      <c r="G9" s="80">
        <v>0.031164380546862862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-0.06632402</v>
      </c>
      <c r="E10" s="80">
        <v>0.013903535950706931</v>
      </c>
      <c r="F10" s="80">
        <v>-2.0020549</v>
      </c>
      <c r="G10" s="80">
        <v>0.0075069597401443144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3.9824931</v>
      </c>
      <c r="E11" s="77">
        <v>0.012860556572035282</v>
      </c>
      <c r="F11" s="77">
        <v>0.78955397</v>
      </c>
      <c r="G11" s="77">
        <v>0.0055503052450700495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-0.074220183</v>
      </c>
      <c r="E12" s="80">
        <v>0.007346759284852553</v>
      </c>
      <c r="F12" s="80">
        <v>0.050302785</v>
      </c>
      <c r="G12" s="80">
        <v>0.005639040370766081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30.673219</v>
      </c>
      <c r="D13" s="84">
        <v>0.082879968</v>
      </c>
      <c r="E13" s="80">
        <v>0.004221486675020782</v>
      </c>
      <c r="F13" s="80">
        <v>-0.30446165000000003</v>
      </c>
      <c r="G13" s="80">
        <v>0.005116839925675365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0.17422274</v>
      </c>
      <c r="E14" s="80">
        <v>0.0052599699258078295</v>
      </c>
      <c r="F14" s="80">
        <v>0.31183525999999995</v>
      </c>
      <c r="G14" s="80">
        <v>0.005717722283167324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-0.33858571</v>
      </c>
      <c r="E15" s="77">
        <v>0.003270821309914642</v>
      </c>
      <c r="F15" s="77">
        <v>0.097848475</v>
      </c>
      <c r="G15" s="77">
        <v>0.00467419881665606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12.5061</v>
      </c>
      <c r="D16" s="84">
        <v>-0.040979288</v>
      </c>
      <c r="E16" s="80">
        <v>0.0030415972187497124</v>
      </c>
      <c r="F16" s="80">
        <v>-0.05786593799999999</v>
      </c>
      <c r="G16" s="80">
        <v>0.0015960146056431433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-0.24799999594688416</v>
      </c>
      <c r="D17" s="83">
        <v>0.15526586999999997</v>
      </c>
      <c r="E17" s="80">
        <v>0.0031657804578982597</v>
      </c>
      <c r="F17" s="80">
        <v>-0.06364546900000001</v>
      </c>
      <c r="G17" s="80">
        <v>0.0013720951554692822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116.98400115966797</v>
      </c>
      <c r="D18" s="84">
        <v>0.028900226500000004</v>
      </c>
      <c r="E18" s="80">
        <v>0.002203471478041199</v>
      </c>
      <c r="F18" s="85">
        <v>0.18272517</v>
      </c>
      <c r="G18" s="80">
        <v>0.0021470131016360756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-0.375</v>
      </c>
      <c r="D19" s="83">
        <v>-0.19105456999999998</v>
      </c>
      <c r="E19" s="80">
        <v>0.0019214076789172288</v>
      </c>
      <c r="F19" s="80">
        <v>0.0021198987999999997</v>
      </c>
      <c r="G19" s="80">
        <v>0.0025283501118437217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0.159586</v>
      </c>
      <c r="D20" s="90">
        <v>0.00207468621</v>
      </c>
      <c r="E20" s="91">
        <v>0.0016912105663656337</v>
      </c>
      <c r="F20" s="91">
        <v>-0.00056377839</v>
      </c>
      <c r="G20" s="91">
        <v>0.0010261084367703174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0.9470898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-0.027678247957244582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-2.2629177</v>
      </c>
      <c r="I25" s="103" t="s">
        <v>65</v>
      </c>
      <c r="J25" s="104"/>
      <c r="K25" s="103"/>
      <c r="L25" s="106">
        <v>4.060005758997193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2.1383366479199934</v>
      </c>
      <c r="I26" s="108" t="s">
        <v>67</v>
      </c>
      <c r="J26" s="109"/>
      <c r="K26" s="108"/>
      <c r="L26" s="111">
        <v>0.35244092707293473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HCMQAP060_pos1ap2res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8.4897272E-05</v>
      </c>
      <c r="L2" s="54">
        <v>1.773373807607305E-07</v>
      </c>
      <c r="M2" s="54">
        <v>0.00019472075999999998</v>
      </c>
      <c r="N2" s="55">
        <v>8.258766500171696E-08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-2.8575208000000002E-05</v>
      </c>
      <c r="L3" s="54">
        <v>8.741181691174694E-08</v>
      </c>
      <c r="M3" s="54">
        <v>1.2702260000000001E-05</v>
      </c>
      <c r="N3" s="55">
        <v>1.0045095519699006E-07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-0.003755445350474456</v>
      </c>
      <c r="L4" s="54">
        <v>3.413700631343485E-05</v>
      </c>
      <c r="M4" s="54">
        <v>6.619589353945606E-08</v>
      </c>
      <c r="N4" s="55">
        <v>-4.5448759</v>
      </c>
    </row>
    <row r="5" spans="1:14" ht="15" customHeight="1" thickBot="1">
      <c r="A5" t="s">
        <v>18</v>
      </c>
      <c r="B5" s="58">
        <v>37818.500289351854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1925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-1.3026273</v>
      </c>
      <c r="E8" s="77">
        <v>0.011509320955643188</v>
      </c>
      <c r="F8" s="77">
        <v>0.8054692999999998</v>
      </c>
      <c r="G8" s="77">
        <v>0.007980317128233274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-0.54470089</v>
      </c>
      <c r="E9" s="80">
        <v>0.01102452851732928</v>
      </c>
      <c r="F9" s="80">
        <v>-2.4492822</v>
      </c>
      <c r="G9" s="80">
        <v>0.034430842017885196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-0.75901199</v>
      </c>
      <c r="E10" s="80">
        <v>0.005643665266419702</v>
      </c>
      <c r="F10" s="85">
        <v>-2.412512</v>
      </c>
      <c r="G10" s="80">
        <v>0.012292749489060175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4.1817004</v>
      </c>
      <c r="E11" s="77">
        <v>0.008108478712807851</v>
      </c>
      <c r="F11" s="77">
        <v>0.2931247</v>
      </c>
      <c r="G11" s="77">
        <v>0.005849835838723329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-0.083160254</v>
      </c>
      <c r="E12" s="80">
        <v>0.004222310101275622</v>
      </c>
      <c r="F12" s="80">
        <v>0.0073306326</v>
      </c>
      <c r="G12" s="80">
        <v>0.005774893933160039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30.673219</v>
      </c>
      <c r="D13" s="84">
        <v>0.063590648</v>
      </c>
      <c r="E13" s="80">
        <v>0.004286714671406929</v>
      </c>
      <c r="F13" s="80">
        <v>-0.115777902</v>
      </c>
      <c r="G13" s="80">
        <v>0.0026260232868059548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0.05733006300000001</v>
      </c>
      <c r="E14" s="80">
        <v>0.0035313592276296404</v>
      </c>
      <c r="F14" s="80">
        <v>0.10740243900000002</v>
      </c>
      <c r="G14" s="80">
        <v>0.001844650167972071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-0.10969701999999999</v>
      </c>
      <c r="E15" s="77">
        <v>0.0018481713471977007</v>
      </c>
      <c r="F15" s="77">
        <v>-0.0016952769960000003</v>
      </c>
      <c r="G15" s="77">
        <v>0.0025672148886963426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12.5061</v>
      </c>
      <c r="D16" s="84">
        <v>-0.030757586000000003</v>
      </c>
      <c r="E16" s="80">
        <v>0.0019293265439820912</v>
      </c>
      <c r="F16" s="80">
        <v>-0.009568461249999998</v>
      </c>
      <c r="G16" s="80">
        <v>0.002339956545636163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0.34299999475479126</v>
      </c>
      <c r="D17" s="84">
        <v>0.10128403999999999</v>
      </c>
      <c r="E17" s="80">
        <v>0.0019445182054873668</v>
      </c>
      <c r="F17" s="80">
        <v>-0.085614058</v>
      </c>
      <c r="G17" s="80">
        <v>0.0012031412227228686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41.707000732421875</v>
      </c>
      <c r="D18" s="84">
        <v>0.068253564</v>
      </c>
      <c r="E18" s="80">
        <v>0.0014514220928951223</v>
      </c>
      <c r="F18" s="85">
        <v>0.1573265</v>
      </c>
      <c r="G18" s="80">
        <v>0.001671645051738651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0.2290000021457672</v>
      </c>
      <c r="D19" s="83">
        <v>-0.17351233</v>
      </c>
      <c r="E19" s="80">
        <v>0.001453687330754533</v>
      </c>
      <c r="F19" s="80">
        <v>0.005982623599999999</v>
      </c>
      <c r="G19" s="80">
        <v>0.0013431242680419576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0.3762624</v>
      </c>
      <c r="D20" s="90">
        <v>-0.0018993879000000005</v>
      </c>
      <c r="E20" s="91">
        <v>0.0015744453191028065</v>
      </c>
      <c r="F20" s="91">
        <v>0.00060222148</v>
      </c>
      <c r="G20" s="91">
        <v>0.0013288381748889659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0.8848742999999999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-0.26040242743324243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-3.7556005000000003</v>
      </c>
      <c r="I25" s="103" t="s">
        <v>65</v>
      </c>
      <c r="J25" s="104"/>
      <c r="K25" s="103"/>
      <c r="L25" s="106">
        <v>4.191961393561521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1.5315412746471377</v>
      </c>
      <c r="I26" s="108" t="s">
        <v>67</v>
      </c>
      <c r="J26" s="109"/>
      <c r="K26" s="108"/>
      <c r="L26" s="111">
        <v>0.1097101187720329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HCMQAP060_pos2ap2res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-4.5942720000000005E-05</v>
      </c>
      <c r="L2" s="54">
        <v>1.5243558705201776E-07</v>
      </c>
      <c r="M2" s="54">
        <v>0.00017599611</v>
      </c>
      <c r="N2" s="55">
        <v>2.143879436887803E-07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-2.7559320000000004E-05</v>
      </c>
      <c r="L3" s="54">
        <v>1.196102413669517E-07</v>
      </c>
      <c r="M3" s="54">
        <v>1.0659209999999999E-05</v>
      </c>
      <c r="N3" s="55">
        <v>1.499344069918455E-07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-0.0037550657811922105</v>
      </c>
      <c r="L4" s="54">
        <v>4.831549178984948E-05</v>
      </c>
      <c r="M4" s="54">
        <v>6.562955248887233E-08</v>
      </c>
      <c r="N4" s="55">
        <v>-6.4330199</v>
      </c>
    </row>
    <row r="5" spans="1:14" ht="15" customHeight="1" thickBot="1">
      <c r="A5" t="s">
        <v>18</v>
      </c>
      <c r="B5" s="58">
        <v>37818.50488425926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1925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0.4755314200000001</v>
      </c>
      <c r="E8" s="77">
        <v>0.011374131903734083</v>
      </c>
      <c r="F8" s="77">
        <v>-0.70520567</v>
      </c>
      <c r="G8" s="77">
        <v>0.021460821667039245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-0.72854538</v>
      </c>
      <c r="E9" s="80">
        <v>0.031239052995419386</v>
      </c>
      <c r="F9" s="85">
        <v>-3.4189914999999997</v>
      </c>
      <c r="G9" s="80">
        <v>0.011536664140817493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0.34851047999999996</v>
      </c>
      <c r="E10" s="80">
        <v>0.0076116000774865585</v>
      </c>
      <c r="F10" s="85">
        <v>-2.9371561999999996</v>
      </c>
      <c r="G10" s="80">
        <v>0.008553256874610693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4.498174000000001</v>
      </c>
      <c r="E11" s="77">
        <v>0.00686578273047767</v>
      </c>
      <c r="F11" s="77">
        <v>0.53838646</v>
      </c>
      <c r="G11" s="77">
        <v>0.006462420092613508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-0.15471292</v>
      </c>
      <c r="E12" s="80">
        <v>0.00489415627801116</v>
      </c>
      <c r="F12" s="80">
        <v>0.16306468999999998</v>
      </c>
      <c r="G12" s="80">
        <v>0.006723094058795432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30.65796</v>
      </c>
      <c r="D13" s="84">
        <v>0.03909278100000001</v>
      </c>
      <c r="E13" s="80">
        <v>0.002114013915620675</v>
      </c>
      <c r="F13" s="80">
        <v>-0.038759629229999995</v>
      </c>
      <c r="G13" s="80">
        <v>0.0076004111689344745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0.0024032828999999995</v>
      </c>
      <c r="E14" s="80">
        <v>0.004217449355941531</v>
      </c>
      <c r="F14" s="80">
        <v>-0.031318661</v>
      </c>
      <c r="G14" s="80">
        <v>0.0026759541397292207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-0.031747017</v>
      </c>
      <c r="E15" s="77">
        <v>0.0019321436923003582</v>
      </c>
      <c r="F15" s="77">
        <v>0.011174767499999998</v>
      </c>
      <c r="G15" s="77">
        <v>0.003367964593183026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</v>
      </c>
      <c r="D16" s="84">
        <v>0.045276087</v>
      </c>
      <c r="E16" s="80">
        <v>0.002437665753688613</v>
      </c>
      <c r="F16" s="80">
        <v>0.0022091128000000003</v>
      </c>
      <c r="G16" s="80">
        <v>0.0016197748163973165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-0.09200000017881393</v>
      </c>
      <c r="D17" s="84">
        <v>0.11116092</v>
      </c>
      <c r="E17" s="80">
        <v>0.0013484479588042682</v>
      </c>
      <c r="F17" s="80">
        <v>0.080197219</v>
      </c>
      <c r="G17" s="80">
        <v>0.0021561237115911946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123.08799743652344</v>
      </c>
      <c r="D18" s="84">
        <v>-0.026522937000000003</v>
      </c>
      <c r="E18" s="80">
        <v>0.0010318182213383518</v>
      </c>
      <c r="F18" s="85">
        <v>0.16070054</v>
      </c>
      <c r="G18" s="80">
        <v>0.0011994462528186482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-0.3449999988079071</v>
      </c>
      <c r="D19" s="83">
        <v>-0.18636534</v>
      </c>
      <c r="E19" s="80">
        <v>0.0009178424507463428</v>
      </c>
      <c r="F19" s="80">
        <v>0.0040408844999999995</v>
      </c>
      <c r="G19" s="80">
        <v>0.0014376660088712546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-0.2181784</v>
      </c>
      <c r="D20" s="90">
        <v>0.00223805067</v>
      </c>
      <c r="E20" s="91">
        <v>0.0010296660789591028</v>
      </c>
      <c r="F20" s="91">
        <v>-0.0031841403999999995</v>
      </c>
      <c r="G20" s="91">
        <v>0.001821400567396137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0.7939778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-0.36858520112427146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-3.7553766</v>
      </c>
      <c r="I25" s="103" t="s">
        <v>65</v>
      </c>
      <c r="J25" s="104"/>
      <c r="K25" s="103"/>
      <c r="L25" s="106">
        <v>4.530279165193613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0.850555799702386</v>
      </c>
      <c r="I26" s="108" t="s">
        <v>67</v>
      </c>
      <c r="J26" s="109"/>
      <c r="K26" s="108"/>
      <c r="L26" s="111">
        <v>0.03365632952473198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HCMQAP060_pos3ap2res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3.94796077E-05</v>
      </c>
      <c r="L2" s="54">
        <v>6.247981037519931E-07</v>
      </c>
      <c r="M2" s="54">
        <v>0.00017973724</v>
      </c>
      <c r="N2" s="55">
        <v>3.740570149005808E-07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-2.82620563E-05</v>
      </c>
      <c r="L3" s="54">
        <v>1.8736973088430262E-07</v>
      </c>
      <c r="M3" s="54">
        <v>1.0001720000000003E-05</v>
      </c>
      <c r="N3" s="55">
        <v>1.9028964659169744E-07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-0.0037550421659995415</v>
      </c>
      <c r="L4" s="54">
        <v>6.429119396714538E-05</v>
      </c>
      <c r="M4" s="54">
        <v>8.11523250892398E-08</v>
      </c>
      <c r="N4" s="55">
        <v>-8.559812400000002</v>
      </c>
    </row>
    <row r="5" spans="1:14" ht="15" customHeight="1" thickBot="1">
      <c r="A5" t="s">
        <v>18</v>
      </c>
      <c r="B5" s="58">
        <v>37818.509351851855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1925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0.83468198</v>
      </c>
      <c r="E8" s="77">
        <v>0.011451171760059189</v>
      </c>
      <c r="F8" s="77">
        <v>0.8463256100000001</v>
      </c>
      <c r="G8" s="77">
        <v>0.009951824022074219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-0.32883013299999997</v>
      </c>
      <c r="E9" s="80">
        <v>0.019205034113730056</v>
      </c>
      <c r="F9" s="80">
        <v>-1.3094940999999998</v>
      </c>
      <c r="G9" s="80">
        <v>0.032694818064037075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-0.9587068200000001</v>
      </c>
      <c r="E10" s="80">
        <v>0.01557737613015776</v>
      </c>
      <c r="F10" s="85">
        <v>-2.6686448</v>
      </c>
      <c r="G10" s="80">
        <v>0.006477948291034652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4.675606</v>
      </c>
      <c r="E11" s="77">
        <v>0.005917137128579451</v>
      </c>
      <c r="F11" s="77">
        <v>0.25586049</v>
      </c>
      <c r="G11" s="77">
        <v>0.004331332412825314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-0.19431053</v>
      </c>
      <c r="E12" s="80">
        <v>0.003852338585405467</v>
      </c>
      <c r="F12" s="80">
        <v>0.107135146</v>
      </c>
      <c r="G12" s="80">
        <v>0.0029149296612564035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30.673219</v>
      </c>
      <c r="D13" s="84">
        <v>0.053943520999999994</v>
      </c>
      <c r="E13" s="80">
        <v>0.0032044848447455973</v>
      </c>
      <c r="F13" s="80">
        <v>-0.085647745</v>
      </c>
      <c r="G13" s="80">
        <v>0.004901413943518836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0.047284637000000004</v>
      </c>
      <c r="E14" s="80">
        <v>0.004575769084836528</v>
      </c>
      <c r="F14" s="80">
        <v>0.029309311999999997</v>
      </c>
      <c r="G14" s="80">
        <v>0.003389669571159713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-0.045272019999999996</v>
      </c>
      <c r="E15" s="77">
        <v>0.0028845220533807764</v>
      </c>
      <c r="F15" s="77">
        <v>0.06868868400000001</v>
      </c>
      <c r="G15" s="77">
        <v>0.004670572069431348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12.506400000000001</v>
      </c>
      <c r="D16" s="84">
        <v>-0.041424779</v>
      </c>
      <c r="E16" s="80">
        <v>0.0035882285508442623</v>
      </c>
      <c r="F16" s="80">
        <v>-0.016093439100000002</v>
      </c>
      <c r="G16" s="80">
        <v>0.0016143962438225042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0.4309999942779541</v>
      </c>
      <c r="D17" s="84">
        <v>0.107895264</v>
      </c>
      <c r="E17" s="80">
        <v>0.0018939876682607742</v>
      </c>
      <c r="F17" s="80">
        <v>-0.058062630999999996</v>
      </c>
      <c r="G17" s="80">
        <v>0.0035748980729629334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23.905000686645508</v>
      </c>
      <c r="D18" s="84">
        <v>0.041734718</v>
      </c>
      <c r="E18" s="80">
        <v>0.001948886998711355</v>
      </c>
      <c r="F18" s="85">
        <v>0.15828037</v>
      </c>
      <c r="G18" s="80">
        <v>0.0011475796990201418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0.20000000298023224</v>
      </c>
      <c r="D19" s="83">
        <v>-0.1814858</v>
      </c>
      <c r="E19" s="80">
        <v>0.001609948934591991</v>
      </c>
      <c r="F19" s="80">
        <v>0.0051750893</v>
      </c>
      <c r="G19" s="80">
        <v>0.0012646514154272962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0.1647711</v>
      </c>
      <c r="D20" s="90">
        <v>0.00094071016</v>
      </c>
      <c r="E20" s="91">
        <v>0.0015646514043884342</v>
      </c>
      <c r="F20" s="91">
        <v>-0.00299638212</v>
      </c>
      <c r="G20" s="91">
        <v>0.0014833700674982526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0.8165253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-0.4904415382019934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-3.7555924999999997</v>
      </c>
      <c r="I25" s="103" t="s">
        <v>65</v>
      </c>
      <c r="J25" s="104"/>
      <c r="K25" s="103"/>
      <c r="L25" s="106">
        <v>4.682601419892477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1.188680380034344</v>
      </c>
      <c r="I26" s="108" t="s">
        <v>67</v>
      </c>
      <c r="J26" s="109"/>
      <c r="K26" s="108"/>
      <c r="L26" s="111">
        <v>0.0822659778069419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HCMQAP060_pos4ap2res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73</v>
      </c>
      <c r="C1" s="121" t="s">
        <v>76</v>
      </c>
      <c r="D1" s="121" t="s">
        <v>79</v>
      </c>
      <c r="E1" s="121" t="s">
        <v>81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-2.2629177</v>
      </c>
      <c r="C2" s="123">
        <v>-3.7556005000000003</v>
      </c>
      <c r="D2" s="123">
        <v>-3.7553766</v>
      </c>
      <c r="E2" s="123">
        <v>-3.7555924999999997</v>
      </c>
      <c r="F2" s="129">
        <v>-2.0785370999999997</v>
      </c>
      <c r="G2" s="164">
        <v>3.116598373712616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-2.1302348</v>
      </c>
      <c r="C4" s="147">
        <v>-1.3026273</v>
      </c>
      <c r="D4" s="147">
        <v>0.4755314200000001</v>
      </c>
      <c r="E4" s="147">
        <v>0.83468198</v>
      </c>
      <c r="F4" s="152">
        <v>-0.29801731</v>
      </c>
      <c r="G4" s="159">
        <v>-0.3467196564185849</v>
      </c>
    </row>
    <row r="5" spans="1:7" ht="12.75">
      <c r="A5" s="140" t="s">
        <v>93</v>
      </c>
      <c r="B5" s="134">
        <v>-0.51371687</v>
      </c>
      <c r="C5" s="118">
        <v>-0.54470089</v>
      </c>
      <c r="D5" s="118">
        <v>-0.72854538</v>
      </c>
      <c r="E5" s="118">
        <v>-0.32883013299999997</v>
      </c>
      <c r="F5" s="153">
        <v>-3.7289355</v>
      </c>
      <c r="G5" s="160">
        <v>-0.9565479002174038</v>
      </c>
    </row>
    <row r="6" spans="1:7" ht="12.75">
      <c r="A6" s="140" t="s">
        <v>95</v>
      </c>
      <c r="B6" s="134">
        <v>-0.06632402</v>
      </c>
      <c r="C6" s="118">
        <v>-0.75901199</v>
      </c>
      <c r="D6" s="118">
        <v>0.34851047999999996</v>
      </c>
      <c r="E6" s="118">
        <v>-0.9587068200000001</v>
      </c>
      <c r="F6" s="154">
        <v>0.90392395</v>
      </c>
      <c r="G6" s="160">
        <v>-0.2187026427081756</v>
      </c>
    </row>
    <row r="7" spans="1:7" ht="12.75">
      <c r="A7" s="140" t="s">
        <v>97</v>
      </c>
      <c r="B7" s="133">
        <v>3.9824931</v>
      </c>
      <c r="C7" s="117">
        <v>4.1817004</v>
      </c>
      <c r="D7" s="117">
        <v>4.498174000000001</v>
      </c>
      <c r="E7" s="117">
        <v>4.675606</v>
      </c>
      <c r="F7" s="155">
        <v>14.386247000000001</v>
      </c>
      <c r="G7" s="160">
        <v>5.706757260538058</v>
      </c>
    </row>
    <row r="8" spans="1:7" ht="12.75">
      <c r="A8" s="140" t="s">
        <v>99</v>
      </c>
      <c r="B8" s="134">
        <v>-0.074220183</v>
      </c>
      <c r="C8" s="118">
        <v>-0.083160254</v>
      </c>
      <c r="D8" s="118">
        <v>-0.15471292</v>
      </c>
      <c r="E8" s="118">
        <v>-0.19431053</v>
      </c>
      <c r="F8" s="154">
        <v>0.16558227000000003</v>
      </c>
      <c r="G8" s="160">
        <v>-0.09269965099733866</v>
      </c>
    </row>
    <row r="9" spans="1:7" ht="12.75">
      <c r="A9" s="140" t="s">
        <v>101</v>
      </c>
      <c r="B9" s="134">
        <v>0.082879968</v>
      </c>
      <c r="C9" s="118">
        <v>0.063590648</v>
      </c>
      <c r="D9" s="118">
        <v>0.03909278100000001</v>
      </c>
      <c r="E9" s="118">
        <v>0.053943520999999994</v>
      </c>
      <c r="F9" s="154">
        <v>0.0320960493</v>
      </c>
      <c r="G9" s="160">
        <v>0.05397751960893614</v>
      </c>
    </row>
    <row r="10" spans="1:7" ht="12.75">
      <c r="A10" s="140" t="s">
        <v>103</v>
      </c>
      <c r="B10" s="134">
        <v>0.17422274</v>
      </c>
      <c r="C10" s="118">
        <v>0.05733006300000001</v>
      </c>
      <c r="D10" s="118">
        <v>0.0024032828999999995</v>
      </c>
      <c r="E10" s="118">
        <v>0.047284637000000004</v>
      </c>
      <c r="F10" s="154">
        <v>0.0320924166</v>
      </c>
      <c r="G10" s="160">
        <v>0.05528392653822018</v>
      </c>
    </row>
    <row r="11" spans="1:7" ht="12.75">
      <c r="A11" s="140" t="s">
        <v>105</v>
      </c>
      <c r="B11" s="133">
        <v>-0.33858571</v>
      </c>
      <c r="C11" s="117">
        <v>-0.10969701999999999</v>
      </c>
      <c r="D11" s="117">
        <v>-0.031747017</v>
      </c>
      <c r="E11" s="117">
        <v>-0.045272019999999996</v>
      </c>
      <c r="F11" s="156">
        <v>-0.33777876</v>
      </c>
      <c r="G11" s="160">
        <v>-0.1389990604494458</v>
      </c>
    </row>
    <row r="12" spans="1:7" ht="12.75">
      <c r="A12" s="140" t="s">
        <v>107</v>
      </c>
      <c r="B12" s="134">
        <v>-0.040979288</v>
      </c>
      <c r="C12" s="118">
        <v>-0.030757586000000003</v>
      </c>
      <c r="D12" s="118">
        <v>0.045276087</v>
      </c>
      <c r="E12" s="118">
        <v>-0.041424779</v>
      </c>
      <c r="F12" s="154">
        <v>0.075541851</v>
      </c>
      <c r="G12" s="160">
        <v>-0.0023561760494180068</v>
      </c>
    </row>
    <row r="13" spans="1:7" ht="12.75">
      <c r="A13" s="140" t="s">
        <v>109</v>
      </c>
      <c r="B13" s="135">
        <v>0.15526586999999997</v>
      </c>
      <c r="C13" s="118">
        <v>0.10128403999999999</v>
      </c>
      <c r="D13" s="118">
        <v>0.11116092</v>
      </c>
      <c r="E13" s="118">
        <v>0.107895264</v>
      </c>
      <c r="F13" s="154">
        <v>0.07137487499999999</v>
      </c>
      <c r="G13" s="161">
        <v>0.10909474004004463</v>
      </c>
    </row>
    <row r="14" spans="1:7" ht="12.75">
      <c r="A14" s="140" t="s">
        <v>111</v>
      </c>
      <c r="B14" s="134">
        <v>0.028900226500000004</v>
      </c>
      <c r="C14" s="118">
        <v>0.068253564</v>
      </c>
      <c r="D14" s="118">
        <v>-0.026522937000000003</v>
      </c>
      <c r="E14" s="118">
        <v>0.041734718</v>
      </c>
      <c r="F14" s="154">
        <v>-0.082873812</v>
      </c>
      <c r="G14" s="160">
        <v>0.013237462471096384</v>
      </c>
    </row>
    <row r="15" spans="1:7" ht="12.75">
      <c r="A15" s="140" t="s">
        <v>113</v>
      </c>
      <c r="B15" s="135">
        <v>-0.19105456999999998</v>
      </c>
      <c r="C15" s="119">
        <v>-0.17351233</v>
      </c>
      <c r="D15" s="119">
        <v>-0.18636534</v>
      </c>
      <c r="E15" s="119">
        <v>-0.1814858</v>
      </c>
      <c r="F15" s="154">
        <v>-0.12793341</v>
      </c>
      <c r="G15" s="160">
        <v>-0.1749969616052823</v>
      </c>
    </row>
    <row r="16" spans="1:7" ht="12.75">
      <c r="A16" s="140" t="s">
        <v>115</v>
      </c>
      <c r="B16" s="134">
        <v>0.00207468621</v>
      </c>
      <c r="C16" s="118">
        <v>-0.0018993879000000005</v>
      </c>
      <c r="D16" s="118">
        <v>0.00223805067</v>
      </c>
      <c r="E16" s="118">
        <v>0.00094071016</v>
      </c>
      <c r="F16" s="154">
        <v>0.0019239434</v>
      </c>
      <c r="G16" s="160">
        <v>0.0008648203338356663</v>
      </c>
    </row>
    <row r="17" spans="1:7" ht="12.75">
      <c r="A17" s="140" t="s">
        <v>92</v>
      </c>
      <c r="B17" s="133">
        <v>0.185965902</v>
      </c>
      <c r="C17" s="117">
        <v>0.8054692999999998</v>
      </c>
      <c r="D17" s="117">
        <v>-0.70520567</v>
      </c>
      <c r="E17" s="117">
        <v>0.8463256100000001</v>
      </c>
      <c r="F17" s="155">
        <v>9.2282214</v>
      </c>
      <c r="G17" s="160">
        <v>1.4836719646677037</v>
      </c>
    </row>
    <row r="18" spans="1:7" ht="12.75">
      <c r="A18" s="140" t="s">
        <v>94</v>
      </c>
      <c r="B18" s="134">
        <v>-0.9978259700000001</v>
      </c>
      <c r="C18" s="118">
        <v>-2.4492822</v>
      </c>
      <c r="D18" s="119">
        <v>-3.4189914999999997</v>
      </c>
      <c r="E18" s="118">
        <v>-1.3094940999999998</v>
      </c>
      <c r="F18" s="154">
        <v>-0.4248999099999999</v>
      </c>
      <c r="G18" s="161">
        <v>-1.9283171178389864</v>
      </c>
    </row>
    <row r="19" spans="1:7" ht="12.75">
      <c r="A19" s="140" t="s">
        <v>96</v>
      </c>
      <c r="B19" s="134">
        <v>-2.0020549</v>
      </c>
      <c r="C19" s="119">
        <v>-2.412512</v>
      </c>
      <c r="D19" s="119">
        <v>-2.9371561999999996</v>
      </c>
      <c r="E19" s="119">
        <v>-2.6686448</v>
      </c>
      <c r="F19" s="153">
        <v>-9.454448199999998</v>
      </c>
      <c r="G19" s="161">
        <v>-3.478647057140356</v>
      </c>
    </row>
    <row r="20" spans="1:7" ht="12.75">
      <c r="A20" s="140" t="s">
        <v>98</v>
      </c>
      <c r="B20" s="133">
        <v>0.78955397</v>
      </c>
      <c r="C20" s="117">
        <v>0.2931247</v>
      </c>
      <c r="D20" s="117">
        <v>0.53838646</v>
      </c>
      <c r="E20" s="117">
        <v>0.25586049</v>
      </c>
      <c r="F20" s="156">
        <v>1.292098</v>
      </c>
      <c r="G20" s="160">
        <v>0.5481782950356984</v>
      </c>
    </row>
    <row r="21" spans="1:7" ht="12.75">
      <c r="A21" s="140" t="s">
        <v>100</v>
      </c>
      <c r="B21" s="134">
        <v>0.050302785</v>
      </c>
      <c r="C21" s="118">
        <v>0.0073306326</v>
      </c>
      <c r="D21" s="118">
        <v>0.16306468999999998</v>
      </c>
      <c r="E21" s="118">
        <v>0.107135146</v>
      </c>
      <c r="F21" s="154">
        <v>0.34164473000000006</v>
      </c>
      <c r="G21" s="160">
        <v>0.11956724697549888</v>
      </c>
    </row>
    <row r="22" spans="1:7" ht="12.75">
      <c r="A22" s="140" t="s">
        <v>102</v>
      </c>
      <c r="B22" s="134">
        <v>-0.30446165000000003</v>
      </c>
      <c r="C22" s="118">
        <v>-0.115777902</v>
      </c>
      <c r="D22" s="118">
        <v>-0.038759629229999995</v>
      </c>
      <c r="E22" s="118">
        <v>-0.085647745</v>
      </c>
      <c r="F22" s="154">
        <v>0.004581509</v>
      </c>
      <c r="G22" s="160">
        <v>-0.10132476473863039</v>
      </c>
    </row>
    <row r="23" spans="1:7" ht="12.75">
      <c r="A23" s="140" t="s">
        <v>104</v>
      </c>
      <c r="B23" s="134">
        <v>0.31183525999999995</v>
      </c>
      <c r="C23" s="118">
        <v>0.10740243900000002</v>
      </c>
      <c r="D23" s="118">
        <v>-0.031318661</v>
      </c>
      <c r="E23" s="118">
        <v>0.029309311999999997</v>
      </c>
      <c r="F23" s="154">
        <v>0.38922785</v>
      </c>
      <c r="G23" s="160">
        <v>0.1224051889097882</v>
      </c>
    </row>
    <row r="24" spans="1:7" ht="12.75">
      <c r="A24" s="140" t="s">
        <v>106</v>
      </c>
      <c r="B24" s="133">
        <v>0.097848475</v>
      </c>
      <c r="C24" s="117">
        <v>-0.0016952769960000003</v>
      </c>
      <c r="D24" s="117">
        <v>0.011174767499999998</v>
      </c>
      <c r="E24" s="117">
        <v>0.06868868400000001</v>
      </c>
      <c r="F24" s="156">
        <v>0.10336473400000001</v>
      </c>
      <c r="G24" s="160">
        <v>0.046760297488869465</v>
      </c>
    </row>
    <row r="25" spans="1:7" ht="12.75">
      <c r="A25" s="140" t="s">
        <v>108</v>
      </c>
      <c r="B25" s="134">
        <v>-0.05786593799999999</v>
      </c>
      <c r="C25" s="118">
        <v>-0.009568461249999998</v>
      </c>
      <c r="D25" s="118">
        <v>0.0022091128000000003</v>
      </c>
      <c r="E25" s="118">
        <v>-0.016093439100000002</v>
      </c>
      <c r="F25" s="154">
        <v>0.0058015255</v>
      </c>
      <c r="G25" s="160">
        <v>-0.013260283976809608</v>
      </c>
    </row>
    <row r="26" spans="1:7" ht="12.75">
      <c r="A26" s="140" t="s">
        <v>110</v>
      </c>
      <c r="B26" s="134">
        <v>-0.06364546900000001</v>
      </c>
      <c r="C26" s="118">
        <v>-0.085614058</v>
      </c>
      <c r="D26" s="118">
        <v>0.080197219</v>
      </c>
      <c r="E26" s="118">
        <v>-0.058062630999999996</v>
      </c>
      <c r="F26" s="154">
        <v>0.10921836500000001</v>
      </c>
      <c r="G26" s="160">
        <v>-0.009958406753841369</v>
      </c>
    </row>
    <row r="27" spans="1:7" ht="12.75">
      <c r="A27" s="140" t="s">
        <v>112</v>
      </c>
      <c r="B27" s="135">
        <v>0.18272517</v>
      </c>
      <c r="C27" s="119">
        <v>0.1573265</v>
      </c>
      <c r="D27" s="119">
        <v>0.16070054</v>
      </c>
      <c r="E27" s="119">
        <v>0.15828037</v>
      </c>
      <c r="F27" s="154">
        <v>0.11131451399999999</v>
      </c>
      <c r="G27" s="161">
        <v>0.15592277448014608</v>
      </c>
    </row>
    <row r="28" spans="1:7" ht="12.75">
      <c r="A28" s="140" t="s">
        <v>114</v>
      </c>
      <c r="B28" s="134">
        <v>0.0021198987999999997</v>
      </c>
      <c r="C28" s="118">
        <v>0.005982623599999999</v>
      </c>
      <c r="D28" s="118">
        <v>0.0040408844999999995</v>
      </c>
      <c r="E28" s="118">
        <v>0.0051750893</v>
      </c>
      <c r="F28" s="154">
        <v>-0.037546205</v>
      </c>
      <c r="G28" s="160">
        <v>-0.0010356922366159288</v>
      </c>
    </row>
    <row r="29" spans="1:7" ht="13.5" thickBot="1">
      <c r="A29" s="141" t="s">
        <v>116</v>
      </c>
      <c r="B29" s="136">
        <v>-0.00056377839</v>
      </c>
      <c r="C29" s="120">
        <v>0.00060222148</v>
      </c>
      <c r="D29" s="120">
        <v>-0.0031841403999999995</v>
      </c>
      <c r="E29" s="120">
        <v>-0.00299638212</v>
      </c>
      <c r="F29" s="157">
        <v>0.0052996085</v>
      </c>
      <c r="G29" s="162">
        <v>-0.0007181872735773755</v>
      </c>
    </row>
    <row r="30" spans="1:7" ht="13.5" thickTop="1">
      <c r="A30" s="142" t="s">
        <v>117</v>
      </c>
      <c r="B30" s="137">
        <v>-0.027678247957244582</v>
      </c>
      <c r="C30" s="126">
        <v>-0.26040242743324243</v>
      </c>
      <c r="D30" s="126">
        <v>-0.36858520112427146</v>
      </c>
      <c r="E30" s="126">
        <v>-0.4904415382019934</v>
      </c>
      <c r="F30" s="122">
        <v>-0.6597184864988748</v>
      </c>
      <c r="G30" s="163" t="s">
        <v>128</v>
      </c>
    </row>
    <row r="31" spans="1:7" ht="13.5" thickBot="1">
      <c r="A31" s="143" t="s">
        <v>118</v>
      </c>
      <c r="B31" s="132">
        <v>30.673219</v>
      </c>
      <c r="C31" s="123">
        <v>30.673219</v>
      </c>
      <c r="D31" s="123">
        <v>30.65796</v>
      </c>
      <c r="E31" s="123">
        <v>30.673219</v>
      </c>
      <c r="F31" s="124">
        <v>30.749513</v>
      </c>
      <c r="G31" s="165">
        <v>-209.78</v>
      </c>
    </row>
    <row r="32" spans="1:7" ht="15.75" thickBot="1" thickTop="1">
      <c r="A32" s="144" t="s">
        <v>119</v>
      </c>
      <c r="B32" s="138">
        <v>-0.3114999979734421</v>
      </c>
      <c r="C32" s="127">
        <v>0.28599999845027924</v>
      </c>
      <c r="D32" s="127">
        <v>-0.21849999949336052</v>
      </c>
      <c r="E32" s="127">
        <v>0.31549999862909317</v>
      </c>
      <c r="F32" s="125">
        <v>-0.26899999380111694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6" width="15.33203125" style="166" bestFit="1" customWidth="1"/>
    <col min="7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0.002262</v>
      </c>
      <c r="C4" s="166">
        <v>0.003754</v>
      </c>
      <c r="D4" s="166">
        <v>0.003753</v>
      </c>
      <c r="E4" s="166">
        <v>0.003754</v>
      </c>
      <c r="F4" s="166">
        <v>0.002077</v>
      </c>
      <c r="G4" s="166">
        <v>0.011698</v>
      </c>
    </row>
    <row r="5" spans="1:7" ht="12.75">
      <c r="A5" s="166" t="s">
        <v>137</v>
      </c>
      <c r="B5" s="166">
        <v>5.705588</v>
      </c>
      <c r="C5" s="166">
        <v>2.026199</v>
      </c>
      <c r="D5" s="166">
        <v>-0.389888</v>
      </c>
      <c r="E5" s="166">
        <v>-2.095604</v>
      </c>
      <c r="F5" s="166">
        <v>-5.447522</v>
      </c>
      <c r="G5" s="166">
        <v>-6.319441</v>
      </c>
    </row>
    <row r="6" spans="1:7" ht="12.75">
      <c r="A6" s="166" t="s">
        <v>138</v>
      </c>
      <c r="B6" s="167">
        <v>-134.9954</v>
      </c>
      <c r="C6" s="167">
        <v>-270.4432</v>
      </c>
      <c r="D6" s="167">
        <v>74.89945</v>
      </c>
      <c r="E6" s="167">
        <v>-154.0523</v>
      </c>
      <c r="F6" s="167">
        <v>29.61329</v>
      </c>
      <c r="G6" s="167">
        <v>1027.695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-2.122655</v>
      </c>
      <c r="C8" s="167">
        <v>-1.325346</v>
      </c>
      <c r="D8" s="167">
        <v>0.4773263</v>
      </c>
      <c r="E8" s="167">
        <v>0.8270577</v>
      </c>
      <c r="F8" s="167">
        <v>0.02245766</v>
      </c>
      <c r="G8" s="167">
        <v>1.47337</v>
      </c>
    </row>
    <row r="9" spans="1:7" ht="12.75">
      <c r="A9" s="166" t="s">
        <v>93</v>
      </c>
      <c r="B9" s="167">
        <v>-0.4607025</v>
      </c>
      <c r="C9" s="167">
        <v>-0.5599264</v>
      </c>
      <c r="D9" s="167">
        <v>-0.8028386</v>
      </c>
      <c r="E9" s="167">
        <v>-0.3972806</v>
      </c>
      <c r="F9" s="167">
        <v>-3.460215</v>
      </c>
      <c r="G9" s="167">
        <v>0.9510317</v>
      </c>
    </row>
    <row r="10" spans="1:7" ht="12.75">
      <c r="A10" s="166" t="s">
        <v>140</v>
      </c>
      <c r="B10" s="167">
        <v>0.05984718</v>
      </c>
      <c r="C10" s="167">
        <v>-0.3711696</v>
      </c>
      <c r="D10" s="167">
        <v>-0.04121922</v>
      </c>
      <c r="E10" s="167">
        <v>-0.8673761</v>
      </c>
      <c r="F10" s="167">
        <v>-0.4089045</v>
      </c>
      <c r="G10" s="167">
        <v>3.431339</v>
      </c>
    </row>
    <row r="11" spans="1:7" ht="12.75">
      <c r="A11" s="166" t="s">
        <v>97</v>
      </c>
      <c r="B11" s="167">
        <v>3.949053</v>
      </c>
      <c r="C11" s="167">
        <v>4.17018</v>
      </c>
      <c r="D11" s="167">
        <v>4.521923</v>
      </c>
      <c r="E11" s="167">
        <v>4.675763</v>
      </c>
      <c r="F11" s="167">
        <v>14.39019</v>
      </c>
      <c r="G11" s="167">
        <v>5.705429</v>
      </c>
    </row>
    <row r="12" spans="1:7" ht="12.75">
      <c r="A12" s="166" t="s">
        <v>99</v>
      </c>
      <c r="B12" s="167">
        <v>-0.06556554</v>
      </c>
      <c r="C12" s="167">
        <v>-0.07685111</v>
      </c>
      <c r="D12" s="167">
        <v>-0.1620781</v>
      </c>
      <c r="E12" s="167">
        <v>-0.1937251</v>
      </c>
      <c r="F12" s="167">
        <v>0.1740584</v>
      </c>
      <c r="G12" s="167">
        <v>0.1134889</v>
      </c>
    </row>
    <row r="13" spans="1:7" ht="12.75">
      <c r="A13" s="166" t="s">
        <v>101</v>
      </c>
      <c r="B13" s="167">
        <v>0.08769466</v>
      </c>
      <c r="C13" s="167">
        <v>0.06982468</v>
      </c>
      <c r="D13" s="167">
        <v>0.03659907</v>
      </c>
      <c r="E13" s="167">
        <v>0.05442488</v>
      </c>
      <c r="F13" s="167">
        <v>-0.001155519</v>
      </c>
      <c r="G13" s="167">
        <v>-0.05126979</v>
      </c>
    </row>
    <row r="14" spans="1:7" ht="12.75">
      <c r="A14" s="166" t="s">
        <v>103</v>
      </c>
      <c r="B14" s="167">
        <v>0.1408875</v>
      </c>
      <c r="C14" s="167">
        <v>0.03819473</v>
      </c>
      <c r="D14" s="167">
        <v>0.00883297</v>
      </c>
      <c r="E14" s="167">
        <v>0.04798839</v>
      </c>
      <c r="F14" s="167">
        <v>0.08250073</v>
      </c>
      <c r="G14" s="167">
        <v>-0.1167392</v>
      </c>
    </row>
    <row r="15" spans="1:7" ht="12.75">
      <c r="A15" s="166" t="s">
        <v>105</v>
      </c>
      <c r="B15" s="167">
        <v>-0.3426441</v>
      </c>
      <c r="C15" s="167">
        <v>-0.1133153</v>
      </c>
      <c r="D15" s="167">
        <v>-0.03939971</v>
      </c>
      <c r="E15" s="167">
        <v>-0.04681681</v>
      </c>
      <c r="F15" s="167">
        <v>-0.3437726</v>
      </c>
      <c r="G15" s="167">
        <v>-0.1434728</v>
      </c>
    </row>
    <row r="16" spans="1:7" ht="12.75">
      <c r="A16" s="166" t="s">
        <v>107</v>
      </c>
      <c r="B16" s="167">
        <v>-0.03042127</v>
      </c>
      <c r="C16" s="167">
        <v>-0.009960884</v>
      </c>
      <c r="D16" s="167">
        <v>0.02480968</v>
      </c>
      <c r="E16" s="167">
        <v>-0.03818143</v>
      </c>
      <c r="F16" s="167">
        <v>0.05560564</v>
      </c>
      <c r="G16" s="167">
        <v>-0.02331807</v>
      </c>
    </row>
    <row r="17" spans="1:7" ht="12.75">
      <c r="A17" s="166" t="s">
        <v>141</v>
      </c>
      <c r="B17" s="167">
        <v>0.1517847</v>
      </c>
      <c r="C17" s="167">
        <v>0.114639</v>
      </c>
      <c r="D17" s="167">
        <v>0.124283</v>
      </c>
      <c r="E17" s="167">
        <v>0.1155692</v>
      </c>
      <c r="F17" s="167">
        <v>0.08047735</v>
      </c>
      <c r="G17" s="167">
        <v>-0.1180201</v>
      </c>
    </row>
    <row r="18" spans="1:7" ht="12.75">
      <c r="A18" s="166" t="s">
        <v>142</v>
      </c>
      <c r="B18" s="167">
        <v>0.01198055</v>
      </c>
      <c r="C18" s="167">
        <v>0.05211169</v>
      </c>
      <c r="D18" s="167">
        <v>-0.01069048</v>
      </c>
      <c r="E18" s="167">
        <v>0.04186415</v>
      </c>
      <c r="F18" s="167">
        <v>-0.06605846</v>
      </c>
      <c r="G18" s="167">
        <v>-0.1576589</v>
      </c>
    </row>
    <row r="19" spans="1:7" ht="12.75">
      <c r="A19" s="166" t="s">
        <v>113</v>
      </c>
      <c r="B19" s="167">
        <v>-0.1907394</v>
      </c>
      <c r="C19" s="167">
        <v>-0.1743305</v>
      </c>
      <c r="D19" s="167">
        <v>-0.1862204</v>
      </c>
      <c r="E19" s="167">
        <v>-0.1811372</v>
      </c>
      <c r="F19" s="167">
        <v>-0.1301168</v>
      </c>
      <c r="G19" s="167">
        <v>-0.1753197</v>
      </c>
    </row>
    <row r="20" spans="1:7" ht="12.75">
      <c r="A20" s="166" t="s">
        <v>115</v>
      </c>
      <c r="B20" s="167">
        <v>0.002134561</v>
      </c>
      <c r="C20" s="167">
        <v>-0.001561641</v>
      </c>
      <c r="D20" s="167">
        <v>0.001917202</v>
      </c>
      <c r="E20" s="167">
        <v>0.0009103351</v>
      </c>
      <c r="F20" s="167">
        <v>0.002257721</v>
      </c>
      <c r="G20" s="167">
        <v>-0.0007373043</v>
      </c>
    </row>
    <row r="21" spans="1:7" ht="12.75">
      <c r="A21" s="166" t="s">
        <v>143</v>
      </c>
      <c r="B21" s="167">
        <v>-1072.07</v>
      </c>
      <c r="C21" s="167">
        <v>-1034.024</v>
      </c>
      <c r="D21" s="167">
        <v>-981.7382</v>
      </c>
      <c r="E21" s="167">
        <v>-992.9103</v>
      </c>
      <c r="F21" s="167">
        <v>-1113.823</v>
      </c>
      <c r="G21" s="167">
        <v>-99.74031</v>
      </c>
    </row>
    <row r="22" spans="1:7" ht="12.75">
      <c r="A22" s="166" t="s">
        <v>144</v>
      </c>
      <c r="B22" s="167">
        <v>114.1167</v>
      </c>
      <c r="C22" s="167">
        <v>40.52419</v>
      </c>
      <c r="D22" s="167">
        <v>-7.797763</v>
      </c>
      <c r="E22" s="167">
        <v>-41.91232</v>
      </c>
      <c r="F22" s="167">
        <v>-108.9548</v>
      </c>
      <c r="G22" s="167">
        <v>0</v>
      </c>
    </row>
    <row r="23" spans="1:7" ht="12.75">
      <c r="A23" s="166" t="s">
        <v>92</v>
      </c>
      <c r="B23" s="167">
        <v>0.1361486</v>
      </c>
      <c r="C23" s="167">
        <v>0.6649258</v>
      </c>
      <c r="D23" s="167">
        <v>-0.5189561</v>
      </c>
      <c r="E23" s="167">
        <v>0.8264535</v>
      </c>
      <c r="F23" s="167">
        <v>9.158222</v>
      </c>
      <c r="G23" s="167">
        <v>0.3098417</v>
      </c>
    </row>
    <row r="24" spans="1:7" ht="12.75">
      <c r="A24" s="166" t="s">
        <v>94</v>
      </c>
      <c r="B24" s="167">
        <v>-1.043037</v>
      </c>
      <c r="C24" s="167">
        <v>-2.623439</v>
      </c>
      <c r="D24" s="167">
        <v>-3.209397</v>
      </c>
      <c r="E24" s="167">
        <v>-1.348753</v>
      </c>
      <c r="F24" s="167">
        <v>0.1933899</v>
      </c>
      <c r="G24" s="167">
        <v>1.853487</v>
      </c>
    </row>
    <row r="25" spans="1:7" ht="12.75">
      <c r="A25" s="166" t="s">
        <v>96</v>
      </c>
      <c r="B25" s="167">
        <v>-1.886083</v>
      </c>
      <c r="C25" s="167">
        <v>-2.375105</v>
      </c>
      <c r="D25" s="167">
        <v>-3.084307</v>
      </c>
      <c r="E25" s="167">
        <v>-2.73088</v>
      </c>
      <c r="F25" s="167">
        <v>-8.914418</v>
      </c>
      <c r="G25" s="167">
        <v>-0.3535659</v>
      </c>
    </row>
    <row r="26" spans="1:7" ht="12.75">
      <c r="A26" s="166" t="s">
        <v>98</v>
      </c>
      <c r="B26" s="167">
        <v>0.9245709</v>
      </c>
      <c r="C26" s="167">
        <v>0.3440559</v>
      </c>
      <c r="D26" s="167">
        <v>0.5150359</v>
      </c>
      <c r="E26" s="167">
        <v>0.2047456</v>
      </c>
      <c r="F26" s="167">
        <v>0.8029785</v>
      </c>
      <c r="G26" s="167">
        <v>0.4972532</v>
      </c>
    </row>
    <row r="27" spans="1:7" ht="12.75">
      <c r="A27" s="166" t="s">
        <v>100</v>
      </c>
      <c r="B27" s="167">
        <v>0.03863327</v>
      </c>
      <c r="C27" s="167">
        <v>-0.007589568</v>
      </c>
      <c r="D27" s="167">
        <v>0.165797</v>
      </c>
      <c r="E27" s="167">
        <v>0.1044312</v>
      </c>
      <c r="F27" s="167">
        <v>0.3356489</v>
      </c>
      <c r="G27" s="167">
        <v>0.09043525</v>
      </c>
    </row>
    <row r="28" spans="1:7" ht="12.75">
      <c r="A28" s="166" t="s">
        <v>102</v>
      </c>
      <c r="B28" s="167">
        <v>-0.2838119</v>
      </c>
      <c r="C28" s="167">
        <v>-0.09832514</v>
      </c>
      <c r="D28" s="167">
        <v>-0.03343783</v>
      </c>
      <c r="E28" s="167">
        <v>-0.08570306</v>
      </c>
      <c r="F28" s="167">
        <v>-0.03136852</v>
      </c>
      <c r="G28" s="167">
        <v>0.09764679</v>
      </c>
    </row>
    <row r="29" spans="1:7" ht="12.75">
      <c r="A29" s="166" t="s">
        <v>104</v>
      </c>
      <c r="B29" s="167">
        <v>0.3074866</v>
      </c>
      <c r="C29" s="167">
        <v>0.1064286</v>
      </c>
      <c r="D29" s="167">
        <v>-0.03184108</v>
      </c>
      <c r="E29" s="167">
        <v>0.03297488</v>
      </c>
      <c r="F29" s="167">
        <v>0.3474654</v>
      </c>
      <c r="G29" s="167">
        <v>0.05426612</v>
      </c>
    </row>
    <row r="30" spans="1:7" ht="12.75">
      <c r="A30" s="166" t="s">
        <v>106</v>
      </c>
      <c r="B30" s="167">
        <v>0.0741309</v>
      </c>
      <c r="C30" s="167">
        <v>-0.007540008</v>
      </c>
      <c r="D30" s="167">
        <v>0.01075596</v>
      </c>
      <c r="E30" s="167">
        <v>0.06945222</v>
      </c>
      <c r="F30" s="167">
        <v>0.1258065</v>
      </c>
      <c r="G30" s="167">
        <v>0.04497422</v>
      </c>
    </row>
    <row r="31" spans="1:7" ht="12.75">
      <c r="A31" s="166" t="s">
        <v>108</v>
      </c>
      <c r="B31" s="167">
        <v>-0.05606305</v>
      </c>
      <c r="C31" s="167">
        <v>-0.02174782</v>
      </c>
      <c r="D31" s="167">
        <v>-0.01579273</v>
      </c>
      <c r="E31" s="167">
        <v>-0.02181417</v>
      </c>
      <c r="F31" s="167">
        <v>-0.006819317</v>
      </c>
      <c r="G31" s="167">
        <v>0.00261759</v>
      </c>
    </row>
    <row r="32" spans="1:7" ht="12.75">
      <c r="A32" s="166" t="s">
        <v>110</v>
      </c>
      <c r="B32" s="167">
        <v>-0.04356984</v>
      </c>
      <c r="C32" s="167">
        <v>-0.0501302</v>
      </c>
      <c r="D32" s="167">
        <v>0.04496301</v>
      </c>
      <c r="E32" s="167">
        <v>-0.05335178</v>
      </c>
      <c r="F32" s="167">
        <v>0.07597775</v>
      </c>
      <c r="G32" s="167">
        <v>0.01026757</v>
      </c>
    </row>
    <row r="33" spans="1:7" ht="12.75">
      <c r="A33" s="166" t="s">
        <v>112</v>
      </c>
      <c r="B33" s="167">
        <v>0.1813366</v>
      </c>
      <c r="C33" s="167">
        <v>0.1590027</v>
      </c>
      <c r="D33" s="167">
        <v>0.1641396</v>
      </c>
      <c r="E33" s="167">
        <v>0.1597152</v>
      </c>
      <c r="F33" s="167">
        <v>0.11402</v>
      </c>
      <c r="G33" s="167">
        <v>0.01296202</v>
      </c>
    </row>
    <row r="34" spans="1:7" ht="12.75">
      <c r="A34" s="166" t="s">
        <v>114</v>
      </c>
      <c r="B34" s="167">
        <v>-0.01312344</v>
      </c>
      <c r="C34" s="167">
        <v>0.0009920441</v>
      </c>
      <c r="D34" s="167">
        <v>0.005144951</v>
      </c>
      <c r="E34" s="167">
        <v>0.01050362</v>
      </c>
      <c r="F34" s="167">
        <v>-0.02766513</v>
      </c>
      <c r="G34" s="167">
        <v>-0.001604489</v>
      </c>
    </row>
    <row r="35" spans="1:7" ht="12.75">
      <c r="A35" s="166" t="s">
        <v>116</v>
      </c>
      <c r="B35" s="167">
        <v>-0.0003846543</v>
      </c>
      <c r="C35" s="167">
        <v>0.0005788097</v>
      </c>
      <c r="D35" s="167">
        <v>-0.003225064</v>
      </c>
      <c r="E35" s="167">
        <v>-0.003018556</v>
      </c>
      <c r="F35" s="167">
        <v>0.005116244</v>
      </c>
      <c r="G35" s="167">
        <v>-0.0009147984</v>
      </c>
    </row>
    <row r="36" spans="1:6" ht="12.75">
      <c r="A36" s="166" t="s">
        <v>145</v>
      </c>
      <c r="B36" s="167">
        <v>30.74951</v>
      </c>
      <c r="C36" s="167">
        <v>30.76172</v>
      </c>
      <c r="D36" s="167">
        <v>30.78613</v>
      </c>
      <c r="E36" s="167">
        <v>30.79834</v>
      </c>
      <c r="F36" s="167">
        <v>30.82581</v>
      </c>
    </row>
    <row r="37" spans="1:6" ht="12.75">
      <c r="A37" s="166" t="s">
        <v>146</v>
      </c>
      <c r="B37" s="167">
        <v>-0.2675374</v>
      </c>
      <c r="C37" s="167">
        <v>-0.2370199</v>
      </c>
      <c r="D37" s="167">
        <v>-0.2243042</v>
      </c>
      <c r="E37" s="167">
        <v>-0.2110799</v>
      </c>
      <c r="F37" s="167">
        <v>-0.1937866</v>
      </c>
    </row>
    <row r="38" spans="1:7" ht="12.75">
      <c r="A38" s="166" t="s">
        <v>147</v>
      </c>
      <c r="B38" s="167">
        <v>0.0002502575</v>
      </c>
      <c r="C38" s="167">
        <v>0.0004668692</v>
      </c>
      <c r="D38" s="167">
        <v>-0.0001286304</v>
      </c>
      <c r="E38" s="167">
        <v>0.0002548099</v>
      </c>
      <c r="F38" s="167">
        <v>-7.096473E-05</v>
      </c>
      <c r="G38" s="167">
        <v>7.925934E-05</v>
      </c>
    </row>
    <row r="39" spans="1:7" ht="12.75">
      <c r="A39" s="166" t="s">
        <v>148</v>
      </c>
      <c r="B39" s="167">
        <v>0.001819663</v>
      </c>
      <c r="C39" s="167">
        <v>0.001755949</v>
      </c>
      <c r="D39" s="167">
        <v>0.001668855</v>
      </c>
      <c r="E39" s="167">
        <v>0.001689015</v>
      </c>
      <c r="F39" s="167">
        <v>0.001892725</v>
      </c>
      <c r="G39" s="167">
        <v>0.0008740396</v>
      </c>
    </row>
    <row r="40" spans="2:5" ht="12.75">
      <c r="B40" s="166" t="s">
        <v>149</v>
      </c>
      <c r="C40" s="166">
        <v>0.003754</v>
      </c>
      <c r="D40" s="166" t="s">
        <v>150</v>
      </c>
      <c r="E40" s="166">
        <v>3.116601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0.000250257575300627</v>
      </c>
      <c r="C50" s="166">
        <f>-0.017/(C7*C7+C22*C22)*(C21*C22+C6*C7)</f>
        <v>0.00046686928048300023</v>
      </c>
      <c r="D50" s="166">
        <f>-0.017/(D7*D7+D22*D22)*(D21*D22+D6*D7)</f>
        <v>-0.00012863039829412757</v>
      </c>
      <c r="E50" s="166">
        <f>-0.017/(E7*E7+E22*E22)*(E21*E22+E6*E7)</f>
        <v>0.00025480985428340047</v>
      </c>
      <c r="F50" s="166">
        <f>-0.017/(F7*F7+F22*F22)*(F21*F22+F6*F7)</f>
        <v>-7.096475024322439E-05</v>
      </c>
      <c r="G50" s="166">
        <f>(B50*B$4+C50*C$4+D50*D$4+E50*E$4+F50*F$4)/SUM(B$4:F$4)</f>
        <v>0.00016955913052500314</v>
      </c>
    </row>
    <row r="51" spans="1:7" ht="12.75">
      <c r="A51" s="166" t="s">
        <v>153</v>
      </c>
      <c r="B51" s="166">
        <f>-0.017/(B7*B7+B22*B22)*(B21*B7-B6*B22)</f>
        <v>0.0018196631431356691</v>
      </c>
      <c r="C51" s="166">
        <f>-0.017/(C7*C7+C22*C22)*(C21*C7-C6*C22)</f>
        <v>0.0017559488500572542</v>
      </c>
      <c r="D51" s="166">
        <f>-0.017/(D7*D7+D22*D22)*(D21*D7-D6*D22)</f>
        <v>0.0016688546370639506</v>
      </c>
      <c r="E51" s="166">
        <f>-0.017/(E7*E7+E22*E22)*(E21*E7-E6*E22)</f>
        <v>0.001689015477215188</v>
      </c>
      <c r="F51" s="166">
        <f>-0.017/(F7*F7+F22*F22)*(F21*F7-F6*F22)</f>
        <v>0.0018927259049830202</v>
      </c>
      <c r="G51" s="166">
        <f>(B51*B$4+C51*C$4+D51*D$4+E51*E$4+F51*F$4)/SUM(B$4:F$4)</f>
        <v>0.0017463382866605367</v>
      </c>
    </row>
    <row r="58" ht="12.75">
      <c r="A58" s="166" t="s">
        <v>155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9999.90835822554</v>
      </c>
      <c r="C62" s="166">
        <f>C7+(2/0.017)*(C8*C50-C23*C51)</f>
        <v>9999.789842467377</v>
      </c>
      <c r="D62" s="166">
        <f>D7+(2/0.017)*(D8*D50-D23*D51)</f>
        <v>10000.09466630845</v>
      </c>
      <c r="E62" s="166">
        <f>E7+(2/0.017)*(E8*E50-E23*E51)</f>
        <v>9999.86057055286</v>
      </c>
      <c r="F62" s="166">
        <f>F7+(2/0.017)*(F8*F50-F23*F51)</f>
        <v>9997.96051791468</v>
      </c>
    </row>
    <row r="63" spans="1:6" ht="12.75">
      <c r="A63" s="166" t="s">
        <v>161</v>
      </c>
      <c r="B63" s="166">
        <f>B8+(3/0.017)*(B9*B50-B24*B51)</f>
        <v>-1.8080641126043773</v>
      </c>
      <c r="C63" s="166">
        <f>C8+(3/0.017)*(C9*C50-C24*C51)</f>
        <v>-0.5585438365140146</v>
      </c>
      <c r="D63" s="166">
        <f>D8+(3/0.017)*(D9*D50-D24*D51)</f>
        <v>1.4407298025611233</v>
      </c>
      <c r="E63" s="166">
        <f>E8+(3/0.017)*(E9*E50-E24*E51)</f>
        <v>1.211204820025552</v>
      </c>
      <c r="F63" s="166">
        <f>F8+(3/0.017)*(F9*F50-F24*F51)</f>
        <v>0.0011963458419028614</v>
      </c>
    </row>
    <row r="64" spans="1:6" ht="12.75">
      <c r="A64" s="166" t="s">
        <v>162</v>
      </c>
      <c r="B64" s="166">
        <f>B9+(4/0.017)*(B10*B50-B25*B51)</f>
        <v>0.35035936591767813</v>
      </c>
      <c r="C64" s="166">
        <f>C9+(4/0.017)*(C10*C50-C25*C51)</f>
        <v>0.3806089433943697</v>
      </c>
      <c r="D64" s="166">
        <f>D9+(4/0.017)*(D10*D50-D25*D51)</f>
        <v>0.4095289491211237</v>
      </c>
      <c r="E64" s="166">
        <f>E9+(4/0.017)*(E10*E50-E25*E51)</f>
        <v>0.6360094255923547</v>
      </c>
      <c r="F64" s="166">
        <f>F9+(4/0.017)*(F10*F50-F25*F51)</f>
        <v>0.51662445462653</v>
      </c>
    </row>
    <row r="65" spans="1:6" ht="12.75">
      <c r="A65" s="166" t="s">
        <v>163</v>
      </c>
      <c r="B65" s="166">
        <f>B10+(5/0.017)*(B11*B50-B26*B51)</f>
        <v>-0.14430786748003158</v>
      </c>
      <c r="C65" s="166">
        <f>C10+(5/0.017)*(C11*C50-C26*C51)</f>
        <v>0.023766980624760126</v>
      </c>
      <c r="D65" s="166">
        <f>D10+(5/0.017)*(D11*D50-D26*D51)</f>
        <v>-0.46509475132787687</v>
      </c>
      <c r="E65" s="166">
        <f>E10+(5/0.017)*(E11*E50-E26*E51)</f>
        <v>-0.6186666878229395</v>
      </c>
      <c r="F65" s="166">
        <f>F10+(5/0.017)*(F11*F50-F26*F51)</f>
        <v>-1.1562616904108687</v>
      </c>
    </row>
    <row r="66" spans="1:6" ht="12.75">
      <c r="A66" s="166" t="s">
        <v>164</v>
      </c>
      <c r="B66" s="166">
        <f>B11+(6/0.017)*(B12*B50-B27*B51)</f>
        <v>3.9184502433241817</v>
      </c>
      <c r="C66" s="166">
        <f>C11+(6/0.017)*(C12*C50-C27*C51)</f>
        <v>4.1622202838018865</v>
      </c>
      <c r="D66" s="166">
        <f>D11+(6/0.017)*(D12*D50-D27*D51)</f>
        <v>4.431625498222282</v>
      </c>
      <c r="E66" s="166">
        <f>E11+(6/0.017)*(E12*E50-E27*E51)</f>
        <v>4.596086890256638</v>
      </c>
      <c r="F66" s="166">
        <f>F11+(6/0.017)*(F12*F50-F27*F51)</f>
        <v>14.161609983920192</v>
      </c>
    </row>
    <row r="67" spans="1:6" ht="12.75">
      <c r="A67" s="166" t="s">
        <v>165</v>
      </c>
      <c r="B67" s="166">
        <f>B12+(7/0.017)*(B13*B50-B28*B51)</f>
        <v>0.1561237628789431</v>
      </c>
      <c r="C67" s="166">
        <f>C12+(7/0.017)*(C13*C50-C28*C51)</f>
        <v>0.00766479602258352</v>
      </c>
      <c r="D67" s="166">
        <f>D12+(7/0.017)*(D13*D50-D28*D51)</f>
        <v>-0.14103893100688647</v>
      </c>
      <c r="E67" s="166">
        <f>E12+(7/0.017)*(E13*E50-E28*E51)</f>
        <v>-0.12841024507716153</v>
      </c>
      <c r="F67" s="166">
        <f>F12+(7/0.017)*(F13*F50-F28*F51)</f>
        <v>0.1985394635679706</v>
      </c>
    </row>
    <row r="68" spans="1:6" ht="12.75">
      <c r="A68" s="166" t="s">
        <v>166</v>
      </c>
      <c r="B68" s="166">
        <f>B13+(8/0.017)*(B14*B50-B29*B51)</f>
        <v>-0.15901774888843911</v>
      </c>
      <c r="C68" s="166">
        <f>C13+(8/0.017)*(C14*C50-C29*C51)</f>
        <v>-0.009728840785816956</v>
      </c>
      <c r="D68" s="166">
        <f>D13+(8/0.017)*(D14*D50-D29*D51)</f>
        <v>0.06107057379195488</v>
      </c>
      <c r="E68" s="166">
        <f>E13+(8/0.017)*(E14*E50-E29*E51)</f>
        <v>0.03396974211006186</v>
      </c>
      <c r="F68" s="166">
        <f>F13+(8/0.017)*(F14*F50-F29*F51)</f>
        <v>-0.3133961812892333</v>
      </c>
    </row>
    <row r="69" spans="1:6" ht="12.75">
      <c r="A69" s="166" t="s">
        <v>167</v>
      </c>
      <c r="B69" s="166">
        <f>B14+(9/0.017)*(B15*B50-B30*B51)</f>
        <v>0.02407673921230155</v>
      </c>
      <c r="C69" s="166">
        <f>C14+(9/0.017)*(C15*C50-C30*C51)</f>
        <v>0.01719637248145675</v>
      </c>
      <c r="D69" s="166">
        <f>D14+(9/0.017)*(D15*D50-D30*D51)</f>
        <v>0.0020130170594758103</v>
      </c>
      <c r="E69" s="166">
        <f>E14+(9/0.017)*(E15*E50-E30*E51)</f>
        <v>-0.02043027655115357</v>
      </c>
      <c r="F69" s="166">
        <f>F14+(9/0.017)*(F15*F50-F30*F51)</f>
        <v>-0.030645938458355393</v>
      </c>
    </row>
    <row r="70" spans="1:6" ht="12.75">
      <c r="A70" s="166" t="s">
        <v>168</v>
      </c>
      <c r="B70" s="166">
        <f>B15+(10/0.017)*(B16*B50-B31*B51)</f>
        <v>-0.2871130926417609</v>
      </c>
      <c r="C70" s="166">
        <f>C15+(10/0.017)*(C16*C50-C31*C51)</f>
        <v>-0.09358728307400144</v>
      </c>
      <c r="D70" s="166">
        <f>D15+(10/0.017)*(D16*D50-D31*D51)</f>
        <v>-0.025773538427971105</v>
      </c>
      <c r="E70" s="166">
        <f>E15+(10/0.017)*(E16*E50-E31*E51)</f>
        <v>-0.030866535801193303</v>
      </c>
      <c r="F70" s="166">
        <f>F15+(10/0.017)*(F16*F50-F31*F51)</f>
        <v>-0.33850138965560206</v>
      </c>
    </row>
    <row r="71" spans="1:6" ht="12.75">
      <c r="A71" s="166" t="s">
        <v>169</v>
      </c>
      <c r="B71" s="166">
        <f>B16+(11/0.017)*(B17*B50-B32*B51)</f>
        <v>0.045457831934739054</v>
      </c>
      <c r="C71" s="166">
        <f>C16+(11/0.017)*(C17*C50-C32*C51)</f>
        <v>0.08162867125721994</v>
      </c>
      <c r="D71" s="166">
        <f>D16+(11/0.017)*(D17*D50-D32*D51)</f>
        <v>-0.03408774910508589</v>
      </c>
      <c r="E71" s="166">
        <f>E16+(11/0.017)*(E17*E50-E32*E51)</f>
        <v>0.03918102205028928</v>
      </c>
      <c r="F71" s="166">
        <f>F16+(11/0.017)*(F17*F50-F32*F51)</f>
        <v>-0.04114007866902425</v>
      </c>
    </row>
    <row r="72" spans="1:6" ht="12.75">
      <c r="A72" s="166" t="s">
        <v>170</v>
      </c>
      <c r="B72" s="166">
        <f>B17+(12/0.017)*(B18*B50-B33*B51)</f>
        <v>-0.07901998526665949</v>
      </c>
      <c r="C72" s="166">
        <f>C17+(12/0.017)*(C18*C50-C33*C51)</f>
        <v>-0.06527012541596146</v>
      </c>
      <c r="D72" s="166">
        <f>D17+(12/0.017)*(D18*D50-D33*D51)</f>
        <v>-0.06810524368385881</v>
      </c>
      <c r="E72" s="166">
        <f>E17+(12/0.017)*(E18*E50-E33*E51)</f>
        <v>-0.06732071537787353</v>
      </c>
      <c r="F72" s="166">
        <f>F17+(12/0.017)*(F18*F50-F33*F51)</f>
        <v>-0.0685490868735143</v>
      </c>
    </row>
    <row r="73" spans="1:6" ht="12.75">
      <c r="A73" s="166" t="s">
        <v>171</v>
      </c>
      <c r="B73" s="166">
        <f>B18+(13/0.017)*(B19*B50-B34*B51)</f>
        <v>-0.006260545048757216</v>
      </c>
      <c r="C73" s="166">
        <f>C18+(13/0.017)*(C19*C50-C34*C51)</f>
        <v>-0.011459482904232682</v>
      </c>
      <c r="D73" s="166">
        <f>D18+(13/0.017)*(D19*D50-D34*D51)</f>
        <v>0.0010610832678102505</v>
      </c>
      <c r="E73" s="166">
        <f>E18+(13/0.017)*(E19*E50-E34*E51)</f>
        <v>-0.006997741981951286</v>
      </c>
      <c r="F73" s="166">
        <f>F18+(13/0.017)*(F19*F50-F34*F51)</f>
        <v>-0.01895547249457552</v>
      </c>
    </row>
    <row r="74" spans="1:6" ht="12.75">
      <c r="A74" s="166" t="s">
        <v>172</v>
      </c>
      <c r="B74" s="166">
        <f>B19+(14/0.017)*(B20*B50-B35*B51)</f>
        <v>-0.18972305656597066</v>
      </c>
      <c r="C74" s="166">
        <f>C19+(14/0.017)*(C20*C50-C35*C51)</f>
        <v>-0.1757679231835433</v>
      </c>
      <c r="D74" s="166">
        <f>D19+(14/0.017)*(D20*D50-D35*D51)</f>
        <v>-0.18199112142582308</v>
      </c>
      <c r="E74" s="166">
        <f>E19+(14/0.017)*(E20*E50-E35*E51)</f>
        <v>-0.17674749987068872</v>
      </c>
      <c r="F74" s="166">
        <f>F19+(14/0.017)*(F20*F50-F35*F51)</f>
        <v>-0.1382235133097982</v>
      </c>
    </row>
    <row r="75" spans="1:6" ht="12.75">
      <c r="A75" s="166" t="s">
        <v>173</v>
      </c>
      <c r="B75" s="167">
        <f>B20</f>
        <v>0.002134561</v>
      </c>
      <c r="C75" s="167">
        <f>C20</f>
        <v>-0.001561641</v>
      </c>
      <c r="D75" s="167">
        <f>D20</f>
        <v>0.001917202</v>
      </c>
      <c r="E75" s="167">
        <f>E20</f>
        <v>0.0009103351</v>
      </c>
      <c r="F75" s="167">
        <f>F20</f>
        <v>0.002257721</v>
      </c>
    </row>
    <row r="78" ht="12.75">
      <c r="A78" s="166" t="s">
        <v>155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113.66629472346163</v>
      </c>
      <c r="C82" s="166">
        <f>C22+(2/0.017)*(C8*C51+C23*C50)</f>
        <v>40.2869186641403</v>
      </c>
      <c r="D82" s="166">
        <f>D22+(2/0.017)*(D8*D51+D23*D50)</f>
        <v>-7.696193383648501</v>
      </c>
      <c r="E82" s="166">
        <f>E22+(2/0.017)*(E8*E51+E23*E50)</f>
        <v>-41.72320214685212</v>
      </c>
      <c r="F82" s="166">
        <f>F22+(2/0.017)*(F8*F51+F23*F50)</f>
        <v>-109.0262593814182</v>
      </c>
    </row>
    <row r="83" spans="1:6" ht="12.75">
      <c r="A83" s="166" t="s">
        <v>176</v>
      </c>
      <c r="B83" s="166">
        <f>B23+(3/0.017)*(B9*B51+B24*B50)</f>
        <v>-0.057854565253406015</v>
      </c>
      <c r="C83" s="166">
        <f>C23+(3/0.017)*(C9*C51+C24*C50)</f>
        <v>0.2752778241439284</v>
      </c>
      <c r="D83" s="166">
        <f>D23+(3/0.017)*(D9*D51+D24*D50)</f>
        <v>-0.6825434363582269</v>
      </c>
      <c r="E83" s="166">
        <f>E23+(3/0.017)*(E9*E51+E24*E50)</f>
        <v>0.6473907992485348</v>
      </c>
      <c r="F83" s="166">
        <f>F23+(3/0.017)*(F9*F51+F24*F50)</f>
        <v>8.000052158835786</v>
      </c>
    </row>
    <row r="84" spans="1:6" ht="12.75">
      <c r="A84" s="166" t="s">
        <v>177</v>
      </c>
      <c r="B84" s="166">
        <f>B24+(4/0.017)*(B10*B51+B25*B50)</f>
        <v>-1.1284734354656767</v>
      </c>
      <c r="C84" s="166">
        <f>C24+(4/0.017)*(C10*C51+C25*C50)</f>
        <v>-3.0377021516983027</v>
      </c>
      <c r="D84" s="166">
        <f>D24+(4/0.017)*(D10*D51+D25*D50)</f>
        <v>-3.132233058485128</v>
      </c>
      <c r="E84" s="166">
        <f>E24+(4/0.017)*(E10*E51+E25*E50)</f>
        <v>-1.8571922452545886</v>
      </c>
      <c r="F84" s="166">
        <f>F24+(4/0.017)*(F10*F51+F25*F50)</f>
        <v>0.16013467814578222</v>
      </c>
    </row>
    <row r="85" spans="1:6" ht="12.75">
      <c r="A85" s="166" t="s">
        <v>178</v>
      </c>
      <c r="B85" s="166">
        <f>B25+(5/0.017)*(B11*B51+B26*B50)</f>
        <v>0.29548378412260656</v>
      </c>
      <c r="C85" s="166">
        <f>C25+(5/0.017)*(C11*C51+C26*C50)</f>
        <v>-0.1741485570556791</v>
      </c>
      <c r="D85" s="166">
        <f>D25+(5/0.017)*(D11*D51+D26*D50)</f>
        <v>-0.8842532076343068</v>
      </c>
      <c r="E85" s="166">
        <f>E25+(5/0.017)*(E11*E51+E26*E50)</f>
        <v>-0.392760214326092</v>
      </c>
      <c r="F85" s="166">
        <f>F25+(5/0.017)*(F11*F51+F26*F50)</f>
        <v>-0.9203879347281081</v>
      </c>
    </row>
    <row r="86" spans="1:6" ht="12.75">
      <c r="A86" s="166" t="s">
        <v>179</v>
      </c>
      <c r="B86" s="166">
        <f>B26+(6/0.017)*(B12*B51+B27*B50)</f>
        <v>0.8858748077217695</v>
      </c>
      <c r="C86" s="166">
        <f>C26+(6/0.017)*(C12*C51+C27*C50)</f>
        <v>0.2951770925712493</v>
      </c>
      <c r="D86" s="166">
        <f>D26+(6/0.017)*(D12*D51+D27*D50)</f>
        <v>0.41204366838912254</v>
      </c>
      <c r="E86" s="166">
        <f>E26+(6/0.017)*(E12*E51+E27*E50)</f>
        <v>0.0986533905751461</v>
      </c>
      <c r="F86" s="166">
        <f>F26+(6/0.017)*(F12*F51+F27*F50)</f>
        <v>0.9108463596359943</v>
      </c>
    </row>
    <row r="87" spans="1:6" ht="12.75">
      <c r="A87" s="166" t="s">
        <v>180</v>
      </c>
      <c r="B87" s="166">
        <f>B27+(7/0.017)*(B13*B51+B28*B50)</f>
        <v>0.07509448405967345</v>
      </c>
      <c r="C87" s="166">
        <f>C27+(7/0.017)*(C13*C51+C28*C50)</f>
        <v>0.023994258723822257</v>
      </c>
      <c r="D87" s="166">
        <f>D27+(7/0.017)*(D13*D51+D28*D50)</f>
        <v>0.19271803197111978</v>
      </c>
      <c r="E87" s="166">
        <f>E27+(7/0.017)*(E13*E51+E28*E50)</f>
        <v>0.13329033900278617</v>
      </c>
      <c r="F87" s="166">
        <f>F27+(7/0.017)*(F13*F51+F28*F50)</f>
        <v>0.33566494994682916</v>
      </c>
    </row>
    <row r="88" spans="1:6" ht="12.75">
      <c r="A88" s="166" t="s">
        <v>181</v>
      </c>
      <c r="B88" s="166">
        <f>B28+(8/0.017)*(B14*B51+B29*B50)</f>
        <v>-0.12695606845554808</v>
      </c>
      <c r="C88" s="166">
        <f>C28+(8/0.017)*(C14*C51+C29*C50)</f>
        <v>-0.04338102888161867</v>
      </c>
      <c r="D88" s="166">
        <f>D28+(8/0.017)*(D14*D51+D29*D50)</f>
        <v>-0.024573512943029674</v>
      </c>
      <c r="E88" s="166">
        <f>E28+(8/0.017)*(E14*E51+E29*E50)</f>
        <v>-0.04360637397437592</v>
      </c>
      <c r="F88" s="166">
        <f>F28+(8/0.017)*(F14*F51+F29*F50)</f>
        <v>0.030510761657340124</v>
      </c>
    </row>
    <row r="89" spans="1:6" ht="12.75">
      <c r="A89" s="166" t="s">
        <v>182</v>
      </c>
      <c r="B89" s="166">
        <f>B29+(9/0.017)*(B15*B51+B30*B50)</f>
        <v>-0.01277841095566784</v>
      </c>
      <c r="C89" s="166">
        <f>C29+(9/0.017)*(C15*C51+C30*C50)</f>
        <v>-0.0007752011498940725</v>
      </c>
      <c r="D89" s="166">
        <f>D29+(9/0.017)*(D15*D51+D30*D50)</f>
        <v>-0.06738363231539973</v>
      </c>
      <c r="E89" s="166">
        <f>E29+(9/0.017)*(E15*E51+E30*E50)</f>
        <v>0.000481064727420176</v>
      </c>
      <c r="F89" s="166">
        <f>F29+(9/0.017)*(F15*F51+F30*F50)</f>
        <v>-0.0017320229796211062</v>
      </c>
    </row>
    <row r="90" spans="1:6" ht="12.75">
      <c r="A90" s="166" t="s">
        <v>183</v>
      </c>
      <c r="B90" s="166">
        <f>B30+(10/0.017)*(B16*B51+B31*B50)</f>
        <v>0.033315213680390206</v>
      </c>
      <c r="C90" s="166">
        <f>C30+(10/0.017)*(C16*C51+C31*C50)</f>
        <v>-0.02380129734166324</v>
      </c>
      <c r="D90" s="166">
        <f>D30+(10/0.017)*(D16*D51+D31*D50)</f>
        <v>0.03630606274242611</v>
      </c>
      <c r="E90" s="166">
        <f>E30+(10/0.017)*(E16*E51+E31*E50)</f>
        <v>0.0282478131228108</v>
      </c>
      <c r="F90" s="166">
        <f>F30+(10/0.017)*(F16*F51+F31*F50)</f>
        <v>0.1880007155405261</v>
      </c>
    </row>
    <row r="91" spans="1:6" ht="12.75">
      <c r="A91" s="166" t="s">
        <v>184</v>
      </c>
      <c r="B91" s="166">
        <f>B31+(11/0.017)*(B17*B51+B32*B50)</f>
        <v>0.1155973476141148</v>
      </c>
      <c r="C91" s="166">
        <f>C31+(11/0.017)*(C17*C51+C32*C50)</f>
        <v>0.09336133694057007</v>
      </c>
      <c r="D91" s="166">
        <f>D31+(11/0.017)*(D17*D51+D32*D50)</f>
        <v>0.11467157357103394</v>
      </c>
      <c r="E91" s="166">
        <f>E31+(11/0.017)*(E17*E51+E32*E50)</f>
        <v>0.09569404707176424</v>
      </c>
      <c r="F91" s="166">
        <f>F31+(11/0.017)*(F17*F51+F32*F50)</f>
        <v>0.08825292144838379</v>
      </c>
    </row>
    <row r="92" spans="1:6" ht="12.75">
      <c r="A92" s="166" t="s">
        <v>185</v>
      </c>
      <c r="B92" s="166">
        <f>B32+(12/0.017)*(B18*B51+B33*B50)</f>
        <v>0.0038523410108849757</v>
      </c>
      <c r="C92" s="166">
        <f>C32+(12/0.017)*(C18*C51+C33*C50)</f>
        <v>0.06686199172274904</v>
      </c>
      <c r="D92" s="166">
        <f>D32+(12/0.017)*(D18*D51+D33*D50)</f>
        <v>0.017465928180509502</v>
      </c>
      <c r="E92" s="166">
        <f>E32+(12/0.017)*(E18*E51+E33*E50)</f>
        <v>0.02528789350303698</v>
      </c>
      <c r="F92" s="166">
        <f>F32+(12/0.017)*(F18*F51+F33*F50)</f>
        <v>-0.017990691864482655</v>
      </c>
    </row>
    <row r="93" spans="1:6" ht="12.75">
      <c r="A93" s="166" t="s">
        <v>186</v>
      </c>
      <c r="B93" s="166">
        <f>B33+(13/0.017)*(B19*B51+B34*B50)</f>
        <v>-0.08659010901009376</v>
      </c>
      <c r="C93" s="166">
        <f>C33+(13/0.017)*(C19*C51+C34*C50)</f>
        <v>-0.0747314011274419</v>
      </c>
      <c r="D93" s="166">
        <f>D33+(13/0.017)*(D19*D51+D34*D50)</f>
        <v>-0.07401778099876982</v>
      </c>
      <c r="E93" s="166">
        <f>E33+(13/0.017)*(E19*E51+E34*E50)</f>
        <v>-0.07219494173123947</v>
      </c>
      <c r="F93" s="166">
        <f>F33+(13/0.017)*(F19*F51+F34*F50)</f>
        <v>-0.0728069680531634</v>
      </c>
    </row>
    <row r="94" spans="1:6" ht="12.75">
      <c r="A94" s="166" t="s">
        <v>187</v>
      </c>
      <c r="B94" s="166">
        <f>B34+(14/0.017)*(B20*B51+B35*B50)</f>
        <v>-0.010003977025624118</v>
      </c>
      <c r="C94" s="166">
        <f>C34+(14/0.017)*(C20*C51+C35*C50)</f>
        <v>-0.001043665635274912</v>
      </c>
      <c r="D94" s="166">
        <f>D34+(14/0.017)*(D20*D51+D35*D50)</f>
        <v>0.008121493235661921</v>
      </c>
      <c r="E94" s="166">
        <f>E34+(14/0.017)*(E20*E51+E35*E50)</f>
        <v>0.011136430095520195</v>
      </c>
      <c r="F94" s="166">
        <f>F34+(14/0.017)*(F20*F51+F35*F50)</f>
        <v>-0.0244449866685923</v>
      </c>
    </row>
    <row r="95" spans="1:6" ht="12.75">
      <c r="A95" s="166" t="s">
        <v>188</v>
      </c>
      <c r="B95" s="167">
        <f>B35</f>
        <v>-0.0003846543</v>
      </c>
      <c r="C95" s="167">
        <f>C35</f>
        <v>0.0005788097</v>
      </c>
      <c r="D95" s="167">
        <f>D35</f>
        <v>-0.003225064</v>
      </c>
      <c r="E95" s="167">
        <f>E35</f>
        <v>-0.003018556</v>
      </c>
      <c r="F95" s="167">
        <f>F35</f>
        <v>0.005116244</v>
      </c>
    </row>
    <row r="98" ht="12.75">
      <c r="A98" s="166" t="s">
        <v>156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161</v>
      </c>
      <c r="B103" s="166">
        <f>B63*10000/B62</f>
        <v>-1.8080806821765854</v>
      </c>
      <c r="C103" s="166">
        <f>C63*10000/C62</f>
        <v>-0.5585555749801616</v>
      </c>
      <c r="D103" s="166">
        <f>D63*10000/D62</f>
        <v>1.440716163833048</v>
      </c>
      <c r="E103" s="166">
        <f>E63*10000/E62</f>
        <v>1.2112217080228633</v>
      </c>
      <c r="F103" s="166">
        <f>F63*10000/F62</f>
        <v>0.0011965898842661049</v>
      </c>
      <c r="G103" s="166">
        <f>AVERAGE(C103:E103)</f>
        <v>0.6977940989585832</v>
      </c>
      <c r="H103" s="166">
        <f>STDEV(C103:E103)</f>
        <v>1.0940648078228254</v>
      </c>
      <c r="I103" s="166">
        <f>(B103*B4+C103*C4+D103*D4+E103*E4+F103*F4)/SUM(B4:F4)</f>
        <v>0.24164892566755874</v>
      </c>
      <c r="K103" s="166">
        <f>(LN(H103)+LN(H123))/2-LN(K114*K115^3)</f>
        <v>-4.0219467580745665</v>
      </c>
    </row>
    <row r="104" spans="1:11" ht="12.75">
      <c r="A104" s="166" t="s">
        <v>162</v>
      </c>
      <c r="B104" s="166">
        <f>B64*10000/B62</f>
        <v>0.3503625767025014</v>
      </c>
      <c r="C104" s="166">
        <f>C64*10000/C62</f>
        <v>0.3806169423461175</v>
      </c>
      <c r="D104" s="166">
        <f>D64*10000/D62</f>
        <v>0.4095250722984424</v>
      </c>
      <c r="E104" s="166">
        <f>E64*10000/E62</f>
        <v>0.6360182935602589</v>
      </c>
      <c r="F104" s="166">
        <f>F64*10000/F62</f>
        <v>0.5167298407518464</v>
      </c>
      <c r="G104" s="166">
        <f>AVERAGE(C104:E104)</f>
        <v>0.4753867694016063</v>
      </c>
      <c r="H104" s="166">
        <f>STDEV(C104:E104)</f>
        <v>0.13985987598122565</v>
      </c>
      <c r="I104" s="166">
        <f>(B104*B4+C104*C4+D104*D4+E104*E4+F104*F4)/SUM(B4:F4)</f>
        <v>0.4627669422866176</v>
      </c>
      <c r="K104" s="166">
        <f>(LN(H104)+LN(H124))/2-LN(K114*K115^4)</f>
        <v>-4.441742650044391</v>
      </c>
    </row>
    <row r="105" spans="1:11" ht="12.75">
      <c r="A105" s="166" t="s">
        <v>163</v>
      </c>
      <c r="B105" s="166">
        <f>B65*10000/B62</f>
        <v>-0.1443091899550554</v>
      </c>
      <c r="C105" s="166">
        <f>C65*10000/C62</f>
        <v>0.023767480116257917</v>
      </c>
      <c r="D105" s="166">
        <f>D65*10000/D62</f>
        <v>-0.4650903484892381</v>
      </c>
      <c r="E105" s="166">
        <f>E65*10000/E62</f>
        <v>-0.6186753139786382</v>
      </c>
      <c r="F105" s="166">
        <f>F65*10000/F62</f>
        <v>-1.1564975560155897</v>
      </c>
      <c r="G105" s="166">
        <f>AVERAGE(C105:E105)</f>
        <v>-0.3533327274505395</v>
      </c>
      <c r="H105" s="166">
        <f>STDEV(C105:E105)</f>
        <v>0.3354854845090712</v>
      </c>
      <c r="I105" s="166">
        <f>(B105*B4+C105*C4+D105*D4+E105*E4+F105*F4)/SUM(B4:F4)</f>
        <v>-0.429951339597577</v>
      </c>
      <c r="K105" s="166">
        <f>(LN(H105)+LN(H125))/2-LN(K114*K115^5)</f>
        <v>-3.7477547337640518</v>
      </c>
    </row>
    <row r="106" spans="1:11" ht="12.75">
      <c r="A106" s="166" t="s">
        <v>164</v>
      </c>
      <c r="B106" s="166">
        <f>B66*10000/B62</f>
        <v>3.9184861530266075</v>
      </c>
      <c r="C106" s="166">
        <f>C66*10000/C62</f>
        <v>4.162307757834727</v>
      </c>
      <c r="D106" s="166">
        <f>D66*10000/D62</f>
        <v>4.4315835460567925</v>
      </c>
      <c r="E106" s="166">
        <f>E66*10000/E62</f>
        <v>4.596150974135567</v>
      </c>
      <c r="F106" s="166">
        <f>F66*10000/F62</f>
        <v>14.164498808076853</v>
      </c>
      <c r="G106" s="166">
        <f>AVERAGE(C106:E106)</f>
        <v>4.396680759342362</v>
      </c>
      <c r="H106" s="166">
        <f>STDEV(C106:E106)</f>
        <v>0.2190174364585793</v>
      </c>
      <c r="I106" s="166">
        <f>(B106*B4+C106*C4+D106*D4+E106*E4+F106*F4)/SUM(B4:F4)</f>
        <v>5.6278376173518865</v>
      </c>
      <c r="K106" s="166">
        <f>(LN(H106)+LN(H126))/2-LN(K114*K115^6)</f>
        <v>-3.7853199929720422</v>
      </c>
    </row>
    <row r="107" spans="1:11" ht="12.75">
      <c r="A107" s="166" t="s">
        <v>165</v>
      </c>
      <c r="B107" s="166">
        <f>B67*10000/B62</f>
        <v>0.15612519363792138</v>
      </c>
      <c r="C107" s="166">
        <f>C67*10000/C62</f>
        <v>0.007664957107430855</v>
      </c>
      <c r="D107" s="166">
        <f>D67*10000/D62</f>
        <v>-0.14103759585603123</v>
      </c>
      <c r="E107" s="166">
        <f>E67*10000/E62</f>
        <v>-0.12841203551907338</v>
      </c>
      <c r="F107" s="166">
        <f>F67*10000/F62</f>
        <v>0.1985799635957963</v>
      </c>
      <c r="G107" s="166">
        <f>AVERAGE(C107:E107)</f>
        <v>-0.08726155808922459</v>
      </c>
      <c r="H107" s="166">
        <f>STDEV(C107:E107)</f>
        <v>0.08245079538119195</v>
      </c>
      <c r="I107" s="166">
        <f>(B107*B4+C107*C4+D107*D4+E107*E4+F107*F4)/SUM(B4:F4)</f>
        <v>-0.01390979853894513</v>
      </c>
      <c r="K107" s="166">
        <f>(LN(H107)+LN(H127))/2-LN(K114*K115^7)</f>
        <v>-3.9902251251017207</v>
      </c>
    </row>
    <row r="108" spans="1:9" ht="12.75">
      <c r="A108" s="166" t="s">
        <v>166</v>
      </c>
      <c r="B108" s="166">
        <f>B68*10000/B62</f>
        <v>-0.15901920616866175</v>
      </c>
      <c r="C108" s="166">
        <f>C68*10000/C62</f>
        <v>-0.009729045249031388</v>
      </c>
      <c r="D108" s="166">
        <f>D68*10000/D62</f>
        <v>0.06106999566485021</v>
      </c>
      <c r="E108" s="166">
        <f>E68*10000/E62</f>
        <v>0.03397021575490205</v>
      </c>
      <c r="F108" s="166">
        <f>F68*10000/F62</f>
        <v>-0.31346011091730114</v>
      </c>
      <c r="G108" s="166">
        <f>AVERAGE(C108:E108)</f>
        <v>0.02843705539024029</v>
      </c>
      <c r="H108" s="166">
        <f>STDEV(C108:E108)</f>
        <v>0.03572237318960161</v>
      </c>
      <c r="I108" s="166">
        <f>(B108*B4+C108*C4+D108*D4+E108*E4+F108*F4)/SUM(B4:F4)</f>
        <v>-0.0442667337768927</v>
      </c>
    </row>
    <row r="109" spans="1:9" ht="12.75">
      <c r="A109" s="166" t="s">
        <v>167</v>
      </c>
      <c r="B109" s="166">
        <f>B69*10000/B62</f>
        <v>0.024076959857834045</v>
      </c>
      <c r="C109" s="166">
        <f>C69*10000/C62</f>
        <v>0.01719673388377297</v>
      </c>
      <c r="D109" s="166">
        <f>D69*10000/D62</f>
        <v>0.0020129980031668225</v>
      </c>
      <c r="E109" s="166">
        <f>E69*10000/E62</f>
        <v>-0.020430561413341833</v>
      </c>
      <c r="F109" s="166">
        <f>F69*10000/F62</f>
        <v>-0.030652189917576664</v>
      </c>
      <c r="G109" s="166">
        <f>AVERAGE(C109:E109)</f>
        <v>-0.00040694317546734654</v>
      </c>
      <c r="H109" s="166">
        <f>STDEV(C109:E109)</f>
        <v>0.018930013849046873</v>
      </c>
      <c r="I109" s="166">
        <f>(B109*B4+C109*C4+D109*D4+E109*E4+F109*F4)/SUM(B4:F4)</f>
        <v>-0.0008838155320834961</v>
      </c>
    </row>
    <row r="110" spans="1:11" ht="12.75">
      <c r="A110" s="166" t="s">
        <v>168</v>
      </c>
      <c r="B110" s="166">
        <f>B70*10000/B62</f>
        <v>-0.2871157238212015</v>
      </c>
      <c r="C110" s="166">
        <f>C70*10000/C62</f>
        <v>-0.09358924992258581</v>
      </c>
      <c r="D110" s="166">
        <f>D70*10000/D62</f>
        <v>-0.025773294441706965</v>
      </c>
      <c r="E110" s="166">
        <f>E70*10000/E62</f>
        <v>-0.030866966177596208</v>
      </c>
      <c r="F110" s="166">
        <f>F70*10000/F62</f>
        <v>-0.33857044049040197</v>
      </c>
      <c r="G110" s="166">
        <f>AVERAGE(C110:E110)</f>
        <v>-0.050076503513963</v>
      </c>
      <c r="H110" s="166">
        <f>STDEV(C110:E110)</f>
        <v>0.037769110367522396</v>
      </c>
      <c r="I110" s="166">
        <f>(B110*B4+C110*C4+D110*D4+E110*E4+F110*F4)/SUM(B4:F4)</f>
        <v>-0.12285912701679054</v>
      </c>
      <c r="K110" s="166">
        <f>EXP(AVERAGE(K103:K107))</f>
        <v>0.01836336095500757</v>
      </c>
    </row>
    <row r="111" spans="1:9" ht="12.75">
      <c r="A111" s="166" t="s">
        <v>169</v>
      </c>
      <c r="B111" s="166">
        <f>B71*10000/B62</f>
        <v>0.04545824852219489</v>
      </c>
      <c r="C111" s="166">
        <f>C71*10000/C62</f>
        <v>0.08163038678128724</v>
      </c>
      <c r="D111" s="166">
        <f>D71*10000/D62</f>
        <v>-0.03408742641200359</v>
      </c>
      <c r="E111" s="166">
        <f>E71*10000/E62</f>
        <v>0.03918156835673069</v>
      </c>
      <c r="F111" s="166">
        <f>F71*10000/F62</f>
        <v>-0.04114847082593303</v>
      </c>
      <c r="G111" s="166">
        <f>AVERAGE(C111:E111)</f>
        <v>0.02890817624200478</v>
      </c>
      <c r="H111" s="166">
        <f>STDEV(C111:E111)</f>
        <v>0.05853896148477972</v>
      </c>
      <c r="I111" s="166">
        <f>(B111*B4+C111*C4+D111*D4+E111*E4+F111*F4)/SUM(B4:F4)</f>
        <v>0.02198456105869306</v>
      </c>
    </row>
    <row r="112" spans="1:9" ht="12.75">
      <c r="A112" s="166" t="s">
        <v>170</v>
      </c>
      <c r="B112" s="166">
        <f>B72*10000/B62</f>
        <v>-0.07902070942646258</v>
      </c>
      <c r="C112" s="166">
        <f>C72*10000/C62</f>
        <v>-0.06527149714564053</v>
      </c>
      <c r="D112" s="166">
        <f>D72*10000/D62</f>
        <v>-0.06810459896276158</v>
      </c>
      <c r="E112" s="166">
        <f>E72*10000/E62</f>
        <v>-0.06732165403997385</v>
      </c>
      <c r="F112" s="166">
        <f>F72*10000/F62</f>
        <v>-0.06856307018885076</v>
      </c>
      <c r="G112" s="166">
        <f>AVERAGE(C112:E112)</f>
        <v>-0.06689925004945867</v>
      </c>
      <c r="H112" s="166">
        <f>STDEV(C112:E112)</f>
        <v>0.001463022667269352</v>
      </c>
      <c r="I112" s="166">
        <f>(B112*B4+C112*C4+D112*D4+E112*E4+F112*F4)/SUM(B4:F4)</f>
        <v>-0.06887830711300912</v>
      </c>
    </row>
    <row r="113" spans="1:9" ht="12.75">
      <c r="A113" s="166" t="s">
        <v>171</v>
      </c>
      <c r="B113" s="166">
        <f>B73*10000/B62</f>
        <v>-0.00626060242202873</v>
      </c>
      <c r="C113" s="166">
        <f>C73*10000/C62</f>
        <v>-0.011459723738959234</v>
      </c>
      <c r="D113" s="166">
        <f>D73*10000/D62</f>
        <v>0.0010610732230217487</v>
      </c>
      <c r="E113" s="166">
        <f>E73*10000/E62</f>
        <v>-0.0069978395524412824</v>
      </c>
      <c r="F113" s="166">
        <f>F73*10000/F62</f>
        <v>-0.01895933921784395</v>
      </c>
      <c r="G113" s="166">
        <f>AVERAGE(C113:E113)</f>
        <v>-0.0057988300227929225</v>
      </c>
      <c r="H113" s="166">
        <f>STDEV(C113:E113)</f>
        <v>0.006345928382035896</v>
      </c>
      <c r="I113" s="166">
        <f>(B113*B4+C113*C4+D113*D4+E113*E4+F113*F4)/SUM(B4:F4)</f>
        <v>-0.00761843045025691</v>
      </c>
    </row>
    <row r="114" spans="1:11" ht="12.75">
      <c r="A114" s="166" t="s">
        <v>172</v>
      </c>
      <c r="B114" s="166">
        <f>B74*10000/B62</f>
        <v>-0.18972479523766012</v>
      </c>
      <c r="C114" s="166">
        <f>C74*10000/C62</f>
        <v>-0.17577161715648</v>
      </c>
      <c r="D114" s="166">
        <f>D74*10000/D62</f>
        <v>-0.18198939859936883</v>
      </c>
      <c r="E114" s="166">
        <f>E74*10000/E62</f>
        <v>-0.17674996428566894</v>
      </c>
      <c r="F114" s="166">
        <f>F74*10000/F62</f>
        <v>-0.13825170949827686</v>
      </c>
      <c r="G114" s="166">
        <f>AVERAGE(C114:E114)</f>
        <v>-0.17817032668050592</v>
      </c>
      <c r="H114" s="166">
        <f>STDEV(C114:E114)</f>
        <v>0.0033433925161990763</v>
      </c>
      <c r="I114" s="166">
        <f>(B114*B4+C114*C4+D114*D4+E114*E4+F114*F4)/SUM(B4:F4)</f>
        <v>-0.17453067417517734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0.00213458056167504</v>
      </c>
      <c r="C115" s="166">
        <f>C75*10000/C62</f>
        <v>-0.001561673819751672</v>
      </c>
      <c r="D115" s="166">
        <f>D75*10000/D62</f>
        <v>0.0019171838507282231</v>
      </c>
      <c r="E115" s="166">
        <f>E75*10000/E62</f>
        <v>0.0009103477929289473</v>
      </c>
      <c r="F115" s="166">
        <f>F75*10000/F62</f>
        <v>0.002258181552082087</v>
      </c>
      <c r="G115" s="166">
        <f>AVERAGE(C115:E115)</f>
        <v>0.0004219526079684995</v>
      </c>
      <c r="H115" s="166">
        <f>STDEV(C115:E115)</f>
        <v>0.0017901145397386203</v>
      </c>
      <c r="I115" s="166">
        <f>(B115*B4+C115*C4+D115*D4+E115*E4+F115*F4)/SUM(B4:F4)</f>
        <v>0.0009146652180303813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113.66733639110213</v>
      </c>
      <c r="C122" s="166">
        <f>C82*10000/C62</f>
        <v>40.28776534187622</v>
      </c>
      <c r="D122" s="166">
        <f>D82*10000/D62</f>
        <v>-7.69612052731653</v>
      </c>
      <c r="E122" s="166">
        <f>E82*10000/E62</f>
        <v>-41.723783899264276</v>
      </c>
      <c r="F122" s="166">
        <f>F82*10000/F62</f>
        <v>-109.04849962756035</v>
      </c>
      <c r="G122" s="166">
        <f>AVERAGE(C122:E122)</f>
        <v>-3.044046361568197</v>
      </c>
      <c r="H122" s="166">
        <f>STDEV(C122:E122)</f>
        <v>41.20321465329763</v>
      </c>
      <c r="I122" s="166">
        <f>(B122*B4+C122*C4+D122*D4+E122*E4+F122*F4)/SUM(B4:F4)</f>
        <v>-0.2341392828989429</v>
      </c>
    </row>
    <row r="123" spans="1:9" ht="12.75">
      <c r="A123" s="166" t="s">
        <v>176</v>
      </c>
      <c r="B123" s="166">
        <f>B83*10000/B62</f>
        <v>-0.057855095447766854</v>
      </c>
      <c r="C123" s="166">
        <f>C83*10000/C62</f>
        <v>0.27528360943634145</v>
      </c>
      <c r="D123" s="166">
        <f>D83*10000/D62</f>
        <v>-0.6825369750326461</v>
      </c>
      <c r="E123" s="166">
        <f>E83*10000/E62</f>
        <v>0.6473998259085153</v>
      </c>
      <c r="F123" s="166">
        <f>F83*10000/F62</f>
        <v>8.001684087970766</v>
      </c>
      <c r="G123" s="166">
        <f>AVERAGE(C123:E123)</f>
        <v>0.08004882010407022</v>
      </c>
      <c r="H123" s="166">
        <f>STDEV(C123:E123)</f>
        <v>0.6861271316954424</v>
      </c>
      <c r="I123" s="166">
        <f>(B123*B4+C123*C4+D123*D4+E123*E4+F123*F4)/SUM(B4:F4)</f>
        <v>1.114796280371763</v>
      </c>
    </row>
    <row r="124" spans="1:9" ht="12.75">
      <c r="A124" s="166" t="s">
        <v>177</v>
      </c>
      <c r="B124" s="166">
        <f>B84*10000/B62</f>
        <v>-1.1284837770912548</v>
      </c>
      <c r="C124" s="166">
        <f>C84*10000/C62</f>
        <v>-3.0377659926388727</v>
      </c>
      <c r="D124" s="166">
        <f>D84*10000/D62</f>
        <v>-3.1322034070717417</v>
      </c>
      <c r="E124" s="166">
        <f>E84*10000/E62</f>
        <v>-1.857218140344441</v>
      </c>
      <c r="F124" s="166">
        <f>F84*10000/F62</f>
        <v>0.16016734398865404</v>
      </c>
      <c r="G124" s="166">
        <f>AVERAGE(C124:E124)</f>
        <v>-2.6757291800183522</v>
      </c>
      <c r="H124" s="166">
        <f>STDEV(C124:E124)</f>
        <v>0.7104223024808832</v>
      </c>
      <c r="I124" s="166">
        <f>(B124*B4+C124*C4+D124*D4+E124*E4+F124*F4)/SUM(B4:F4)</f>
        <v>-2.0737751636074098</v>
      </c>
    </row>
    <row r="125" spans="1:9" ht="12.75">
      <c r="A125" s="166" t="s">
        <v>178</v>
      </c>
      <c r="B125" s="166">
        <f>B85*10000/B62</f>
        <v>0.2954864920132523</v>
      </c>
      <c r="C125" s="166">
        <f>C85*10000/C62</f>
        <v>-0.17415221699570158</v>
      </c>
      <c r="D125" s="166">
        <f>D85*10000/D62</f>
        <v>-0.8842448368148601</v>
      </c>
      <c r="E125" s="166">
        <f>E85*10000/E62</f>
        <v>-0.3927656906364021</v>
      </c>
      <c r="F125" s="166">
        <f>F85*10000/F62</f>
        <v>-0.9205756844897779</v>
      </c>
      <c r="G125" s="166">
        <f>AVERAGE(C125:E125)</f>
        <v>-0.48372091481565455</v>
      </c>
      <c r="H125" s="166">
        <f>STDEV(C125:E125)</f>
        <v>0.3636791467551207</v>
      </c>
      <c r="I125" s="166">
        <f>(B125*B4+C125*C4+D125*D4+E125*E4+F125*F4)/SUM(B4:F4)</f>
        <v>-0.42887345830566537</v>
      </c>
    </row>
    <row r="126" spans="1:9" ht="12.75">
      <c r="A126" s="166" t="s">
        <v>179</v>
      </c>
      <c r="B126" s="166">
        <f>B86*10000/B62</f>
        <v>0.8858829261101007</v>
      </c>
      <c r="C126" s="166">
        <f>C86*10000/C62</f>
        <v>0.29518329607056665</v>
      </c>
      <c r="D126" s="166">
        <f>D86*10000/D62</f>
        <v>0.4120397677607477</v>
      </c>
      <c r="E126" s="166">
        <f>E86*10000/E62</f>
        <v>0.09865476611309579</v>
      </c>
      <c r="F126" s="166">
        <f>F86*10000/F62</f>
        <v>0.9110321630135559</v>
      </c>
      <c r="G126" s="166">
        <f>AVERAGE(C126:E126)</f>
        <v>0.2686259433148034</v>
      </c>
      <c r="H126" s="166">
        <f>STDEV(C126:E126)</f>
        <v>0.15837142909461363</v>
      </c>
      <c r="I126" s="166">
        <f>(B126*B4+C126*C4+D126*D4+E126*E4+F126*F4)/SUM(B4:F4)</f>
        <v>0.4436496355951127</v>
      </c>
    </row>
    <row r="127" spans="1:9" ht="12.75">
      <c r="A127" s="166" t="s">
        <v>180</v>
      </c>
      <c r="B127" s="166">
        <f>B87*10000/B62</f>
        <v>0.07509517224515723</v>
      </c>
      <c r="C127" s="166">
        <f>C87*10000/C62</f>
        <v>0.02399476299184088</v>
      </c>
      <c r="D127" s="166">
        <f>D87*10000/D62</f>
        <v>0.1927162075979246</v>
      </c>
      <c r="E127" s="166">
        <f>E87*10000/E62</f>
        <v>0.13329219748852655</v>
      </c>
      <c r="F127" s="166">
        <f>F87*10000/F62</f>
        <v>0.33573342217682645</v>
      </c>
      <c r="G127" s="166">
        <f>AVERAGE(C127:E127)</f>
        <v>0.116667722692764</v>
      </c>
      <c r="H127" s="166">
        <f>STDEV(C127:E127)</f>
        <v>0.0855804378299571</v>
      </c>
      <c r="I127" s="166">
        <f>(B127*B4+C127*C4+D127*D4+E127*E4+F127*F4)/SUM(B4:F4)</f>
        <v>0.13980145988705925</v>
      </c>
    </row>
    <row r="128" spans="1:9" ht="12.75">
      <c r="A128" s="166" t="s">
        <v>181</v>
      </c>
      <c r="B128" s="166">
        <f>B88*10000/B62</f>
        <v>-0.12695723191414937</v>
      </c>
      <c r="C128" s="166">
        <f>C88*10000/C62</f>
        <v>-0.04338194058577806</v>
      </c>
      <c r="D128" s="166">
        <f>D88*10000/D62</f>
        <v>-0.024573280316856263</v>
      </c>
      <c r="E128" s="166">
        <f>E88*10000/E62</f>
        <v>-0.04360698198411486</v>
      </c>
      <c r="F128" s="166">
        <f>F88*10000/F62</f>
        <v>0.030516985541871183</v>
      </c>
      <c r="G128" s="166">
        <f>AVERAGE(C128:E128)</f>
        <v>-0.03718740096224973</v>
      </c>
      <c r="H128" s="166">
        <f>STDEV(C128:E128)</f>
        <v>0.010924728401665062</v>
      </c>
      <c r="I128" s="166">
        <f>(B128*B4+C128*C4+D128*D4+E128*E4+F128*F4)/SUM(B4:F4)</f>
        <v>-0.04119060358819737</v>
      </c>
    </row>
    <row r="129" spans="1:9" ht="12.75">
      <c r="A129" s="166" t="s">
        <v>182</v>
      </c>
      <c r="B129" s="166">
        <f>B89*10000/B62</f>
        <v>-0.012778528060366483</v>
      </c>
      <c r="C129" s="166">
        <f>C89*10000/C62</f>
        <v>-0.0007752174416725513</v>
      </c>
      <c r="D129" s="166">
        <f>D89*10000/D62</f>
        <v>-0.06738299442546627</v>
      </c>
      <c r="E129" s="166">
        <f>E89*10000/E62</f>
        <v>0.00048107143497259724</v>
      </c>
      <c r="F129" s="166">
        <f>F89*10000/F62</f>
        <v>-0.0017323762946629062</v>
      </c>
      <c r="G129" s="166">
        <f>AVERAGE(C129:E129)</f>
        <v>-0.022559046810722076</v>
      </c>
      <c r="H129" s="166">
        <f>STDEV(C129:E129)</f>
        <v>0.03882375915933946</v>
      </c>
      <c r="I129" s="166">
        <f>(B129*B4+C129*C4+D129*D4+E129*E4+F129*F4)/SUM(B4:F4)</f>
        <v>-0.018365113988749383</v>
      </c>
    </row>
    <row r="130" spans="1:9" ht="12.75">
      <c r="A130" s="166" t="s">
        <v>183</v>
      </c>
      <c r="B130" s="166">
        <f>B90*10000/B62</f>
        <v>0.033315518989717935</v>
      </c>
      <c r="C130" s="166">
        <f>C90*10000/C62</f>
        <v>-0.02380179755436784</v>
      </c>
      <c r="D130" s="166">
        <f>D90*10000/D62</f>
        <v>0.0363057190495863</v>
      </c>
      <c r="E130" s="166">
        <f>E90*10000/E62</f>
        <v>0.028248206985999072</v>
      </c>
      <c r="F130" s="166">
        <f>F90*10000/F62</f>
        <v>0.18803906577112417</v>
      </c>
      <c r="G130" s="166">
        <f>AVERAGE(C130:E130)</f>
        <v>0.013584042827072512</v>
      </c>
      <c r="H130" s="166">
        <f>STDEV(C130:E130)</f>
        <v>0.03262677843326882</v>
      </c>
      <c r="I130" s="166">
        <f>(B130*B4+C130*C4+D130*D4+E130*E4+F130*F4)/SUM(B4:F4)</f>
        <v>0.03967077103594922</v>
      </c>
    </row>
    <row r="131" spans="1:9" ht="12.75">
      <c r="A131" s="166" t="s">
        <v>184</v>
      </c>
      <c r="B131" s="166">
        <f>B91*10000/B62</f>
        <v>0.11559840697842882</v>
      </c>
      <c r="C131" s="166">
        <f>C91*10000/C62</f>
        <v>0.09336329904062647</v>
      </c>
      <c r="D131" s="166">
        <f>D91*10000/D62</f>
        <v>0.11467048802785497</v>
      </c>
      <c r="E131" s="166">
        <f>E91*10000/E62</f>
        <v>0.09569538134717574</v>
      </c>
      <c r="F131" s="166">
        <f>F91*10000/F62</f>
        <v>0.08827092414522868</v>
      </c>
      <c r="G131" s="166">
        <f>AVERAGE(C131:E131)</f>
        <v>0.10124305613855239</v>
      </c>
      <c r="H131" s="166">
        <f>STDEV(C131:E131)</f>
        <v>0.011686812967080799</v>
      </c>
      <c r="I131" s="166">
        <f>(B131*B4+C131*C4+D131*D4+E131*E4+F131*F4)/SUM(B4:F4)</f>
        <v>0.10159659831917918</v>
      </c>
    </row>
    <row r="132" spans="1:9" ht="12.75">
      <c r="A132" s="166" t="s">
        <v>185</v>
      </c>
      <c r="B132" s="166">
        <f>B92*10000/B62</f>
        <v>0.0038523763147451126</v>
      </c>
      <c r="C132" s="166">
        <f>C92*10000/C62</f>
        <v>0.06686339690740073</v>
      </c>
      <c r="D132" s="166">
        <f>D92*10000/D62</f>
        <v>0.01746576283858028</v>
      </c>
      <c r="E132" s="166">
        <f>E92*10000/E62</f>
        <v>0.025288246095654204</v>
      </c>
      <c r="F132" s="166">
        <f>F92*10000/F62</f>
        <v>-0.01799436178233184</v>
      </c>
      <c r="G132" s="166">
        <f>AVERAGE(C132:E132)</f>
        <v>0.036539135280545074</v>
      </c>
      <c r="H132" s="166">
        <f>STDEV(C132:E132)</f>
        <v>0.026551241844540784</v>
      </c>
      <c r="I132" s="166">
        <f>(B132*B4+C132*C4+D132*D4+E132*E4+F132*F4)/SUM(B4:F4)</f>
        <v>0.0245401321518404</v>
      </c>
    </row>
    <row r="133" spans="1:9" ht="12.75">
      <c r="A133" s="166" t="s">
        <v>186</v>
      </c>
      <c r="B133" s="166">
        <f>B93*10000/B62</f>
        <v>-0.08659090254448988</v>
      </c>
      <c r="C133" s="166">
        <f>C93*10000/C62</f>
        <v>-0.07473297169713564</v>
      </c>
      <c r="D133" s="166">
        <f>D93*10000/D62</f>
        <v>-0.07401708030639433</v>
      </c>
      <c r="E133" s="166">
        <f>E93*10000/E62</f>
        <v>-0.07219594835535596</v>
      </c>
      <c r="F133" s="166">
        <f>F93*10000/F62</f>
        <v>-0.07282181993288075</v>
      </c>
      <c r="G133" s="166">
        <f>AVERAGE(C133:E133)</f>
        <v>-0.07364866678629532</v>
      </c>
      <c r="H133" s="166">
        <f>STDEV(C133:E133)</f>
        <v>0.0013080207378036795</v>
      </c>
      <c r="I133" s="166">
        <f>(B133*B4+C133*C4+D133*D4+E133*E4+F133*F4)/SUM(B4:F4)</f>
        <v>-0.07541518011687057</v>
      </c>
    </row>
    <row r="134" spans="1:9" ht="12.75">
      <c r="A134" s="166" t="s">
        <v>187</v>
      </c>
      <c r="B134" s="166">
        <f>B94*10000/B62</f>
        <v>-0.010004068704684909</v>
      </c>
      <c r="C134" s="166">
        <f>C94*10000/C62</f>
        <v>-0.0010436875691553482</v>
      </c>
      <c r="D134" s="166">
        <f>D94*10000/D62</f>
        <v>0.008121416353211367</v>
      </c>
      <c r="E134" s="166">
        <f>E94*10000/E62</f>
        <v>0.011136585372314343</v>
      </c>
      <c r="F134" s="166">
        <f>F94*10000/F62</f>
        <v>-0.02444997319682445</v>
      </c>
      <c r="G134" s="166">
        <f>AVERAGE(C134:E134)</f>
        <v>0.006071438052123454</v>
      </c>
      <c r="H134" s="166">
        <f>STDEV(C134:E134)</f>
        <v>0.006343624398431322</v>
      </c>
      <c r="I134" s="166">
        <f>(B134*B4+C134*C4+D134*D4+E134*E4+F134*F4)/SUM(B4:F4)</f>
        <v>-0.0003232938341756737</v>
      </c>
    </row>
    <row r="135" spans="1:9" ht="12.75">
      <c r="A135" s="166" t="s">
        <v>188</v>
      </c>
      <c r="B135" s="166">
        <f>B95*10000/B62</f>
        <v>-0.00038465782507256496</v>
      </c>
      <c r="C135" s="166">
        <f>C95*10000/C62</f>
        <v>0.0005788218643774846</v>
      </c>
      <c r="D135" s="166">
        <f>D95*10000/D62</f>
        <v>-0.003225033469798679</v>
      </c>
      <c r="E135" s="166">
        <f>E95*10000/E62</f>
        <v>-0.0030185980881462563</v>
      </c>
      <c r="F135" s="166">
        <f>F95*10000/F62</f>
        <v>0.0051172876616511365</v>
      </c>
      <c r="G135" s="166">
        <f>AVERAGE(C135:E135)</f>
        <v>-0.001888269897855817</v>
      </c>
      <c r="H135" s="166">
        <f>STDEV(C135:E135)</f>
        <v>0.0021390559165573625</v>
      </c>
      <c r="I135" s="166">
        <f>(B135*B4+C135*C4+D135*D4+E135*E4+F135*F4)/SUM(B4:F4)</f>
        <v>-0.0007374333386696887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2003-07-21T06:43:06Z</cp:lastPrinted>
  <dcterms:created xsi:type="dcterms:W3CDTF">1999-06-17T15:15:05Z</dcterms:created>
  <dcterms:modified xsi:type="dcterms:W3CDTF">2003-09-26T12:51:20Z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-752166540</vt:i4>
  </property>
  <property fmtid="{D5CDD505-2E9C-101B-9397-08002B2CF9AE}" pid="3" name="_EmailSubject">
    <vt:lpwstr>correction de resultats d'ouverture quadripolaire.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