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3" activeTab="7"/>
  </bookViews>
  <sheets>
    <sheet name="Sommaire" sheetId="1" r:id="rId1"/>
    <sheet name="HCMQAP062_B_pos5ap2_1" sheetId="2" r:id="rId2"/>
    <sheet name="HCMQAP062_B_pos1ap2_1" sheetId="3" r:id="rId3"/>
    <sheet name="HCMQAP062_B_pos2ap2_1" sheetId="4" r:id="rId4"/>
    <sheet name="HCMQAP062_B_pos3ap2_1" sheetId="5" r:id="rId5"/>
    <sheet name="HCMQAP062_B_pos4ap2_1" sheetId="6" r:id="rId6"/>
    <sheet name="Lmag_hcmqap" sheetId="7" r:id="rId7"/>
    <sheet name="Result_HCMQAP" sheetId="8" r:id="rId8"/>
  </sheets>
  <definedNames>
    <definedName name="_xlnm.Print_Area" localSheetId="2">'HCMQAP062_B_pos1ap2_1'!$A$1:$N$28</definedName>
    <definedName name="_xlnm.Print_Area" localSheetId="3">'HCMQAP062_B_pos2ap2_1'!$A$1:$N$28</definedName>
    <definedName name="_xlnm.Print_Area" localSheetId="4">'HCMQAP062_B_pos3ap2_1'!$A$1:$N$28</definedName>
    <definedName name="_xlnm.Print_Area" localSheetId="5">'HCMQAP062_B_pos4ap2_1'!$A$1:$N$28</definedName>
    <definedName name="_xlnm.Print_Area" localSheetId="1">'HCMQAP062_B_pos5ap2_1'!$A$1:$N$28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<sst xmlns="http://schemas.openxmlformats.org/spreadsheetml/2006/main" count="520" uniqueCount="195">
  <si>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</si>
  <si>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</si>
  <si>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</si>
  <si>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</si>
  <si>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</si>
  <si>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</si>
  <si>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</si>
  <si>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</si>
  <si>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</si>
  <si>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</si>
  <si>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</si>
  <si>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</si>
  <si>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</si>
  <si>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</si>
  <si>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</si>
  <si>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hcmqap062_b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</si>
  <si>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</si>
  <si>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</si>
  <si>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</si>
  <si>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</si>
  <si>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</si>
  <si>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</si>
  <si>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</si>
  <si>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</si>
  <si>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</si>
  <si>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</si>
  <si>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</si>
  <si>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</si>
  <si>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</si>
  <si>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</si>
  <si>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</si>
  <si>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</si>
  <si>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</si>
  <si>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</si>
  <si>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</si>
  <si>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</si>
  <si>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</si>
  <si>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</si>
  <si>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</si>
  <si>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</si>
  <si>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</si>
  <si>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</si>
  <si>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</si>
  <si>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</si>
  <si>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</si>
  <si>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</si>
  <si>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</si>
  <si>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</si>
  <si>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</si>
  <si>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</si>
  <si>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</si>
  <si>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</si>
  <si>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t>HCMQAP062_B_pos4ap2_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</si>
  <si>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</si>
  <si>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</si>
  <si>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</si>
  <si>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-2.085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</si>
  <si>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</si>
  <si>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</si>
  <si>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</si>
  <si>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</si>
  <si>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</si>
  <si>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</si>
  <si>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</si>
  <si>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</si>
  <si>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</si>
  <si>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</si>
  <si>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</si>
  <si>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</si>
  <si>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HCMQAP062_B_pos5ap2_1</t>
  </si>
  <si>
    <t>24/07/2003</t>
  </si>
  <si>
    <t>±12.5</t>
  </si>
  <si>
    <t>THCMQAP062_B_pos5ap2_1.xls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</si>
  <si>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-2.262 mT)</t>
    </r>
  </si>
  <si>
    <t>HCMQAP062_B_pos1ap2_1</t>
  </si>
  <si>
    <t>THCMQAP062_B_pos1ap2_1.xls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</si>
  <si>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 mT)</t>
    </r>
  </si>
  <si>
    <t>HCMQAP062_B_pos2ap2_1</t>
  </si>
  <si>
    <t>THCMQAP062_B_pos2ap2_1.xls</t>
  </si>
  <si>
    <t>HCMQAP062_B_pos3ap2_1</t>
  </si>
  <si>
    <t>THCMQAP062_B_pos3ap2_1.xls</t>
  </si>
  <si>
    <t>HCMQAP062_B_pos4ap2_1</t>
  </si>
  <si>
    <t>THCMQAP062_B_pos4ap2_1.xls</t>
  </si>
  <si>
    <t>Sommaire : Valeurs intégrales calculées avec les fichiers: HCMQAP062_B_pos5ap2_1+HCMQAP062_B_pos1ap2_1+HCMQAP062_B_pos2ap2_1+HCMQAP062_B_pos3ap2_1+HCMQAP062_B_pos4ap2_1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</si>
  <si>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</si>
  <si>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</si>
  <si>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</si>
  <si>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</si>
  <si>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</si>
  <si>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</si>
  <si>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</si>
  <si>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</si>
  <si>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</si>
  <si>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</si>
  <si>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</si>
  <si>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</si>
  <si>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</si>
  <si>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</si>
  <si>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</si>
  <si>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</si>
  <si>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</si>
  <si>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</si>
  <si>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</si>
  <si>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</si>
  <si>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</si>
  <si>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</si>
  <si>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</si>
  <si>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</si>
  <si>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</si>
  <si>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</si>
  <si>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</si>
  <si>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</si>
  <si>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</si>
  <si>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</si>
  <si>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</si>
  <si>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</si>
  <si>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</si>
  <si>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</si>
  <si>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</si>
  <si>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</si>
  <si>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</si>
  <si>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</si>
  <si>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</si>
  <si>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</si>
  <si>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</si>
  <si>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</si>
  <si>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</si>
  <si>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</t>
    </r>
  </si>
  <si>
    <t>Gradient (T/m)</t>
  </si>
  <si>
    <t>HCMQAP062_B_pos1ap2_2</t>
  </si>
  <si>
    <t xml:space="preserve"> Thu 24/07/2003       15:25:36</t>
  </si>
  <si>
    <t>LISSNER</t>
  </si>
  <si>
    <t>HCMQAP062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</si>
  <si>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</si>
  <si>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</si>
  <si>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</si>
  <si>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</si>
  <si>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</si>
  <si>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</si>
  <si>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</si>
  <si>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</si>
  <si>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b3*</t>
  </si>
  <si>
    <t>b5*</t>
  </si>
  <si>
    <t>b7*</t>
  </si>
  <si>
    <t>b12*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</si>
  <si>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</si>
  <si>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</si>
  <si>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</si>
  <si>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</si>
  <si>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</si>
  <si>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</si>
  <si>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</si>
  <si>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</si>
  <si>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</si>
  <si>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</si>
  <si>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</si>
  <si>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</si>
  <si>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</si>
  <si>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</si>
  <si>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</si>
  <si>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</si>
  <si>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</si>
  <si>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</si>
  <si>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</si>
  <si>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</si>
  <si>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</si>
  <si>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</si>
  <si>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</si>
  <si>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</si>
  <si>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</si>
  <si>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</si>
  <si>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</si>
  <si>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</si>
  <si>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</si>
  <si>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</si>
  <si>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</si>
  <si>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</si>
  <si>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</si>
  <si>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</si>
  <si>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</si>
  <si>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</si>
  <si>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</si>
  <si>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</si>
  <si>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</si>
  <si>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</si>
  <si>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</si>
  <si>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</si>
  <si>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</si>
  <si>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</si>
  <si>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</si>
  <si>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</si>
  <si>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</si>
  <si>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</si>
  <si>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</si>
  <si>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Integrals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</si>
</sst>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0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4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 horizontal="left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6" fillId="3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0" borderId="60" xfId="0" applyNumberFormat="1" applyFont="1" applyFill="1" applyBorder="1" applyAlignment="1">
      <alignment horizontal="center"/>
    </xf>
    <xf numFmtId="179" fontId="3" fillId="4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62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0.5680053</c:v>
                </c:pt>
                <c:pt idx="1">
                  <c:v>1.581981</c:v>
                </c:pt>
                <c:pt idx="2">
                  <c:v>0.3729295899999999</c:v>
                </c:pt>
                <c:pt idx="3">
                  <c:v>2.8176708000000006</c:v>
                </c:pt>
                <c:pt idx="4">
                  <c:v>-3.6805251999999995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3.9316444000000006</c:v>
                </c:pt>
                <c:pt idx="1">
                  <c:v>0.37642631</c:v>
                </c:pt>
                <c:pt idx="2">
                  <c:v>4.4690677</c:v>
                </c:pt>
                <c:pt idx="3">
                  <c:v>5.124516900000001</c:v>
                </c:pt>
                <c:pt idx="4">
                  <c:v>10.824907999999999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3.7095332000000005</c:v>
                </c:pt>
                <c:pt idx="1">
                  <c:v>4.1350454</c:v>
                </c:pt>
                <c:pt idx="2">
                  <c:v>4.347768100000001</c:v>
                </c:pt>
                <c:pt idx="3">
                  <c:v>4.581193400000001</c:v>
                </c:pt>
                <c:pt idx="4">
                  <c:v>14.482662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0.8362505800000001</c:v>
                </c:pt>
                <c:pt idx="1">
                  <c:v>0.021349862999999997</c:v>
                </c:pt>
                <c:pt idx="2">
                  <c:v>0.90730451</c:v>
                </c:pt>
                <c:pt idx="3">
                  <c:v>0.70645144</c:v>
                </c:pt>
                <c:pt idx="4">
                  <c:v>2.8319878000000003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-0.40058035</c:v>
                </c:pt>
                <c:pt idx="1">
                  <c:v>-0.079238051</c:v>
                </c:pt>
                <c:pt idx="2">
                  <c:v>-0.11176492</c:v>
                </c:pt>
                <c:pt idx="3">
                  <c:v>-0.048525316000000006</c:v>
                </c:pt>
                <c:pt idx="4">
                  <c:v>-0.34656651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0.055174994</c:v>
                </c:pt>
                <c:pt idx="1">
                  <c:v>-0.0029871170999999997</c:v>
                </c:pt>
                <c:pt idx="2">
                  <c:v>-0.13883848999999998</c:v>
                </c:pt>
                <c:pt idx="3">
                  <c:v>-0.033797153</c:v>
                </c:pt>
                <c:pt idx="4">
                  <c:v>0.28673483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Lmag_hcmqap!$B$6:$F$6</c:f>
              <c:numCache>
                <c:ptCount val="5"/>
                <c:pt idx="0">
                  <c:v>0.7660960000000001</c:v>
                </c:pt>
                <c:pt idx="1">
                  <c:v>-1.7806247</c:v>
                </c:pt>
                <c:pt idx="2">
                  <c:v>0.4149537</c:v>
                </c:pt>
                <c:pt idx="3">
                  <c:v>-2.3284541</c:v>
                </c:pt>
                <c:pt idx="4">
                  <c:v>1.1428870973999998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Lmag_hcmqap!$B$19:$F$19</c:f>
              <c:numCache>
                <c:ptCount val="5"/>
                <c:pt idx="0">
                  <c:v>-1.491393</c:v>
                </c:pt>
                <c:pt idx="1">
                  <c:v>-2.7399626999999995</c:v>
                </c:pt>
                <c:pt idx="2">
                  <c:v>-1.575224</c:v>
                </c:pt>
                <c:pt idx="3">
                  <c:v>-1.7680673000000002</c:v>
                </c:pt>
                <c:pt idx="4">
                  <c:v>-7.2903002</c:v>
                </c:pt>
              </c:numCache>
            </c:numRef>
          </c:val>
          <c:smooth val="0"/>
        </c:ser>
        <c:marker val="1"/>
        <c:axId val="32024070"/>
        <c:axId val="19781175"/>
      </c:lineChart>
      <c:catAx>
        <c:axId val="320240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9781175"/>
        <c:crosses val="autoZero"/>
        <c:auto val="1"/>
        <c:lblOffset val="100"/>
        <c:noMultiLvlLbl val="0"/>
      </c:catAx>
      <c:valAx>
        <c:axId val="19781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3202407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95250</xdr:rowOff>
    </xdr:from>
    <xdr:to>
      <xdr:col>7</xdr:col>
      <xdr:colOff>19050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171450" y="5915025"/>
        <a:ext cx="53816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70</v>
      </c>
      <c r="B2" s="24">
        <v>80</v>
      </c>
      <c r="C2" s="24" t="s">
        <v>71</v>
      </c>
      <c r="D2" s="25">
        <v>5</v>
      </c>
      <c r="E2" s="25">
        <v>5</v>
      </c>
      <c r="F2" s="26"/>
      <c r="G2" s="26" t="s">
        <v>69</v>
      </c>
      <c r="H2" s="25">
        <v>1955</v>
      </c>
      <c r="I2" s="27" t="s">
        <v>72</v>
      </c>
      <c r="J2" s="30"/>
      <c r="K2" s="28" t="s">
        <v>52</v>
      </c>
      <c r="L2" s="28"/>
      <c r="M2" s="28"/>
      <c r="N2" s="28"/>
    </row>
    <row r="3" spans="1:14" s="29" customFormat="1" ht="15" customHeight="1">
      <c r="A3" s="40" t="s">
        <v>70</v>
      </c>
      <c r="B3" s="24">
        <v>80</v>
      </c>
      <c r="C3" s="24" t="s">
        <v>71</v>
      </c>
      <c r="D3" s="25">
        <v>5</v>
      </c>
      <c r="E3" s="25">
        <v>1</v>
      </c>
      <c r="F3" s="26"/>
      <c r="G3" s="26" t="s">
        <v>74</v>
      </c>
      <c r="H3" s="25">
        <v>1955</v>
      </c>
      <c r="I3" s="27" t="s">
        <v>75</v>
      </c>
      <c r="J3" s="30"/>
      <c r="K3" s="28" t="s">
        <v>52</v>
      </c>
      <c r="L3" s="28"/>
      <c r="M3" s="28"/>
      <c r="N3" s="28"/>
    </row>
    <row r="4" spans="1:14" s="29" customFormat="1" ht="15" customHeight="1">
      <c r="A4" s="40" t="s">
        <v>70</v>
      </c>
      <c r="B4" s="24">
        <v>80</v>
      </c>
      <c r="C4" s="24" t="s">
        <v>71</v>
      </c>
      <c r="D4" s="25">
        <v>5</v>
      </c>
      <c r="E4" s="25">
        <v>2</v>
      </c>
      <c r="F4" s="26"/>
      <c r="G4" s="26" t="s">
        <v>77</v>
      </c>
      <c r="H4" s="25">
        <v>1955</v>
      </c>
      <c r="I4" s="27" t="s">
        <v>78</v>
      </c>
      <c r="J4" s="30"/>
      <c r="K4" s="31" t="s">
        <v>52</v>
      </c>
      <c r="L4" s="31"/>
      <c r="M4" s="31"/>
      <c r="N4" s="28"/>
    </row>
    <row r="5" spans="1:14" s="29" customFormat="1" ht="15" customHeight="1">
      <c r="A5" s="40" t="s">
        <v>70</v>
      </c>
      <c r="B5" s="24">
        <v>80</v>
      </c>
      <c r="C5" s="24" t="s">
        <v>71</v>
      </c>
      <c r="D5" s="25">
        <v>5</v>
      </c>
      <c r="E5" s="25">
        <v>3</v>
      </c>
      <c r="F5" s="26"/>
      <c r="G5" s="26" t="s">
        <v>79</v>
      </c>
      <c r="H5" s="25">
        <v>1955</v>
      </c>
      <c r="I5" s="27" t="s">
        <v>80</v>
      </c>
      <c r="J5" s="30"/>
      <c r="K5" s="28" t="s">
        <v>52</v>
      </c>
      <c r="L5" s="28"/>
      <c r="M5" s="28"/>
      <c r="N5" s="28"/>
    </row>
    <row r="6" spans="1:14" s="29" customFormat="1" ht="15" customHeight="1">
      <c r="A6" s="40" t="s">
        <v>70</v>
      </c>
      <c r="B6" s="24">
        <v>80</v>
      </c>
      <c r="C6" s="24" t="s">
        <v>71</v>
      </c>
      <c r="D6" s="25">
        <v>5</v>
      </c>
      <c r="E6" s="25">
        <v>4</v>
      </c>
      <c r="F6" s="26"/>
      <c r="G6" s="26" t="s">
        <v>81</v>
      </c>
      <c r="H6" s="25">
        <v>1955</v>
      </c>
      <c r="I6" s="27" t="s">
        <v>82</v>
      </c>
      <c r="J6" s="30"/>
      <c r="K6" s="28" t="s">
        <v>52</v>
      </c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7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53</v>
      </c>
      <c r="E2" s="52"/>
      <c r="F2" s="52"/>
      <c r="G2" s="52"/>
      <c r="H2" s="52"/>
      <c r="I2" s="52"/>
      <c r="J2" s="53"/>
      <c r="K2" s="54">
        <v>-6.6222380000000005E-06</v>
      </c>
      <c r="L2" s="54">
        <v>1.6127769909695527E-07</v>
      </c>
      <c r="M2" s="54">
        <v>9.9260341E-05</v>
      </c>
      <c r="N2" s="55">
        <v>2.3591595298611726E-07</v>
      </c>
    </row>
    <row r="3" spans="1:14" ht="15" customHeight="1">
      <c r="A3" s="56" t="s">
        <v>16</v>
      </c>
      <c r="B3" s="57">
        <v>2</v>
      </c>
      <c r="D3" s="51" t="s">
        <v>54</v>
      </c>
      <c r="E3" s="52"/>
      <c r="F3" s="52"/>
      <c r="G3" s="52"/>
      <c r="H3" s="52"/>
      <c r="I3" s="52"/>
      <c r="J3" s="53"/>
      <c r="K3" s="54">
        <v>-3.070742E-05</v>
      </c>
      <c r="L3" s="54">
        <v>5.4790684702514544E-08</v>
      </c>
      <c r="M3" s="54">
        <v>9.660419000000002E-06</v>
      </c>
      <c r="N3" s="55">
        <v>1.2825305218201826E-07</v>
      </c>
    </row>
    <row r="4" spans="1:14" ht="15" customHeight="1">
      <c r="A4" s="56" t="s">
        <v>17</v>
      </c>
      <c r="B4" s="57">
        <v>2</v>
      </c>
      <c r="D4" s="51" t="s">
        <v>55</v>
      </c>
      <c r="E4" s="52"/>
      <c r="F4" s="52"/>
      <c r="G4" s="52"/>
      <c r="H4" s="52"/>
      <c r="I4" s="52"/>
      <c r="J4" s="53"/>
      <c r="K4" s="54">
        <v>-0.0020846964138681373</v>
      </c>
      <c r="L4" s="54">
        <v>4.472393113914658E-05</v>
      </c>
      <c r="M4" s="54">
        <v>7.341551895658918E-08</v>
      </c>
      <c r="N4" s="55">
        <v>-10.725080000000002</v>
      </c>
    </row>
    <row r="5" spans="1:14" ht="15" customHeight="1" thickBot="1">
      <c r="A5" t="s">
        <v>18</v>
      </c>
      <c r="B5" s="58">
        <v>37826.63925925926</v>
      </c>
      <c r="D5" s="59"/>
      <c r="E5" s="60" t="s">
        <v>56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1955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57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58</v>
      </c>
      <c r="E7" s="73" t="s">
        <v>59</v>
      </c>
      <c r="F7" s="74" t="s">
        <v>60</v>
      </c>
      <c r="G7" s="73" t="s">
        <v>61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-3.6805251999999995</v>
      </c>
      <c r="E8" s="77">
        <v>0.035182953489798725</v>
      </c>
      <c r="F8" s="78">
        <v>10.824907999999999</v>
      </c>
      <c r="G8" s="77">
        <v>0.017802275304949818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-2.639407</v>
      </c>
      <c r="E9" s="80">
        <v>0.06116625849354791</v>
      </c>
      <c r="F9" s="80">
        <v>-0.439208764</v>
      </c>
      <c r="G9" s="80">
        <v>0.05961868050361039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1.1428870973999998</v>
      </c>
      <c r="E10" s="80">
        <v>0.009478979562355582</v>
      </c>
      <c r="F10" s="85">
        <v>-7.2903002</v>
      </c>
      <c r="G10" s="80">
        <v>0.017861247080107293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86">
        <v>14.482662</v>
      </c>
      <c r="E11" s="77">
        <v>0.006270010844910239</v>
      </c>
      <c r="F11" s="78">
        <v>2.8319878000000003</v>
      </c>
      <c r="G11" s="77">
        <v>0.008992950720377892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-0.50070198</v>
      </c>
      <c r="E12" s="80">
        <v>0.00622286084977112</v>
      </c>
      <c r="F12" s="80">
        <v>0.5360121</v>
      </c>
      <c r="G12" s="80">
        <v>0.00611007044583306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29.531861</v>
      </c>
      <c r="D13" s="84">
        <v>0.001040259</v>
      </c>
      <c r="E13" s="80">
        <v>0.0035726121872635434</v>
      </c>
      <c r="F13" s="80">
        <v>-0.17584398</v>
      </c>
      <c r="G13" s="80">
        <v>0.0063069224022967284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0.26850223</v>
      </c>
      <c r="E14" s="80">
        <v>0.0029114531834835253</v>
      </c>
      <c r="F14" s="80">
        <v>0.36747203999999994</v>
      </c>
      <c r="G14" s="80">
        <v>0.009611015494911545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-0.34656651</v>
      </c>
      <c r="E15" s="77">
        <v>0.005443271730992146</v>
      </c>
      <c r="F15" s="77">
        <v>0.28673483</v>
      </c>
      <c r="G15" s="77">
        <v>0.0045006198370457304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4">
        <v>-0.0029410088</v>
      </c>
      <c r="E16" s="80">
        <v>0.002252641828045852</v>
      </c>
      <c r="F16" s="80">
        <v>0.0125133255</v>
      </c>
      <c r="G16" s="80">
        <v>0.00479154675843969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-0.0729999989271164</v>
      </c>
      <c r="D17" s="84">
        <v>0.06676607799999999</v>
      </c>
      <c r="E17" s="80">
        <v>0.002783105016999325</v>
      </c>
      <c r="F17" s="80">
        <v>0.0064233527</v>
      </c>
      <c r="G17" s="80">
        <v>0.0034994606135834378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115.96700286865234</v>
      </c>
      <c r="D18" s="84">
        <v>-0.036834992999999996</v>
      </c>
      <c r="E18" s="80">
        <v>0.0021310384488005124</v>
      </c>
      <c r="F18" s="80">
        <v>0.10524234400000002</v>
      </c>
      <c r="G18" s="80">
        <v>0.001197167191595911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-0.31700000166893005</v>
      </c>
      <c r="D19" s="84">
        <v>-0.13215908999999998</v>
      </c>
      <c r="E19" s="80">
        <v>0.0017894050741535314</v>
      </c>
      <c r="F19" s="80">
        <v>-0.028642716000000002</v>
      </c>
      <c r="G19" s="80">
        <v>0.0023498874224426062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-0.07135739999999999</v>
      </c>
      <c r="D20" s="90">
        <v>-0.00025196071</v>
      </c>
      <c r="E20" s="91">
        <v>0.00033535121931479</v>
      </c>
      <c r="F20" s="91">
        <v>0.0050434512</v>
      </c>
      <c r="G20" s="91">
        <v>0.0014519560972097816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0.8078945999999998</v>
      </c>
      <c r="F21" s="3" t="s">
        <v>62</v>
      </c>
    </row>
    <row r="22" spans="1:6" ht="15" customHeight="1">
      <c r="A22" s="56" t="s">
        <v>43</v>
      </c>
      <c r="B22" s="71" t="s">
        <v>44</v>
      </c>
      <c r="F22" s="3" t="s">
        <v>63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64</v>
      </c>
      <c r="B24" s="97">
        <v>-0.614502337988089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65</v>
      </c>
      <c r="F25" s="103"/>
      <c r="G25" s="104"/>
      <c r="H25" s="105">
        <v>-2.0851761000000004</v>
      </c>
      <c r="I25" s="103" t="s">
        <v>66</v>
      </c>
      <c r="J25" s="104"/>
      <c r="K25" s="103"/>
      <c r="L25" s="106">
        <v>14.756952717468225</v>
      </c>
    </row>
    <row r="26" spans="1:12" ht="18" customHeight="1" thickBot="1">
      <c r="A26" s="56" t="s">
        <v>48</v>
      </c>
      <c r="B26" s="57" t="s">
        <v>49</v>
      </c>
      <c r="E26" s="107" t="s">
        <v>67</v>
      </c>
      <c r="F26" s="108"/>
      <c r="G26" s="109"/>
      <c r="H26" s="110">
        <v>11.433498981339833</v>
      </c>
      <c r="I26" s="108" t="s">
        <v>68</v>
      </c>
      <c r="J26" s="109"/>
      <c r="K26" s="108"/>
      <c r="L26" s="111">
        <v>0.44980574539317414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 t="s">
        <v>52</v>
      </c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HCMQAP062_B_pos5ap2_1res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53</v>
      </c>
      <c r="E2" s="52"/>
      <c r="F2" s="52"/>
      <c r="G2" s="52"/>
      <c r="H2" s="52"/>
      <c r="I2" s="52"/>
      <c r="J2" s="53"/>
      <c r="K2" s="54">
        <v>1.7306835E-05</v>
      </c>
      <c r="L2" s="54">
        <v>6.559485398992911E-08</v>
      </c>
      <c r="M2" s="54">
        <v>0.00013662656</v>
      </c>
      <c r="N2" s="55">
        <v>8.065130748896331E-08</v>
      </c>
    </row>
    <row r="3" spans="1:14" ht="15" customHeight="1">
      <c r="A3" s="56" t="s">
        <v>16</v>
      </c>
      <c r="B3" s="57">
        <v>2</v>
      </c>
      <c r="D3" s="51" t="s">
        <v>54</v>
      </c>
      <c r="E3" s="52"/>
      <c r="F3" s="52"/>
      <c r="G3" s="52"/>
      <c r="H3" s="52"/>
      <c r="I3" s="52"/>
      <c r="J3" s="53"/>
      <c r="K3" s="54">
        <v>-3.1923575E-05</v>
      </c>
      <c r="L3" s="54">
        <v>1.4210487581424307E-07</v>
      </c>
      <c r="M3" s="54">
        <v>1.40326E-05</v>
      </c>
      <c r="N3" s="55">
        <v>7.126600171172783E-08</v>
      </c>
    </row>
    <row r="4" spans="1:14" ht="15" customHeight="1">
      <c r="A4" s="56" t="s">
        <v>17</v>
      </c>
      <c r="B4" s="57">
        <v>2</v>
      </c>
      <c r="D4" s="51" t="s">
        <v>55</v>
      </c>
      <c r="E4" s="52"/>
      <c r="F4" s="52"/>
      <c r="G4" s="52"/>
      <c r="H4" s="52"/>
      <c r="I4" s="52"/>
      <c r="J4" s="53"/>
      <c r="K4" s="54">
        <v>-0.002262385953911267</v>
      </c>
      <c r="L4" s="54">
        <v>5.9961906424115505E-06</v>
      </c>
      <c r="M4" s="54">
        <v>7.429359147902424E-08</v>
      </c>
      <c r="N4" s="55">
        <v>-1.3251886999999998</v>
      </c>
    </row>
    <row r="5" spans="1:14" ht="15" customHeight="1" thickBot="1">
      <c r="A5" t="s">
        <v>18</v>
      </c>
      <c r="B5" s="58">
        <v>37826.621203703704</v>
      </c>
      <c r="D5" s="59"/>
      <c r="E5" s="60" t="s">
        <v>73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1955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57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58</v>
      </c>
      <c r="E7" s="73" t="s">
        <v>59</v>
      </c>
      <c r="F7" s="74" t="s">
        <v>60</v>
      </c>
      <c r="G7" s="73" t="s">
        <v>61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0.5680053</v>
      </c>
      <c r="E8" s="77">
        <v>0.018908654996904056</v>
      </c>
      <c r="F8" s="77">
        <v>3.9316444000000006</v>
      </c>
      <c r="G8" s="77">
        <v>0.01114064505024492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4">
        <v>0.09253868000000001</v>
      </c>
      <c r="E9" s="80">
        <v>0.041394743380228576</v>
      </c>
      <c r="F9" s="80">
        <v>-0.55607495</v>
      </c>
      <c r="G9" s="80">
        <v>0.045339746067694454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0.7660960000000001</v>
      </c>
      <c r="E10" s="80">
        <v>0.02173774227807171</v>
      </c>
      <c r="F10" s="80">
        <v>-1.491393</v>
      </c>
      <c r="G10" s="80">
        <v>0.012886621035005602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76">
        <v>3.7095332000000005</v>
      </c>
      <c r="E11" s="77">
        <v>0.006429927997692332</v>
      </c>
      <c r="F11" s="77">
        <v>0.8362505800000001</v>
      </c>
      <c r="G11" s="77">
        <v>0.01457959426171874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-0.13006139600000002</v>
      </c>
      <c r="E12" s="80">
        <v>0.006723234718046892</v>
      </c>
      <c r="F12" s="80">
        <v>0.32456005</v>
      </c>
      <c r="G12" s="80">
        <v>0.008737942617745343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29.418946</v>
      </c>
      <c r="D13" s="84">
        <v>0.16834747</v>
      </c>
      <c r="E13" s="80">
        <v>0.0034753229680992963</v>
      </c>
      <c r="F13" s="80">
        <v>-0.13598259699999998</v>
      </c>
      <c r="G13" s="80">
        <v>0.005474543864845727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0.16881462</v>
      </c>
      <c r="E14" s="80">
        <v>0.004510402327464654</v>
      </c>
      <c r="F14" s="85">
        <v>0.5948361099999999</v>
      </c>
      <c r="G14" s="80">
        <v>0.0032404540680963274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-0.40058035</v>
      </c>
      <c r="E15" s="77">
        <v>0.0036637340742770724</v>
      </c>
      <c r="F15" s="77">
        <v>0.055174994</v>
      </c>
      <c r="G15" s="77">
        <v>0.0014937782543819206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4">
        <v>-0.0128925139</v>
      </c>
      <c r="E16" s="80">
        <v>0.004605594181190644</v>
      </c>
      <c r="F16" s="80">
        <v>-0.083867136</v>
      </c>
      <c r="G16" s="80">
        <v>0.0019839782607667003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-0.24699999392032623</v>
      </c>
      <c r="D17" s="116">
        <v>0.19248775</v>
      </c>
      <c r="E17" s="80">
        <v>0.0025723495586718044</v>
      </c>
      <c r="F17" s="80">
        <v>-0.051057331000000004</v>
      </c>
      <c r="G17" s="80">
        <v>0.005057385748719723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132.75100708007812</v>
      </c>
      <c r="D18" s="84">
        <v>0.0182059372</v>
      </c>
      <c r="E18" s="80">
        <v>0.002521506619083179</v>
      </c>
      <c r="F18" s="85">
        <v>0.2008048</v>
      </c>
      <c r="G18" s="80">
        <v>0.0017351162084965669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-0.3880000114440918</v>
      </c>
      <c r="D19" s="116">
        <v>-0.18727507999999998</v>
      </c>
      <c r="E19" s="80">
        <v>0.0011620812495691565</v>
      </c>
      <c r="F19" s="80">
        <v>0.0016956762</v>
      </c>
      <c r="G19" s="80">
        <v>0.0013029189007909355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0.1273556</v>
      </c>
      <c r="D20" s="90">
        <v>-0.00270830922</v>
      </c>
      <c r="E20" s="91">
        <v>0.0020595714011743937</v>
      </c>
      <c r="F20" s="91">
        <v>-0.0004173018110000001</v>
      </c>
      <c r="G20" s="91">
        <v>0.0016177735538251937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1.0269701</v>
      </c>
      <c r="F21" s="3" t="s">
        <v>62</v>
      </c>
    </row>
    <row r="22" spans="1:6" ht="15" customHeight="1">
      <c r="A22" s="56" t="s">
        <v>43</v>
      </c>
      <c r="B22" s="71" t="s">
        <v>44</v>
      </c>
      <c r="F22" s="3" t="s">
        <v>63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64</v>
      </c>
      <c r="B24" s="97">
        <v>-0.07592778370188343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65</v>
      </c>
      <c r="F25" s="103"/>
      <c r="G25" s="104"/>
      <c r="H25" s="105">
        <v>-2.2623939000000006</v>
      </c>
      <c r="I25" s="103" t="s">
        <v>66</v>
      </c>
      <c r="J25" s="104"/>
      <c r="K25" s="103"/>
      <c r="L25" s="106">
        <v>3.8026243036161986</v>
      </c>
    </row>
    <row r="26" spans="1:12" ht="18" customHeight="1" thickBot="1">
      <c r="A26" s="56" t="s">
        <v>48</v>
      </c>
      <c r="B26" s="57" t="s">
        <v>49</v>
      </c>
      <c r="E26" s="107" t="s">
        <v>67</v>
      </c>
      <c r="F26" s="108"/>
      <c r="G26" s="109"/>
      <c r="H26" s="110">
        <v>3.9724624238473867</v>
      </c>
      <c r="I26" s="108" t="s">
        <v>68</v>
      </c>
      <c r="J26" s="109"/>
      <c r="K26" s="108"/>
      <c r="L26" s="111">
        <v>0.40436233351911316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 t="s">
        <v>52</v>
      </c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HCMQAP062_B_pos1ap2_1res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53</v>
      </c>
      <c r="E2" s="52"/>
      <c r="F2" s="52"/>
      <c r="G2" s="52"/>
      <c r="H2" s="52"/>
      <c r="I2" s="52"/>
      <c r="J2" s="53"/>
      <c r="K2" s="54">
        <v>9.248445499999999E-05</v>
      </c>
      <c r="L2" s="54">
        <v>2.287738839349154E-07</v>
      </c>
      <c r="M2" s="54">
        <v>0.00019049594</v>
      </c>
      <c r="N2" s="55">
        <v>1.581733523621716E-07</v>
      </c>
    </row>
    <row r="3" spans="1:14" ht="15" customHeight="1">
      <c r="A3" s="56" t="s">
        <v>16</v>
      </c>
      <c r="B3" s="57">
        <v>2</v>
      </c>
      <c r="D3" s="51" t="s">
        <v>54</v>
      </c>
      <c r="E3" s="52"/>
      <c r="F3" s="52"/>
      <c r="G3" s="52"/>
      <c r="H3" s="52"/>
      <c r="I3" s="52"/>
      <c r="J3" s="53"/>
      <c r="K3" s="54">
        <v>-2.9523905E-05</v>
      </c>
      <c r="L3" s="54">
        <v>1.2584104167593453E-07</v>
      </c>
      <c r="M3" s="54">
        <v>1.2926620000000002E-05</v>
      </c>
      <c r="N3" s="55">
        <v>8.049292267026317E-08</v>
      </c>
    </row>
    <row r="4" spans="1:14" ht="15" customHeight="1">
      <c r="A4" s="56" t="s">
        <v>17</v>
      </c>
      <c r="B4" s="57">
        <v>2</v>
      </c>
      <c r="D4" s="51" t="s">
        <v>55</v>
      </c>
      <c r="E4" s="52"/>
      <c r="F4" s="52"/>
      <c r="G4" s="52"/>
      <c r="H4" s="52"/>
      <c r="I4" s="52"/>
      <c r="J4" s="53"/>
      <c r="K4" s="54">
        <v>-0.003760155140937866</v>
      </c>
      <c r="L4" s="54">
        <v>3.951839701173448E-05</v>
      </c>
      <c r="M4" s="54">
        <v>3.5470554586254476E-08</v>
      </c>
      <c r="N4" s="55">
        <v>-5.2546957</v>
      </c>
    </row>
    <row r="5" spans="1:14" ht="15" customHeight="1" thickBot="1">
      <c r="A5" t="s">
        <v>18</v>
      </c>
      <c r="B5" s="58">
        <v>37826.625752314816</v>
      </c>
      <c r="D5" s="59"/>
      <c r="E5" s="60" t="s">
        <v>76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1955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57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58</v>
      </c>
      <c r="E7" s="73" t="s">
        <v>59</v>
      </c>
      <c r="F7" s="74" t="s">
        <v>60</v>
      </c>
      <c r="G7" s="73" t="s">
        <v>61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1.581981</v>
      </c>
      <c r="E8" s="77">
        <v>0.010548228960356135</v>
      </c>
      <c r="F8" s="77">
        <v>0.37642631</v>
      </c>
      <c r="G8" s="77">
        <v>0.01924026228717784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4">
        <v>-0.8668081399999998</v>
      </c>
      <c r="E9" s="80">
        <v>0.024865183166099876</v>
      </c>
      <c r="F9" s="80">
        <v>0.79826878</v>
      </c>
      <c r="G9" s="80">
        <v>0.0069114153981343785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-1.7806247</v>
      </c>
      <c r="E10" s="80">
        <v>0.004114381066469303</v>
      </c>
      <c r="F10" s="85">
        <v>-2.7399626999999995</v>
      </c>
      <c r="G10" s="80">
        <v>0.006707390152904344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76">
        <v>4.1350454</v>
      </c>
      <c r="E11" s="77">
        <v>0.006506739562983657</v>
      </c>
      <c r="F11" s="77">
        <v>0.021349862999999997</v>
      </c>
      <c r="G11" s="77">
        <v>0.005957988007872799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-0.0194045935</v>
      </c>
      <c r="E12" s="80">
        <v>0.0027764343084932964</v>
      </c>
      <c r="F12" s="80">
        <v>0.16340222999999998</v>
      </c>
      <c r="G12" s="80">
        <v>0.005075440399768406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29.400636</v>
      </c>
      <c r="D13" s="84">
        <v>-0.103198517</v>
      </c>
      <c r="E13" s="80">
        <v>0.0019770160744603457</v>
      </c>
      <c r="F13" s="80">
        <v>-0.17290434999999998</v>
      </c>
      <c r="G13" s="80">
        <v>0.0021706759765118956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-0.0094613134</v>
      </c>
      <c r="E14" s="80">
        <v>0.0027008536957794176</v>
      </c>
      <c r="F14" s="80">
        <v>0.17084419</v>
      </c>
      <c r="G14" s="80">
        <v>0.0014434819546494406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-0.079238051</v>
      </c>
      <c r="E15" s="77">
        <v>0.0007980278533187928</v>
      </c>
      <c r="F15" s="77">
        <v>-0.0029871170999999997</v>
      </c>
      <c r="G15" s="77">
        <v>0.0030385923402204917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4">
        <v>-0.078258512</v>
      </c>
      <c r="E16" s="80">
        <v>0.0019039764923877518</v>
      </c>
      <c r="F16" s="80">
        <v>-0.0029359705999999998</v>
      </c>
      <c r="G16" s="80">
        <v>0.0031700521561964156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0.328000009059906</v>
      </c>
      <c r="D17" s="84">
        <v>0.118749166</v>
      </c>
      <c r="E17" s="80">
        <v>0.0014508863893464446</v>
      </c>
      <c r="F17" s="85">
        <v>-0.15902046</v>
      </c>
      <c r="G17" s="80">
        <v>0.0010286561191153686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11.697999954223633</v>
      </c>
      <c r="D18" s="84">
        <v>0.080681081</v>
      </c>
      <c r="E18" s="80">
        <v>0.002417131601304248</v>
      </c>
      <c r="F18" s="85">
        <v>0.16065963</v>
      </c>
      <c r="G18" s="80">
        <v>0.0012035298951848987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0.1679999977350235</v>
      </c>
      <c r="D19" s="116">
        <v>-0.17363865</v>
      </c>
      <c r="E19" s="80">
        <v>0.00035924298462513475</v>
      </c>
      <c r="F19" s="80">
        <v>0.00133244378</v>
      </c>
      <c r="G19" s="80">
        <v>0.0005836927720298979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0.40905139999999995</v>
      </c>
      <c r="D20" s="90">
        <v>0.00296581396</v>
      </c>
      <c r="E20" s="91">
        <v>0.0008977894474646189</v>
      </c>
      <c r="F20" s="91">
        <v>-0.00352595678</v>
      </c>
      <c r="G20" s="91">
        <v>0.0014798501982003075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0.8655398999999999</v>
      </c>
      <c r="F21" s="3" t="s">
        <v>62</v>
      </c>
    </row>
    <row r="22" spans="1:6" ht="15" customHeight="1">
      <c r="A22" s="56" t="s">
        <v>43</v>
      </c>
      <c r="B22" s="71" t="s">
        <v>44</v>
      </c>
      <c r="F22" s="3" t="s">
        <v>63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64</v>
      </c>
      <c r="B24" s="97">
        <v>-0.3010721405402997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65</v>
      </c>
      <c r="F25" s="103"/>
      <c r="G25" s="104"/>
      <c r="H25" s="105">
        <v>-3.7603628000000002</v>
      </c>
      <c r="I25" s="103" t="s">
        <v>66</v>
      </c>
      <c r="J25" s="104"/>
      <c r="K25" s="103"/>
      <c r="L25" s="106">
        <v>4.135100515913885</v>
      </c>
    </row>
    <row r="26" spans="1:12" ht="18" customHeight="1" thickBot="1">
      <c r="A26" s="56" t="s">
        <v>48</v>
      </c>
      <c r="B26" s="57" t="s">
        <v>49</v>
      </c>
      <c r="E26" s="107" t="s">
        <v>67</v>
      </c>
      <c r="F26" s="108"/>
      <c r="G26" s="109"/>
      <c r="H26" s="110">
        <v>1.6261490249116826</v>
      </c>
      <c r="I26" s="108" t="s">
        <v>68</v>
      </c>
      <c r="J26" s="109"/>
      <c r="K26" s="108"/>
      <c r="L26" s="111">
        <v>0.07929433520023807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 t="s">
        <v>52</v>
      </c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HCMQAP062_B_pos2ap2_1res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53</v>
      </c>
      <c r="E2" s="52"/>
      <c r="F2" s="52"/>
      <c r="G2" s="52"/>
      <c r="H2" s="52"/>
      <c r="I2" s="52"/>
      <c r="J2" s="53"/>
      <c r="K2" s="54">
        <v>-7.222748699999999E-05</v>
      </c>
      <c r="L2" s="54">
        <v>1.15917268456709E-07</v>
      </c>
      <c r="M2" s="54">
        <v>0.00017684333999999998</v>
      </c>
      <c r="N2" s="55">
        <v>1.8370327543538497E-07</v>
      </c>
    </row>
    <row r="3" spans="1:14" ht="15" customHeight="1">
      <c r="A3" s="56" t="s">
        <v>16</v>
      </c>
      <c r="B3" s="57">
        <v>2</v>
      </c>
      <c r="D3" s="51" t="s">
        <v>54</v>
      </c>
      <c r="E3" s="52"/>
      <c r="F3" s="52"/>
      <c r="G3" s="52"/>
      <c r="H3" s="52"/>
      <c r="I3" s="52"/>
      <c r="J3" s="53"/>
      <c r="K3" s="54">
        <v>-2.8480713000000002E-05</v>
      </c>
      <c r="L3" s="54">
        <v>8.700066738794597E-08</v>
      </c>
      <c r="M3" s="54">
        <v>1.15383E-05</v>
      </c>
      <c r="N3" s="55">
        <v>9.987288420784656E-08</v>
      </c>
    </row>
    <row r="4" spans="1:14" ht="15" customHeight="1">
      <c r="A4" s="56" t="s">
        <v>17</v>
      </c>
      <c r="B4" s="57">
        <v>2</v>
      </c>
      <c r="D4" s="51" t="s">
        <v>55</v>
      </c>
      <c r="E4" s="52"/>
      <c r="F4" s="52"/>
      <c r="G4" s="52"/>
      <c r="H4" s="52"/>
      <c r="I4" s="52"/>
      <c r="J4" s="53"/>
      <c r="K4" s="54">
        <v>-0.0037593625924706824</v>
      </c>
      <c r="L4" s="54">
        <v>6.416274942772046E-05</v>
      </c>
      <c r="M4" s="54">
        <v>3.6856995287050233E-08</v>
      </c>
      <c r="N4" s="55">
        <v>-8.5328987</v>
      </c>
    </row>
    <row r="5" spans="1:14" ht="15" customHeight="1" thickBot="1">
      <c r="A5" t="s">
        <v>18</v>
      </c>
      <c r="B5" s="58">
        <v>37826.630277777775</v>
      </c>
      <c r="D5" s="59"/>
      <c r="E5" s="60" t="s">
        <v>76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1955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57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58</v>
      </c>
      <c r="E7" s="73" t="s">
        <v>59</v>
      </c>
      <c r="F7" s="74" t="s">
        <v>60</v>
      </c>
      <c r="G7" s="73" t="s">
        <v>61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0.3729295899999999</v>
      </c>
      <c r="E8" s="77">
        <v>0.011504656246904095</v>
      </c>
      <c r="F8" s="77">
        <v>4.4690677</v>
      </c>
      <c r="G8" s="77">
        <v>0.0075356126729917245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4">
        <v>-0.92433366</v>
      </c>
      <c r="E9" s="80">
        <v>0.01879138619044837</v>
      </c>
      <c r="F9" s="80">
        <v>0.79617726</v>
      </c>
      <c r="G9" s="80">
        <v>0.02357975419590899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0.4149537</v>
      </c>
      <c r="E10" s="80">
        <v>0.006682579204621382</v>
      </c>
      <c r="F10" s="80">
        <v>-1.575224</v>
      </c>
      <c r="G10" s="80">
        <v>0.00588012516872653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76">
        <v>4.347768100000001</v>
      </c>
      <c r="E11" s="77">
        <v>0.004242331427359014</v>
      </c>
      <c r="F11" s="77">
        <v>0.90730451</v>
      </c>
      <c r="G11" s="77">
        <v>0.005007315939036289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116">
        <v>-0.6737688199999999</v>
      </c>
      <c r="E12" s="80">
        <v>0.003444354554436749</v>
      </c>
      <c r="F12" s="80">
        <v>0.5190083699999999</v>
      </c>
      <c r="G12" s="80">
        <v>0.0030923974794256756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29.388429</v>
      </c>
      <c r="D13" s="84">
        <v>-0.326343</v>
      </c>
      <c r="E13" s="80">
        <v>0.001683146873273325</v>
      </c>
      <c r="F13" s="80">
        <v>-0.25154587</v>
      </c>
      <c r="G13" s="80">
        <v>0.0043293435254795655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-0.20634839</v>
      </c>
      <c r="E14" s="80">
        <v>0.0031724179608608027</v>
      </c>
      <c r="F14" s="80">
        <v>-0.17352223000000003</v>
      </c>
      <c r="G14" s="80">
        <v>0.0013043333326242278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-0.11176492</v>
      </c>
      <c r="E15" s="77">
        <v>0.002282090407192254</v>
      </c>
      <c r="F15" s="77">
        <v>-0.13883848999999998</v>
      </c>
      <c r="G15" s="77">
        <v>0.003854610048942269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12.5061</v>
      </c>
      <c r="D16" s="84">
        <v>0.043889814</v>
      </c>
      <c r="E16" s="80">
        <v>0.0011023822260059003</v>
      </c>
      <c r="F16" s="80">
        <v>-0.11350555</v>
      </c>
      <c r="G16" s="80">
        <v>0.0021884740695292146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-0.30799999833106995</v>
      </c>
      <c r="D17" s="84">
        <v>0.11420773000000002</v>
      </c>
      <c r="E17" s="80">
        <v>0.0010733204789792718</v>
      </c>
      <c r="F17" s="80">
        <v>0.011361083470000002</v>
      </c>
      <c r="G17" s="80">
        <v>0.0019085388755161017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64.08699798583984</v>
      </c>
      <c r="D18" s="84">
        <v>-0.049872161</v>
      </c>
      <c r="E18" s="80">
        <v>0.0016337256838508615</v>
      </c>
      <c r="F18" s="80">
        <v>0.14108534</v>
      </c>
      <c r="G18" s="80">
        <v>0.0011214583667695378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-0.42399999499320984</v>
      </c>
      <c r="D19" s="116">
        <v>-0.17748153</v>
      </c>
      <c r="E19" s="80">
        <v>0.0003514010893555321</v>
      </c>
      <c r="F19" s="80">
        <v>-0.0074932574999999986</v>
      </c>
      <c r="G19" s="80">
        <v>0.0019308030368638122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-0.3401519</v>
      </c>
      <c r="D20" s="90">
        <v>0.0082798795</v>
      </c>
      <c r="E20" s="91">
        <v>0.0011195944778221167</v>
      </c>
      <c r="F20" s="91">
        <v>-0.0046830268</v>
      </c>
      <c r="G20" s="91">
        <v>0.0015656948617507344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0.7938917</v>
      </c>
      <c r="F21" s="3" t="s">
        <v>62</v>
      </c>
    </row>
    <row r="22" spans="1:6" ht="15" customHeight="1">
      <c r="A22" s="56" t="s">
        <v>43</v>
      </c>
      <c r="B22" s="71" t="s">
        <v>44</v>
      </c>
      <c r="F22" s="3" t="s">
        <v>63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64</v>
      </c>
      <c r="B24" s="97">
        <v>-0.4888994954784043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65</v>
      </c>
      <c r="F25" s="103"/>
      <c r="G25" s="104"/>
      <c r="H25" s="105">
        <v>-3.7599101000000004</v>
      </c>
      <c r="I25" s="103" t="s">
        <v>66</v>
      </c>
      <c r="J25" s="104"/>
      <c r="K25" s="103"/>
      <c r="L25" s="106">
        <v>4.441428703158923</v>
      </c>
    </row>
    <row r="26" spans="1:12" ht="18" customHeight="1" thickBot="1">
      <c r="A26" s="56" t="s">
        <v>48</v>
      </c>
      <c r="B26" s="57" t="s">
        <v>49</v>
      </c>
      <c r="E26" s="107" t="s">
        <v>67</v>
      </c>
      <c r="F26" s="108"/>
      <c r="G26" s="109"/>
      <c r="H26" s="110">
        <v>4.484600604990466</v>
      </c>
      <c r="I26" s="108" t="s">
        <v>68</v>
      </c>
      <c r="J26" s="109"/>
      <c r="K26" s="108"/>
      <c r="L26" s="111">
        <v>0.1782344625713178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 t="s">
        <v>52</v>
      </c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HCMQAP062_B_pos3ap2_1res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53</v>
      </c>
      <c r="E2" s="52"/>
      <c r="F2" s="52"/>
      <c r="G2" s="52"/>
      <c r="H2" s="52"/>
      <c r="I2" s="52"/>
      <c r="J2" s="53"/>
      <c r="K2" s="54">
        <v>8.6777966E-05</v>
      </c>
      <c r="L2" s="54">
        <v>5.788289237803213E-07</v>
      </c>
      <c r="M2" s="54">
        <v>0.00018944441999999999</v>
      </c>
      <c r="N2" s="55">
        <v>4.586367817841102E-07</v>
      </c>
    </row>
    <row r="3" spans="1:14" ht="15" customHeight="1">
      <c r="A3" s="56" t="s">
        <v>16</v>
      </c>
      <c r="B3" s="57">
        <v>2</v>
      </c>
      <c r="D3" s="51" t="s">
        <v>54</v>
      </c>
      <c r="E3" s="52"/>
      <c r="F3" s="52"/>
      <c r="G3" s="52"/>
      <c r="H3" s="52"/>
      <c r="I3" s="52"/>
      <c r="J3" s="53"/>
      <c r="K3" s="54">
        <v>-2.8756694E-05</v>
      </c>
      <c r="L3" s="54">
        <v>1.0119346680510346E-07</v>
      </c>
      <c r="M3" s="54">
        <v>1.0008800000000005E-05</v>
      </c>
      <c r="N3" s="55">
        <v>1.8524374213448284E-07</v>
      </c>
    </row>
    <row r="4" spans="1:14" ht="15" customHeight="1">
      <c r="A4" s="56" t="s">
        <v>17</v>
      </c>
      <c r="B4" s="57">
        <v>2</v>
      </c>
      <c r="D4" s="51" t="s">
        <v>55</v>
      </c>
      <c r="E4" s="52"/>
      <c r="F4" s="52"/>
      <c r="G4" s="52"/>
      <c r="H4" s="52"/>
      <c r="I4" s="52"/>
      <c r="J4" s="53"/>
      <c r="K4" s="54">
        <v>-0.003759588612127989</v>
      </c>
      <c r="L4" s="54">
        <v>7.498872396905332E-05</v>
      </c>
      <c r="M4" s="54">
        <v>4.626590368646328E-08</v>
      </c>
      <c r="N4" s="55">
        <v>-9.9716737</v>
      </c>
    </row>
    <row r="5" spans="1:14" ht="15" customHeight="1" thickBot="1">
      <c r="A5" t="s">
        <v>18</v>
      </c>
      <c r="B5" s="58">
        <v>37826.63476851852</v>
      </c>
      <c r="D5" s="59"/>
      <c r="E5" s="60" t="s">
        <v>76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1955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57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58</v>
      </c>
      <c r="E7" s="73" t="s">
        <v>59</v>
      </c>
      <c r="F7" s="74" t="s">
        <v>60</v>
      </c>
      <c r="G7" s="73" t="s">
        <v>61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2.8176708000000006</v>
      </c>
      <c r="E8" s="77">
        <v>0.012525316038264496</v>
      </c>
      <c r="F8" s="78">
        <v>5.124516900000001</v>
      </c>
      <c r="G8" s="77">
        <v>0.013379003618911013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4">
        <v>-0.016720068220000002</v>
      </c>
      <c r="E9" s="80">
        <v>0.03281989325841771</v>
      </c>
      <c r="F9" s="80">
        <v>1.5254597999999997</v>
      </c>
      <c r="G9" s="80">
        <v>0.01695673888047524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116">
        <v>-2.3284541</v>
      </c>
      <c r="E10" s="80">
        <v>0.007467342354586147</v>
      </c>
      <c r="F10" s="80">
        <v>-1.7680673000000002</v>
      </c>
      <c r="G10" s="80">
        <v>0.003612260685381141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76">
        <v>4.581193400000001</v>
      </c>
      <c r="E11" s="77">
        <v>0.0038871936574273354</v>
      </c>
      <c r="F11" s="77">
        <v>0.70645144</v>
      </c>
      <c r="G11" s="77">
        <v>0.010874667020439578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-0.5835195000000001</v>
      </c>
      <c r="E12" s="80">
        <v>0.0033616557404074266</v>
      </c>
      <c r="F12" s="85">
        <v>0.7564625700000001</v>
      </c>
      <c r="G12" s="80">
        <v>0.0027008304451665572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29.440308</v>
      </c>
      <c r="D13" s="84">
        <v>-0.17924864000000001</v>
      </c>
      <c r="E13" s="80">
        <v>0.001604849711779374</v>
      </c>
      <c r="F13" s="80">
        <v>-0.14636584000000002</v>
      </c>
      <c r="G13" s="80">
        <v>0.003061517054566346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-0.109312929</v>
      </c>
      <c r="E14" s="80">
        <v>0.002712489317081889</v>
      </c>
      <c r="F14" s="80">
        <v>-0.06466811600000001</v>
      </c>
      <c r="G14" s="80">
        <v>0.0008541683009939699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-0.048525316000000006</v>
      </c>
      <c r="E15" s="77">
        <v>0.002880398995780503</v>
      </c>
      <c r="F15" s="77">
        <v>-0.033797153</v>
      </c>
      <c r="G15" s="77">
        <v>0.0023246710452181976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4">
        <v>-0.089590964</v>
      </c>
      <c r="E16" s="80">
        <v>0.0030390396944455483</v>
      </c>
      <c r="F16" s="80">
        <v>-0.04474116799999999</v>
      </c>
      <c r="G16" s="80">
        <v>0.0019507952735375977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0.36899998784065247</v>
      </c>
      <c r="D17" s="84">
        <v>0.10816569000000001</v>
      </c>
      <c r="E17" s="80">
        <v>0.002107862409641443</v>
      </c>
      <c r="F17" s="85">
        <v>-0.17263693</v>
      </c>
      <c r="G17" s="80">
        <v>0.0014150101814466758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24.413999557495117</v>
      </c>
      <c r="D18" s="84">
        <v>0.091625756</v>
      </c>
      <c r="E18" s="80">
        <v>0.0017878085498550201</v>
      </c>
      <c r="F18" s="85">
        <v>0.15500343</v>
      </c>
      <c r="G18" s="80">
        <v>0.0013514338720799458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0.014999999664723873</v>
      </c>
      <c r="D19" s="116">
        <v>-0.16811645</v>
      </c>
      <c r="E19" s="80">
        <v>0.001636992632848691</v>
      </c>
      <c r="F19" s="80">
        <v>-0.0074086528</v>
      </c>
      <c r="G19" s="80">
        <v>0.0012401973968568748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0.3751992</v>
      </c>
      <c r="D20" s="90">
        <v>0.011260726</v>
      </c>
      <c r="E20" s="91">
        <v>0.0012567040633028649</v>
      </c>
      <c r="F20" s="91">
        <v>-0.00226554393</v>
      </c>
      <c r="G20" s="91">
        <v>0.0010129905953601952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0.8640817000000001</v>
      </c>
      <c r="F21" s="3" t="s">
        <v>62</v>
      </c>
    </row>
    <row r="22" spans="1:6" ht="15" customHeight="1">
      <c r="A22" s="56" t="s">
        <v>43</v>
      </c>
      <c r="B22" s="71" t="s">
        <v>44</v>
      </c>
      <c r="F22" s="3" t="s">
        <v>63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64</v>
      </c>
      <c r="B24" s="97">
        <v>-0.5713353002778848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65</v>
      </c>
      <c r="F25" s="103"/>
      <c r="G25" s="104"/>
      <c r="H25" s="105">
        <v>-3.7603364000000004</v>
      </c>
      <c r="I25" s="103" t="s">
        <v>66</v>
      </c>
      <c r="J25" s="104"/>
      <c r="K25" s="103"/>
      <c r="L25" s="106">
        <v>4.635343202534376</v>
      </c>
    </row>
    <row r="26" spans="1:12" ht="18" customHeight="1" thickBot="1">
      <c r="A26" s="56" t="s">
        <v>48</v>
      </c>
      <c r="B26" s="57" t="s">
        <v>49</v>
      </c>
      <c r="E26" s="107" t="s">
        <v>67</v>
      </c>
      <c r="F26" s="108"/>
      <c r="G26" s="109"/>
      <c r="H26" s="110">
        <v>5.8480716647078</v>
      </c>
      <c r="I26" s="108" t="s">
        <v>68</v>
      </c>
      <c r="J26" s="109"/>
      <c r="K26" s="108"/>
      <c r="L26" s="111">
        <v>0.05913504750826929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 t="s">
        <v>52</v>
      </c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HCMQAP062_B_pos4ap2_1res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"/>
  <dimension ref="A1:G35"/>
  <sheetViews>
    <sheetView workbookViewId="0" topLeftCell="A1">
      <selection activeCell="B2" sqref="B2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1" t="s">
        <v>120</v>
      </c>
      <c r="B1" s="133" t="s">
        <v>129</v>
      </c>
      <c r="C1" s="123" t="s">
        <v>77</v>
      </c>
      <c r="D1" s="123" t="s">
        <v>79</v>
      </c>
      <c r="E1" s="123" t="s">
        <v>81</v>
      </c>
      <c r="F1" s="130" t="s">
        <v>69</v>
      </c>
      <c r="G1" s="166" t="s">
        <v>121</v>
      </c>
    </row>
    <row r="2" spans="1:7" ht="13.5" thickBot="1">
      <c r="A2" s="142" t="s">
        <v>90</v>
      </c>
      <c r="B2" s="134">
        <v>-2.2623939000000006</v>
      </c>
      <c r="C2" s="125">
        <v>-3.7603628000000002</v>
      </c>
      <c r="D2" s="125">
        <v>-3.7599101000000004</v>
      </c>
      <c r="E2" s="125">
        <v>-3.7603364000000004</v>
      </c>
      <c r="F2" s="131">
        <v>-2.0851761000000004</v>
      </c>
      <c r="G2" s="167">
        <v>3.116739001962421</v>
      </c>
    </row>
    <row r="3" spans="1:7" ht="14.25" thickBot="1" thickTop="1">
      <c r="A3" s="150" t="s">
        <v>89</v>
      </c>
      <c r="B3" s="151" t="s">
        <v>84</v>
      </c>
      <c r="C3" s="152" t="s">
        <v>85</v>
      </c>
      <c r="D3" s="152" t="s">
        <v>86</v>
      </c>
      <c r="E3" s="152" t="s">
        <v>87</v>
      </c>
      <c r="F3" s="153" t="s">
        <v>88</v>
      </c>
      <c r="G3" s="161" t="s">
        <v>122</v>
      </c>
    </row>
    <row r="4" spans="1:7" ht="12.75">
      <c r="A4" s="147" t="s">
        <v>91</v>
      </c>
      <c r="B4" s="148">
        <v>0.5680053</v>
      </c>
      <c r="C4" s="149">
        <v>1.581981</v>
      </c>
      <c r="D4" s="149">
        <v>0.3729295899999999</v>
      </c>
      <c r="E4" s="149">
        <v>2.8176708000000006</v>
      </c>
      <c r="F4" s="154">
        <v>-3.6805251999999995</v>
      </c>
      <c r="G4" s="162">
        <v>0.7394913142949243</v>
      </c>
    </row>
    <row r="5" spans="1:7" ht="12.75">
      <c r="A5" s="142" t="s">
        <v>93</v>
      </c>
      <c r="B5" s="136">
        <v>0.09253868000000001</v>
      </c>
      <c r="C5" s="120">
        <v>-0.8668081399999998</v>
      </c>
      <c r="D5" s="120">
        <v>-0.92433366</v>
      </c>
      <c r="E5" s="120">
        <v>-0.016720068220000002</v>
      </c>
      <c r="F5" s="155">
        <v>-2.639407</v>
      </c>
      <c r="G5" s="163">
        <v>-0.7737348571987496</v>
      </c>
    </row>
    <row r="6" spans="1:7" ht="12.75">
      <c r="A6" s="142" t="s">
        <v>95</v>
      </c>
      <c r="B6" s="136">
        <v>0.7660960000000001</v>
      </c>
      <c r="C6" s="120">
        <v>-1.7806247</v>
      </c>
      <c r="D6" s="120">
        <v>0.4149537</v>
      </c>
      <c r="E6" s="121">
        <v>-2.3284541</v>
      </c>
      <c r="F6" s="156">
        <v>1.1428870973999998</v>
      </c>
      <c r="G6" s="163">
        <v>-0.6254756243567525</v>
      </c>
    </row>
    <row r="7" spans="1:7" ht="12.75">
      <c r="A7" s="142" t="s">
        <v>97</v>
      </c>
      <c r="B7" s="135">
        <v>3.7095332000000005</v>
      </c>
      <c r="C7" s="118">
        <v>4.1350454</v>
      </c>
      <c r="D7" s="118">
        <v>4.347768100000001</v>
      </c>
      <c r="E7" s="118">
        <v>4.581193400000001</v>
      </c>
      <c r="F7" s="157">
        <v>14.482662</v>
      </c>
      <c r="G7" s="163">
        <v>5.612595085717015</v>
      </c>
    </row>
    <row r="8" spans="1:7" ht="12.75">
      <c r="A8" s="142" t="s">
        <v>99</v>
      </c>
      <c r="B8" s="136">
        <v>-0.13006139600000002</v>
      </c>
      <c r="C8" s="120">
        <v>-0.0194045935</v>
      </c>
      <c r="D8" s="121">
        <v>-0.6737688199999999</v>
      </c>
      <c r="E8" s="120">
        <v>-0.5835195000000001</v>
      </c>
      <c r="F8" s="156">
        <v>-0.50070198</v>
      </c>
      <c r="G8" s="163">
        <v>-0.3928039160482351</v>
      </c>
    </row>
    <row r="9" spans="1:7" ht="12.75">
      <c r="A9" s="142" t="s">
        <v>101</v>
      </c>
      <c r="B9" s="136">
        <v>0.16834747</v>
      </c>
      <c r="C9" s="120">
        <v>-0.103198517</v>
      </c>
      <c r="D9" s="120">
        <v>-0.326343</v>
      </c>
      <c r="E9" s="120">
        <v>-0.17924864000000001</v>
      </c>
      <c r="F9" s="156">
        <v>0.001040259</v>
      </c>
      <c r="G9" s="163">
        <v>-0.12196442994071104</v>
      </c>
    </row>
    <row r="10" spans="1:7" ht="12.75">
      <c r="A10" s="142" t="s">
        <v>103</v>
      </c>
      <c r="B10" s="136">
        <v>0.16881462</v>
      </c>
      <c r="C10" s="120">
        <v>-0.0094613134</v>
      </c>
      <c r="D10" s="120">
        <v>-0.20634839</v>
      </c>
      <c r="E10" s="120">
        <v>-0.109312929</v>
      </c>
      <c r="F10" s="156">
        <v>0.26850223</v>
      </c>
      <c r="G10" s="163">
        <v>-0.017960067378164458</v>
      </c>
    </row>
    <row r="11" spans="1:7" ht="12.75">
      <c r="A11" s="142" t="s">
        <v>105</v>
      </c>
      <c r="B11" s="135">
        <v>-0.40058035</v>
      </c>
      <c r="C11" s="118">
        <v>-0.079238051</v>
      </c>
      <c r="D11" s="118">
        <v>-0.11176492</v>
      </c>
      <c r="E11" s="118">
        <v>-0.048525316000000006</v>
      </c>
      <c r="F11" s="158">
        <v>-0.34656651</v>
      </c>
      <c r="G11" s="163">
        <v>-0.1618604495372774</v>
      </c>
    </row>
    <row r="12" spans="1:7" ht="12.75">
      <c r="A12" s="142" t="s">
        <v>107</v>
      </c>
      <c r="B12" s="136">
        <v>-0.0128925139</v>
      </c>
      <c r="C12" s="120">
        <v>-0.078258512</v>
      </c>
      <c r="D12" s="120">
        <v>0.043889814</v>
      </c>
      <c r="E12" s="120">
        <v>-0.089590964</v>
      </c>
      <c r="F12" s="156">
        <v>-0.0029410088</v>
      </c>
      <c r="G12" s="163">
        <v>-0.03208635259677348</v>
      </c>
    </row>
    <row r="13" spans="1:7" ht="12.75">
      <c r="A13" s="142" t="s">
        <v>109</v>
      </c>
      <c r="B13" s="137">
        <v>0.19248775</v>
      </c>
      <c r="C13" s="120">
        <v>0.118749166</v>
      </c>
      <c r="D13" s="120">
        <v>0.11420773000000002</v>
      </c>
      <c r="E13" s="120">
        <v>0.10816569000000001</v>
      </c>
      <c r="F13" s="156">
        <v>0.06676607799999999</v>
      </c>
      <c r="G13" s="164">
        <v>0.11884892226579935</v>
      </c>
    </row>
    <row r="14" spans="1:7" ht="12.75">
      <c r="A14" s="142" t="s">
        <v>111</v>
      </c>
      <c r="B14" s="136">
        <v>0.0182059372</v>
      </c>
      <c r="C14" s="120">
        <v>0.080681081</v>
      </c>
      <c r="D14" s="120">
        <v>-0.049872161</v>
      </c>
      <c r="E14" s="120">
        <v>0.091625756</v>
      </c>
      <c r="F14" s="156">
        <v>-0.036834992999999996</v>
      </c>
      <c r="G14" s="163">
        <v>0.02718170206081363</v>
      </c>
    </row>
    <row r="15" spans="1:7" ht="12.75">
      <c r="A15" s="142" t="s">
        <v>113</v>
      </c>
      <c r="B15" s="137">
        <v>-0.18727507999999998</v>
      </c>
      <c r="C15" s="121">
        <v>-0.17363865</v>
      </c>
      <c r="D15" s="121">
        <v>-0.17748153</v>
      </c>
      <c r="E15" s="121">
        <v>-0.16811645</v>
      </c>
      <c r="F15" s="156">
        <v>-0.13215908999999998</v>
      </c>
      <c r="G15" s="163">
        <v>-0.16967416659765439</v>
      </c>
    </row>
    <row r="16" spans="1:7" ht="12.75">
      <c r="A16" s="142" t="s">
        <v>115</v>
      </c>
      <c r="B16" s="136">
        <v>-0.00270830922</v>
      </c>
      <c r="C16" s="120">
        <v>0.00296581396</v>
      </c>
      <c r="D16" s="120">
        <v>0.0082798795</v>
      </c>
      <c r="E16" s="120">
        <v>0.011260726</v>
      </c>
      <c r="F16" s="156">
        <v>-0.00025196071</v>
      </c>
      <c r="G16" s="163">
        <v>0.004989423957062691</v>
      </c>
    </row>
    <row r="17" spans="1:7" ht="12.75">
      <c r="A17" s="142" t="s">
        <v>92</v>
      </c>
      <c r="B17" s="135">
        <v>3.9316444000000006</v>
      </c>
      <c r="C17" s="118">
        <v>0.37642631</v>
      </c>
      <c r="D17" s="118">
        <v>4.4690677</v>
      </c>
      <c r="E17" s="119">
        <v>5.124516900000001</v>
      </c>
      <c r="F17" s="157">
        <v>10.824907999999999</v>
      </c>
      <c r="G17" s="164">
        <v>4.4122521336309575</v>
      </c>
    </row>
    <row r="18" spans="1:7" ht="12.75">
      <c r="A18" s="142" t="s">
        <v>94</v>
      </c>
      <c r="B18" s="136">
        <v>-0.55607495</v>
      </c>
      <c r="C18" s="120">
        <v>0.79826878</v>
      </c>
      <c r="D18" s="120">
        <v>0.79617726</v>
      </c>
      <c r="E18" s="120">
        <v>1.5254597999999997</v>
      </c>
      <c r="F18" s="156">
        <v>-0.439208764</v>
      </c>
      <c r="G18" s="163">
        <v>0.6115676549876979</v>
      </c>
    </row>
    <row r="19" spans="1:7" ht="12.75">
      <c r="A19" s="142" t="s">
        <v>96</v>
      </c>
      <c r="B19" s="136">
        <v>-1.491393</v>
      </c>
      <c r="C19" s="121">
        <v>-2.7399626999999995</v>
      </c>
      <c r="D19" s="120">
        <v>-1.575224</v>
      </c>
      <c r="E19" s="120">
        <v>-1.7680673000000002</v>
      </c>
      <c r="F19" s="159">
        <v>-7.2903002</v>
      </c>
      <c r="G19" s="164">
        <v>-2.652270596117207</v>
      </c>
    </row>
    <row r="20" spans="1:7" ht="12.75">
      <c r="A20" s="142" t="s">
        <v>98</v>
      </c>
      <c r="B20" s="135">
        <v>0.8362505800000001</v>
      </c>
      <c r="C20" s="118">
        <v>0.021349862999999997</v>
      </c>
      <c r="D20" s="118">
        <v>0.90730451</v>
      </c>
      <c r="E20" s="118">
        <v>0.70645144</v>
      </c>
      <c r="F20" s="157">
        <v>2.8319878000000003</v>
      </c>
      <c r="G20" s="163">
        <v>0.8923165588018501</v>
      </c>
    </row>
    <row r="21" spans="1:7" ht="12.75">
      <c r="A21" s="142" t="s">
        <v>100</v>
      </c>
      <c r="B21" s="136">
        <v>0.32456005</v>
      </c>
      <c r="C21" s="120">
        <v>0.16340222999999998</v>
      </c>
      <c r="D21" s="120">
        <v>0.5190083699999999</v>
      </c>
      <c r="E21" s="121">
        <v>0.7564625700000001</v>
      </c>
      <c r="F21" s="156">
        <v>0.5360121</v>
      </c>
      <c r="G21" s="164">
        <v>0.4646985662763437</v>
      </c>
    </row>
    <row r="22" spans="1:7" ht="12.75">
      <c r="A22" s="142" t="s">
        <v>102</v>
      </c>
      <c r="B22" s="136">
        <v>-0.13598259699999998</v>
      </c>
      <c r="C22" s="120">
        <v>-0.17290434999999998</v>
      </c>
      <c r="D22" s="120">
        <v>-0.25154587</v>
      </c>
      <c r="E22" s="120">
        <v>-0.14636584000000002</v>
      </c>
      <c r="F22" s="156">
        <v>-0.17584398</v>
      </c>
      <c r="G22" s="163">
        <v>-0.18048613002391642</v>
      </c>
    </row>
    <row r="23" spans="1:7" ht="12.75">
      <c r="A23" s="142" t="s">
        <v>104</v>
      </c>
      <c r="B23" s="137">
        <v>0.5948361099999999</v>
      </c>
      <c r="C23" s="120">
        <v>0.17084419</v>
      </c>
      <c r="D23" s="120">
        <v>-0.17352223000000003</v>
      </c>
      <c r="E23" s="120">
        <v>-0.06466811600000001</v>
      </c>
      <c r="F23" s="156">
        <v>0.36747203999999994</v>
      </c>
      <c r="G23" s="163">
        <v>0.11894103256137836</v>
      </c>
    </row>
    <row r="24" spans="1:7" ht="12.75">
      <c r="A24" s="142" t="s">
        <v>106</v>
      </c>
      <c r="B24" s="135">
        <v>0.055174994</v>
      </c>
      <c r="C24" s="118">
        <v>-0.0029871170999999997</v>
      </c>
      <c r="D24" s="118">
        <v>-0.13883848999999998</v>
      </c>
      <c r="E24" s="118">
        <v>-0.033797153</v>
      </c>
      <c r="F24" s="158">
        <v>0.28673483</v>
      </c>
      <c r="G24" s="163">
        <v>0.003991420480285739</v>
      </c>
    </row>
    <row r="25" spans="1:7" ht="12.75">
      <c r="A25" s="142" t="s">
        <v>108</v>
      </c>
      <c r="B25" s="136">
        <v>-0.083867136</v>
      </c>
      <c r="C25" s="120">
        <v>-0.0029359705999999998</v>
      </c>
      <c r="D25" s="120">
        <v>-0.11350555</v>
      </c>
      <c r="E25" s="120">
        <v>-0.04474116799999999</v>
      </c>
      <c r="F25" s="156">
        <v>0.0125133255</v>
      </c>
      <c r="G25" s="163">
        <v>-0.04925083184314718</v>
      </c>
    </row>
    <row r="26" spans="1:7" ht="12.75">
      <c r="A26" s="142" t="s">
        <v>110</v>
      </c>
      <c r="B26" s="136">
        <v>-0.051057331000000004</v>
      </c>
      <c r="C26" s="121">
        <v>-0.15902046</v>
      </c>
      <c r="D26" s="120">
        <v>0.011361083470000002</v>
      </c>
      <c r="E26" s="121">
        <v>-0.17263693</v>
      </c>
      <c r="F26" s="156">
        <v>0.0064233527</v>
      </c>
      <c r="G26" s="163">
        <v>-0.08360211699600312</v>
      </c>
    </row>
    <row r="27" spans="1:7" ht="12.75">
      <c r="A27" s="142" t="s">
        <v>112</v>
      </c>
      <c r="B27" s="137">
        <v>0.2008048</v>
      </c>
      <c r="C27" s="121">
        <v>0.16065963</v>
      </c>
      <c r="D27" s="120">
        <v>0.14108534</v>
      </c>
      <c r="E27" s="121">
        <v>0.15500343</v>
      </c>
      <c r="F27" s="156">
        <v>0.10524234400000002</v>
      </c>
      <c r="G27" s="164">
        <v>0.15300695365857803</v>
      </c>
    </row>
    <row r="28" spans="1:7" ht="12.75">
      <c r="A28" s="142" t="s">
        <v>114</v>
      </c>
      <c r="B28" s="136">
        <v>0.0016956762</v>
      </c>
      <c r="C28" s="120">
        <v>0.00133244378</v>
      </c>
      <c r="D28" s="120">
        <v>-0.0074932574999999986</v>
      </c>
      <c r="E28" s="120">
        <v>-0.0074086528</v>
      </c>
      <c r="F28" s="156">
        <v>-0.028642716000000002</v>
      </c>
      <c r="G28" s="163">
        <v>-0.006840934355199117</v>
      </c>
    </row>
    <row r="29" spans="1:7" ht="13.5" thickBot="1">
      <c r="A29" s="143" t="s">
        <v>116</v>
      </c>
      <c r="B29" s="138">
        <v>-0.0004173018110000001</v>
      </c>
      <c r="C29" s="122">
        <v>-0.00352595678</v>
      </c>
      <c r="D29" s="122">
        <v>-0.0046830268</v>
      </c>
      <c r="E29" s="122">
        <v>-0.00226554393</v>
      </c>
      <c r="F29" s="160">
        <v>0.0050434512</v>
      </c>
      <c r="G29" s="165">
        <v>-0.001907673336426179</v>
      </c>
    </row>
    <row r="30" spans="1:7" ht="13.5" thickTop="1">
      <c r="A30" s="144" t="s">
        <v>117</v>
      </c>
      <c r="B30" s="139">
        <v>-0.07592778370188343</v>
      </c>
      <c r="C30" s="128">
        <v>-0.3010721405402997</v>
      </c>
      <c r="D30" s="128">
        <v>-0.4888994954784043</v>
      </c>
      <c r="E30" s="128">
        <v>-0.5713353002778848</v>
      </c>
      <c r="F30" s="124">
        <v>-0.614502337988089</v>
      </c>
      <c r="G30" s="166" t="s">
        <v>128</v>
      </c>
    </row>
    <row r="31" spans="1:7" ht="13.5" thickBot="1">
      <c r="A31" s="145" t="s">
        <v>118</v>
      </c>
      <c r="B31" s="134">
        <v>29.418946</v>
      </c>
      <c r="C31" s="125">
        <v>29.400636</v>
      </c>
      <c r="D31" s="125">
        <v>29.388429</v>
      </c>
      <c r="E31" s="125">
        <v>29.440308</v>
      </c>
      <c r="F31" s="126">
        <v>29.531861</v>
      </c>
      <c r="G31" s="168">
        <v>-210.04</v>
      </c>
    </row>
    <row r="32" spans="1:7" ht="15.75" thickBot="1" thickTop="1">
      <c r="A32" s="146" t="s">
        <v>119</v>
      </c>
      <c r="B32" s="140">
        <v>-0.317500002682209</v>
      </c>
      <c r="C32" s="129">
        <v>0.24800000339746475</v>
      </c>
      <c r="D32" s="129">
        <v>-0.3659999966621399</v>
      </c>
      <c r="E32" s="129">
        <v>0.19199999375268817</v>
      </c>
      <c r="F32" s="127">
        <v>-0.19500000029802322</v>
      </c>
      <c r="G32" s="132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10.66015625" defaultRowHeight="12.75"/>
  <cols>
    <col min="1" max="1" width="49.33203125" style="169" bestFit="1" customWidth="1"/>
    <col min="2" max="2" width="15.66015625" style="169" bestFit="1" customWidth="1"/>
    <col min="3" max="3" width="14.83203125" style="169" bestFit="1" customWidth="1"/>
    <col min="4" max="4" width="16" style="169" bestFit="1" customWidth="1"/>
    <col min="5" max="5" width="21.33203125" style="169" bestFit="1" customWidth="1"/>
    <col min="6" max="7" width="14.83203125" style="169" bestFit="1" customWidth="1"/>
    <col min="8" max="8" width="14.16015625" style="169" bestFit="1" customWidth="1"/>
    <col min="9" max="9" width="14.83203125" style="169" bestFit="1" customWidth="1"/>
    <col min="10" max="10" width="6.33203125" style="169" bestFit="1" customWidth="1"/>
    <col min="11" max="11" width="15" style="169" bestFit="1" customWidth="1"/>
    <col min="12" max="16384" width="10.66015625" style="169" customWidth="1"/>
  </cols>
  <sheetData>
    <row r="1" spans="1:5" ht="12.75">
      <c r="A1" s="169" t="s">
        <v>130</v>
      </c>
      <c r="B1" s="169" t="s">
        <v>131</v>
      </c>
      <c r="C1" s="169" t="s">
        <v>132</v>
      </c>
      <c r="D1" s="169" t="s">
        <v>133</v>
      </c>
      <c r="E1" s="169" t="s">
        <v>134</v>
      </c>
    </row>
    <row r="3" spans="1:8" ht="12.75">
      <c r="A3" s="169" t="s">
        <v>135</v>
      </c>
      <c r="B3" s="169" t="s">
        <v>84</v>
      </c>
      <c r="C3" s="169" t="s">
        <v>85</v>
      </c>
      <c r="D3" s="169" t="s">
        <v>86</v>
      </c>
      <c r="E3" s="169" t="s">
        <v>87</v>
      </c>
      <c r="F3" s="169" t="s">
        <v>88</v>
      </c>
      <c r="G3" s="169" t="s">
        <v>136</v>
      </c>
      <c r="H3"/>
    </row>
    <row r="4" spans="1:8" ht="12.75">
      <c r="A4" s="169" t="s">
        <v>137</v>
      </c>
      <c r="B4" s="169">
        <v>0.002261</v>
      </c>
      <c r="C4" s="169">
        <v>0.003758</v>
      </c>
      <c r="D4" s="169">
        <v>0.003758</v>
      </c>
      <c r="E4" s="169">
        <v>0.003758</v>
      </c>
      <c r="F4" s="169">
        <v>0.002084</v>
      </c>
      <c r="G4" s="169">
        <v>0.011713</v>
      </c>
      <c r="H4"/>
    </row>
    <row r="5" spans="1:8" ht="12.75">
      <c r="A5" s="169" t="s">
        <v>138</v>
      </c>
      <c r="B5" s="169">
        <v>6.027469</v>
      </c>
      <c r="C5" s="169">
        <v>2.232357</v>
      </c>
      <c r="D5" s="169">
        <v>-1.507872</v>
      </c>
      <c r="E5" s="169">
        <v>-2.414606</v>
      </c>
      <c r="F5" s="169">
        <v>-3.59525</v>
      </c>
      <c r="G5" s="169">
        <v>-7.234031</v>
      </c>
      <c r="H5"/>
    </row>
    <row r="6" spans="1:8" ht="12.75">
      <c r="A6" s="169" t="s">
        <v>139</v>
      </c>
      <c r="B6" s="170">
        <v>-137.554</v>
      </c>
      <c r="C6" s="170">
        <v>-311.4978</v>
      </c>
      <c r="D6" s="170">
        <v>122.2586</v>
      </c>
      <c r="E6" s="170">
        <v>-301.0138</v>
      </c>
      <c r="F6" s="170">
        <v>-40.11595</v>
      </c>
      <c r="G6" s="170">
        <v>1015.579</v>
      </c>
      <c r="H6"/>
    </row>
    <row r="7" spans="1:8" ht="12.75">
      <c r="A7" s="169" t="s">
        <v>140</v>
      </c>
      <c r="B7" s="170">
        <v>10000</v>
      </c>
      <c r="C7" s="170">
        <v>10000</v>
      </c>
      <c r="D7" s="170">
        <v>10000</v>
      </c>
      <c r="E7" s="170">
        <v>10000</v>
      </c>
      <c r="F7" s="170">
        <v>10000</v>
      </c>
      <c r="G7" s="170">
        <v>10000</v>
      </c>
      <c r="H7"/>
    </row>
    <row r="8" spans="1:8" ht="12.75">
      <c r="A8" s="169" t="s">
        <v>141</v>
      </c>
      <c r="B8" s="170">
        <v>0.5108953</v>
      </c>
      <c r="C8" s="170">
        <v>1.531543</v>
      </c>
      <c r="D8" s="170">
        <v>0.4794842</v>
      </c>
      <c r="E8" s="170">
        <v>2.851113</v>
      </c>
      <c r="F8" s="170">
        <v>-3.472924</v>
      </c>
      <c r="G8" s="170">
        <v>4.436308</v>
      </c>
      <c r="H8"/>
    </row>
    <row r="9" spans="1:8" ht="12.75">
      <c r="A9" s="169" t="s">
        <v>93</v>
      </c>
      <c r="B9" s="170">
        <v>0.1620582</v>
      </c>
      <c r="C9" s="170">
        <v>-0.9821916</v>
      </c>
      <c r="D9" s="170">
        <v>-0.9578917</v>
      </c>
      <c r="E9" s="170">
        <v>-0.1369682</v>
      </c>
      <c r="F9" s="170">
        <v>-2.802111</v>
      </c>
      <c r="G9" s="170">
        <v>0.8502058</v>
      </c>
      <c r="H9"/>
    </row>
    <row r="10" spans="1:8" ht="12.75">
      <c r="A10" s="169" t="s">
        <v>142</v>
      </c>
      <c r="B10" s="170">
        <v>0.7771218</v>
      </c>
      <c r="C10" s="170">
        <v>-1.392418</v>
      </c>
      <c r="D10" s="170">
        <v>-0.1736347</v>
      </c>
      <c r="E10" s="170">
        <v>-1.999096</v>
      </c>
      <c r="F10" s="170">
        <v>0.2498169</v>
      </c>
      <c r="G10" s="170">
        <v>2.705232</v>
      </c>
      <c r="H10"/>
    </row>
    <row r="11" spans="1:8" ht="12.75">
      <c r="A11" s="169" t="s">
        <v>97</v>
      </c>
      <c r="B11" s="170">
        <v>3.652695</v>
      </c>
      <c r="C11" s="170">
        <v>4.130106</v>
      </c>
      <c r="D11" s="170">
        <v>4.471454</v>
      </c>
      <c r="E11" s="170">
        <v>4.537039</v>
      </c>
      <c r="F11" s="170">
        <v>14.58185</v>
      </c>
      <c r="G11" s="170">
        <v>5.63557</v>
      </c>
      <c r="H11"/>
    </row>
    <row r="12" spans="1:8" ht="12.75">
      <c r="A12" s="169" t="s">
        <v>143</v>
      </c>
      <c r="B12" s="170">
        <v>-0.1332655</v>
      </c>
      <c r="C12" s="170">
        <v>-0.03279988</v>
      </c>
      <c r="D12" s="170">
        <v>-0.6142496</v>
      </c>
      <c r="E12" s="170">
        <v>-0.589729</v>
      </c>
      <c r="F12" s="170">
        <v>-0.4917736</v>
      </c>
      <c r="G12" s="170">
        <v>0.4756464</v>
      </c>
      <c r="H12"/>
    </row>
    <row r="13" spans="1:8" ht="12.75">
      <c r="A13" s="169" t="s">
        <v>101</v>
      </c>
      <c r="B13" s="170">
        <v>0.1263536</v>
      </c>
      <c r="C13" s="170">
        <v>-0.1039415</v>
      </c>
      <c r="D13" s="170">
        <v>-0.2928381</v>
      </c>
      <c r="E13" s="170">
        <v>-0.1962242</v>
      </c>
      <c r="F13" s="170">
        <v>-0.02087505</v>
      </c>
      <c r="G13" s="170">
        <v>0.1271538</v>
      </c>
      <c r="H13"/>
    </row>
    <row r="14" spans="1:8" ht="12.75">
      <c r="A14" s="169" t="s">
        <v>103</v>
      </c>
      <c r="B14" s="170">
        <v>0.1317964</v>
      </c>
      <c r="C14" s="170">
        <v>-0.02668148</v>
      </c>
      <c r="D14" s="170">
        <v>-0.1840301</v>
      </c>
      <c r="E14" s="170">
        <v>-0.1189634</v>
      </c>
      <c r="F14" s="170">
        <v>0.3209338</v>
      </c>
      <c r="G14" s="170">
        <v>-0.1187584</v>
      </c>
      <c r="H14"/>
    </row>
    <row r="15" spans="1:8" ht="12.75">
      <c r="A15" s="169" t="s">
        <v>105</v>
      </c>
      <c r="B15" s="170">
        <v>-0.3962226</v>
      </c>
      <c r="C15" s="170">
        <v>-0.09112141</v>
      </c>
      <c r="D15" s="170">
        <v>-0.1253237</v>
      </c>
      <c r="E15" s="170">
        <v>-0.06157622</v>
      </c>
      <c r="F15" s="170">
        <v>-0.3362019</v>
      </c>
      <c r="G15" s="170">
        <v>-0.1691087</v>
      </c>
      <c r="H15"/>
    </row>
    <row r="16" spans="1:8" ht="12.75">
      <c r="A16" s="169" t="s">
        <v>107</v>
      </c>
      <c r="B16" s="170">
        <v>-0.006275</v>
      </c>
      <c r="C16" s="170">
        <v>-0.05419668</v>
      </c>
      <c r="D16" s="170">
        <v>0.004248888</v>
      </c>
      <c r="E16" s="170">
        <v>-0.07297599</v>
      </c>
      <c r="F16" s="170">
        <v>-0.01175949</v>
      </c>
      <c r="G16" s="170">
        <v>-0.06047115</v>
      </c>
      <c r="H16"/>
    </row>
    <row r="17" spans="1:8" ht="12.75">
      <c r="A17" s="169" t="s">
        <v>144</v>
      </c>
      <c r="B17" s="170">
        <v>0.1742037</v>
      </c>
      <c r="C17" s="170">
        <v>0.1376512</v>
      </c>
      <c r="D17" s="170">
        <v>0.1333026</v>
      </c>
      <c r="E17" s="170">
        <v>0.1199436</v>
      </c>
      <c r="F17" s="170">
        <v>0.07549177</v>
      </c>
      <c r="G17" s="170">
        <v>-0.1293546</v>
      </c>
      <c r="H17"/>
    </row>
    <row r="18" spans="1:8" ht="12.75">
      <c r="A18" s="169" t="s">
        <v>145</v>
      </c>
      <c r="B18" s="170">
        <v>0.0009597479</v>
      </c>
      <c r="C18" s="170">
        <v>0.06373374</v>
      </c>
      <c r="D18" s="170">
        <v>-0.02795608</v>
      </c>
      <c r="E18" s="170">
        <v>0.08582088</v>
      </c>
      <c r="F18" s="170">
        <v>-0.02658933</v>
      </c>
      <c r="G18" s="170">
        <v>-0.1534799</v>
      </c>
      <c r="H18"/>
    </row>
    <row r="19" spans="1:8" ht="12.75">
      <c r="A19" s="169" t="s">
        <v>113</v>
      </c>
      <c r="B19" s="170">
        <v>-0.1862706</v>
      </c>
      <c r="C19" s="170">
        <v>-0.1739702</v>
      </c>
      <c r="D19" s="170">
        <v>-0.1778128</v>
      </c>
      <c r="E19" s="170">
        <v>-0.1681781</v>
      </c>
      <c r="F19" s="170">
        <v>-0.133053</v>
      </c>
      <c r="G19" s="170">
        <v>-0.1698204</v>
      </c>
      <c r="H19"/>
    </row>
    <row r="20" spans="1:8" ht="12.75">
      <c r="A20" s="169" t="s">
        <v>115</v>
      </c>
      <c r="B20" s="170">
        <v>-0.002300645</v>
      </c>
      <c r="C20" s="170">
        <v>0.003298243</v>
      </c>
      <c r="D20" s="170">
        <v>0.008173516</v>
      </c>
      <c r="E20" s="170">
        <v>0.01099086</v>
      </c>
      <c r="F20" s="170">
        <v>0.0001028774</v>
      </c>
      <c r="G20" s="170">
        <v>-0.002051093</v>
      </c>
      <c r="H20"/>
    </row>
    <row r="21" spans="1:8" ht="12.75">
      <c r="A21" s="169" t="s">
        <v>146</v>
      </c>
      <c r="B21" s="170">
        <v>-1113.145</v>
      </c>
      <c r="C21" s="170">
        <v>-1016.561</v>
      </c>
      <c r="D21" s="170">
        <v>-976.5514</v>
      </c>
      <c r="E21" s="170">
        <v>-1012.969</v>
      </c>
      <c r="F21" s="170">
        <v>-983.0245</v>
      </c>
      <c r="G21" s="170">
        <v>-143.2138</v>
      </c>
      <c r="H21"/>
    </row>
    <row r="22" spans="1:8" ht="12.75">
      <c r="A22" s="169" t="s">
        <v>147</v>
      </c>
      <c r="B22" s="170">
        <v>120.5552</v>
      </c>
      <c r="C22" s="170">
        <v>44.64744</v>
      </c>
      <c r="D22" s="170">
        <v>-30.15753</v>
      </c>
      <c r="E22" s="170">
        <v>-48.29249</v>
      </c>
      <c r="F22" s="170">
        <v>-71.90624</v>
      </c>
      <c r="G22" s="170">
        <v>0</v>
      </c>
      <c r="H22"/>
    </row>
    <row r="23" spans="1:8" ht="12.75">
      <c r="A23" s="169" t="s">
        <v>92</v>
      </c>
      <c r="B23" s="170">
        <v>3.952194</v>
      </c>
      <c r="C23" s="170">
        <v>0.4249803</v>
      </c>
      <c r="D23" s="170">
        <v>4.408471</v>
      </c>
      <c r="E23" s="170">
        <v>5.173505</v>
      </c>
      <c r="F23" s="170">
        <v>10.91532</v>
      </c>
      <c r="G23" s="170">
        <v>-0.7802531</v>
      </c>
      <c r="H23"/>
    </row>
    <row r="24" spans="1:8" ht="12.75">
      <c r="A24" s="169" t="s">
        <v>94</v>
      </c>
      <c r="B24" s="170">
        <v>-0.5233566</v>
      </c>
      <c r="C24" s="170">
        <v>0.602145</v>
      </c>
      <c r="D24" s="170">
        <v>0.9824005</v>
      </c>
      <c r="E24" s="170">
        <v>1.422107</v>
      </c>
      <c r="F24" s="170">
        <v>-0.06420412</v>
      </c>
      <c r="G24" s="170">
        <v>-0.6390447</v>
      </c>
      <c r="H24"/>
    </row>
    <row r="25" spans="1:8" ht="12.75">
      <c r="A25" s="169" t="s">
        <v>96</v>
      </c>
      <c r="B25" s="170">
        <v>-1.278857</v>
      </c>
      <c r="C25" s="170">
        <v>-2.749779</v>
      </c>
      <c r="D25" s="170">
        <v>-1.774209</v>
      </c>
      <c r="E25" s="170">
        <v>-1.689826</v>
      </c>
      <c r="F25" s="170">
        <v>-7.681718</v>
      </c>
      <c r="G25" s="170">
        <v>-0.7118021</v>
      </c>
      <c r="H25"/>
    </row>
    <row r="26" spans="1:8" ht="12.75">
      <c r="A26" s="169" t="s">
        <v>98</v>
      </c>
      <c r="B26" s="170">
        <v>0.9603899</v>
      </c>
      <c r="C26" s="170">
        <v>0.09301713</v>
      </c>
      <c r="D26" s="170">
        <v>0.7935804</v>
      </c>
      <c r="E26" s="170">
        <v>0.7106302</v>
      </c>
      <c r="F26" s="170">
        <v>2.491766</v>
      </c>
      <c r="G26" s="170">
        <v>0.8562689</v>
      </c>
      <c r="H26"/>
    </row>
    <row r="27" spans="1:8" ht="12.75">
      <c r="A27" s="169" t="s">
        <v>100</v>
      </c>
      <c r="B27" s="170">
        <v>0.3268225</v>
      </c>
      <c r="C27" s="170">
        <v>0.1427315</v>
      </c>
      <c r="D27" s="170">
        <v>0.5769567</v>
      </c>
      <c r="E27" s="170">
        <v>0.7495393</v>
      </c>
      <c r="F27" s="170">
        <v>0.561114</v>
      </c>
      <c r="G27" s="170">
        <v>0.3825278</v>
      </c>
      <c r="H27"/>
    </row>
    <row r="28" spans="1:8" ht="12.75">
      <c r="A28" s="169" t="s">
        <v>102</v>
      </c>
      <c r="B28" s="170">
        <v>-0.1161556</v>
      </c>
      <c r="C28" s="170">
        <v>-0.1508394</v>
      </c>
      <c r="D28" s="170">
        <v>-0.2080358</v>
      </c>
      <c r="E28" s="170">
        <v>-0.1498785</v>
      </c>
      <c r="F28" s="170">
        <v>-0.2164086</v>
      </c>
      <c r="G28" s="170">
        <v>0.1681115</v>
      </c>
      <c r="H28"/>
    </row>
    <row r="29" spans="1:8" ht="12.75">
      <c r="A29" s="169" t="s">
        <v>104</v>
      </c>
      <c r="B29" s="170">
        <v>0.5658812</v>
      </c>
      <c r="C29" s="170">
        <v>0.1691948</v>
      </c>
      <c r="D29" s="170">
        <v>-0.137189</v>
      </c>
      <c r="E29" s="170">
        <v>-0.06730552</v>
      </c>
      <c r="F29" s="170">
        <v>0.3397806</v>
      </c>
      <c r="G29" s="170">
        <v>-0.01743342</v>
      </c>
      <c r="H29"/>
    </row>
    <row r="30" spans="1:8" ht="12.75">
      <c r="A30" s="169" t="s">
        <v>106</v>
      </c>
      <c r="B30" s="170">
        <v>0.0311047</v>
      </c>
      <c r="C30" s="170">
        <v>-0.008094526</v>
      </c>
      <c r="D30" s="170">
        <v>-0.1068936</v>
      </c>
      <c r="E30" s="170">
        <v>-0.04130035</v>
      </c>
      <c r="F30" s="170">
        <v>0.2973055</v>
      </c>
      <c r="G30" s="170">
        <v>0.00654687</v>
      </c>
      <c r="H30"/>
    </row>
    <row r="31" spans="1:8" ht="12.75">
      <c r="A31" s="169" t="s">
        <v>108</v>
      </c>
      <c r="B31" s="170">
        <v>-0.06688713</v>
      </c>
      <c r="C31" s="170">
        <v>-0.03101885</v>
      </c>
      <c r="D31" s="170">
        <v>-0.1160517</v>
      </c>
      <c r="E31" s="170">
        <v>-0.06930008</v>
      </c>
      <c r="F31" s="170">
        <v>0.009554148</v>
      </c>
      <c r="G31" s="170">
        <v>0.03204533</v>
      </c>
      <c r="H31"/>
    </row>
    <row r="32" spans="1:8" ht="12.75">
      <c r="A32" s="169" t="s">
        <v>110</v>
      </c>
      <c r="B32" s="170">
        <v>-0.03550314</v>
      </c>
      <c r="C32" s="170">
        <v>-0.1224104</v>
      </c>
      <c r="D32" s="170">
        <v>-0.03559171</v>
      </c>
      <c r="E32" s="170">
        <v>-0.1483741</v>
      </c>
      <c r="F32" s="170">
        <v>-0.01071177</v>
      </c>
      <c r="G32" s="170">
        <v>0.08026411</v>
      </c>
      <c r="H32"/>
    </row>
    <row r="33" spans="1:8" ht="12.75">
      <c r="A33" s="169" t="s">
        <v>112</v>
      </c>
      <c r="B33" s="170">
        <v>0.194636</v>
      </c>
      <c r="C33" s="170">
        <v>0.1628045</v>
      </c>
      <c r="D33" s="170">
        <v>0.145349</v>
      </c>
      <c r="E33" s="170">
        <v>0.1519781</v>
      </c>
      <c r="F33" s="170">
        <v>0.1093508</v>
      </c>
      <c r="G33" s="170">
        <v>0.02582223</v>
      </c>
      <c r="H33"/>
    </row>
    <row r="34" spans="1:8" ht="12.75">
      <c r="A34" s="169" t="s">
        <v>114</v>
      </c>
      <c r="B34" s="170">
        <v>-0.01403274</v>
      </c>
      <c r="C34" s="170">
        <v>-0.004180997</v>
      </c>
      <c r="D34" s="170">
        <v>-0.003681766</v>
      </c>
      <c r="E34" s="170">
        <v>-0.001726233</v>
      </c>
      <c r="F34" s="170">
        <v>-0.02196484</v>
      </c>
      <c r="G34" s="170">
        <v>-0.007302162</v>
      </c>
      <c r="H34"/>
    </row>
    <row r="35" spans="1:8" ht="12.75">
      <c r="A35" s="169" t="s">
        <v>116</v>
      </c>
      <c r="B35" s="170">
        <v>-0.000618915</v>
      </c>
      <c r="C35" s="170">
        <v>-0.003400246</v>
      </c>
      <c r="D35" s="170">
        <v>-0.00486919</v>
      </c>
      <c r="E35" s="170">
        <v>-0.002692911</v>
      </c>
      <c r="F35" s="170">
        <v>0.005058698</v>
      </c>
      <c r="G35" s="170">
        <v>-0.005085744</v>
      </c>
      <c r="H35"/>
    </row>
    <row r="36" spans="1:6" ht="12.75">
      <c r="A36" s="169" t="s">
        <v>148</v>
      </c>
      <c r="B36" s="170">
        <v>29.53186</v>
      </c>
      <c r="C36" s="170">
        <v>29.52271</v>
      </c>
      <c r="D36" s="170">
        <v>29.52576</v>
      </c>
      <c r="E36" s="170">
        <v>29.51355</v>
      </c>
      <c r="F36" s="170">
        <v>29.5166</v>
      </c>
    </row>
    <row r="37" spans="1:6" ht="12.75">
      <c r="A37" s="169" t="s">
        <v>149</v>
      </c>
      <c r="B37" s="170">
        <v>-0.2034505</v>
      </c>
      <c r="C37" s="170">
        <v>-0.1541138</v>
      </c>
      <c r="D37" s="170">
        <v>-0.1363119</v>
      </c>
      <c r="E37" s="170">
        <v>-0.1205444</v>
      </c>
      <c r="F37" s="170">
        <v>-0.1149495</v>
      </c>
    </row>
    <row r="38" spans="1:7" ht="12.75">
      <c r="A38" s="169" t="s">
        <v>150</v>
      </c>
      <c r="B38" s="170">
        <v>0.0002566177</v>
      </c>
      <c r="C38" s="170">
        <v>0.0005372513</v>
      </c>
      <c r="D38" s="170">
        <v>-0.0002128442</v>
      </c>
      <c r="E38" s="170">
        <v>0.0005033954</v>
      </c>
      <c r="F38" s="170">
        <v>5.617766E-05</v>
      </c>
      <c r="G38" s="170">
        <v>0.00011549</v>
      </c>
    </row>
    <row r="39" spans="1:7" ht="12.75">
      <c r="A39" s="169" t="s">
        <v>151</v>
      </c>
      <c r="B39" s="170">
        <v>0.001889253</v>
      </c>
      <c r="C39" s="170">
        <v>0.001725756</v>
      </c>
      <c r="D39" s="170">
        <v>0.001659496</v>
      </c>
      <c r="E39" s="170">
        <v>0.001724478</v>
      </c>
      <c r="F39" s="170">
        <v>0.001671546</v>
      </c>
      <c r="G39" s="170">
        <v>0.0008641003</v>
      </c>
    </row>
    <row r="40" spans="2:5" ht="12.75">
      <c r="B40" s="169" t="s">
        <v>152</v>
      </c>
      <c r="C40" s="169">
        <v>0.003758</v>
      </c>
      <c r="D40" s="169" t="s">
        <v>153</v>
      </c>
      <c r="E40" s="169">
        <v>3.11674</v>
      </c>
    </row>
    <row r="42" ht="12.75">
      <c r="A42" s="169" t="s">
        <v>154</v>
      </c>
    </row>
    <row r="50" spans="1:8" ht="12.75">
      <c r="A50" s="169" t="s">
        <v>155</v>
      </c>
      <c r="B50" s="169">
        <f>-0.017/(B7*B7+B22*B22)*(B21*B22+B6*B7)</f>
        <v>0.00025661772539621965</v>
      </c>
      <c r="C50" s="169">
        <f>-0.017/(C7*C7+C22*C22)*(C21*C22+C6*C7)</f>
        <v>0.0005372513143282331</v>
      </c>
      <c r="D50" s="169">
        <f>-0.017/(D7*D7+D22*D22)*(D21*D22+D6*D7)</f>
        <v>-0.00021284424851547907</v>
      </c>
      <c r="E50" s="169">
        <f>-0.017/(E7*E7+E22*E22)*(E21*E22+E6*E7)</f>
        <v>0.0005033955247863436</v>
      </c>
      <c r="F50" s="169">
        <f>-0.017/(F7*F7+F22*F22)*(F21*F22+F6*F7)</f>
        <v>5.61776590741184E-05</v>
      </c>
      <c r="G50" s="169">
        <f>(B50*B$4+C50*C$4+D50*D$4+E50*E$4+F50*F$4)/SUM(B$4:F$4)</f>
        <v>0.0002438164449774457</v>
      </c>
      <c r="H50"/>
    </row>
    <row r="51" spans="1:8" ht="12.75">
      <c r="A51" s="169" t="s">
        <v>156</v>
      </c>
      <c r="B51" s="169">
        <f>-0.017/(B7*B7+B22*B22)*(B21*B7-B6*B22)</f>
        <v>0.0018892528398791314</v>
      </c>
      <c r="C51" s="169">
        <f>-0.017/(C7*C7+C22*C22)*(C21*C7-C6*C22)</f>
        <v>0.0017257550104178613</v>
      </c>
      <c r="D51" s="169">
        <f>-0.017/(D7*D7+D22*D22)*(D21*D7-D6*D22)</f>
        <v>0.001659495494319007</v>
      </c>
      <c r="E51" s="169">
        <f>-0.017/(E7*E7+E22*E22)*(E21*E7-E6*E22)</f>
        <v>0.0017244783223346791</v>
      </c>
      <c r="F51" s="169">
        <f>-0.017/(F7*F7+F22*F22)*(F21*F7-F6*F22)</f>
        <v>0.0016715456024236023</v>
      </c>
      <c r="G51" s="169">
        <f>(B51*B$4+C51*C$4+D51*D$4+E51*E$4+F51*F$4)/SUM(B$4:F$4)</f>
        <v>0.0017259403699694201</v>
      </c>
      <c r="H51"/>
    </row>
    <row r="58" ht="12.75">
      <c r="A58" s="169" t="s">
        <v>157</v>
      </c>
    </row>
    <row r="60" spans="2:6" ht="12.75">
      <c r="B60" s="169" t="s">
        <v>84</v>
      </c>
      <c r="C60" s="169" t="s">
        <v>85</v>
      </c>
      <c r="D60" s="169" t="s">
        <v>86</v>
      </c>
      <c r="E60" s="169" t="s">
        <v>87</v>
      </c>
      <c r="F60" s="169" t="s">
        <v>88</v>
      </c>
    </row>
    <row r="61" spans="1:6" ht="12.75">
      <c r="A61" s="169" t="s">
        <v>159</v>
      </c>
      <c r="B61" s="169">
        <f>B6+(1/0.017)*(B7*B50-B22*B51)</f>
        <v>0</v>
      </c>
      <c r="C61" s="169">
        <f>C6+(1/0.017)*(C7*C50-C22*C51)</f>
        <v>0</v>
      </c>
      <c r="D61" s="169">
        <f>D6+(1/0.017)*(D7*D50-D22*D51)</f>
        <v>0</v>
      </c>
      <c r="E61" s="169">
        <f>E6+(1/0.017)*(E7*E50-E22*E51)</f>
        <v>0</v>
      </c>
      <c r="F61" s="169">
        <f>F6+(1/0.017)*(F7*F50-F22*F51)</f>
        <v>0</v>
      </c>
    </row>
    <row r="62" spans="1:6" ht="12.75">
      <c r="A62" s="169" t="s">
        <v>162</v>
      </c>
      <c r="B62" s="169">
        <f>B7+(2/0.017)*(B8*B50-B23*B51)</f>
        <v>9999.136989535476</v>
      </c>
      <c r="C62" s="169">
        <f>C7+(2/0.017)*(C8*C50-C23*C51)</f>
        <v>10000.010519012665</v>
      </c>
      <c r="D62" s="169">
        <f>D7+(2/0.017)*(D8*D50-D23*D51)</f>
        <v>9999.127306680522</v>
      </c>
      <c r="E62" s="169">
        <f>E7+(2/0.017)*(E8*E50-E23*E51)</f>
        <v>9999.11925180022</v>
      </c>
      <c r="F62" s="169">
        <f>F7+(2/0.017)*(F8*F50-F23*F51)</f>
        <v>9997.830522836999</v>
      </c>
    </row>
    <row r="63" spans="1:6" ht="12.75">
      <c r="A63" s="169" t="s">
        <v>163</v>
      </c>
      <c r="B63" s="169">
        <f>B8+(3/0.017)*(B9*B50-B24*B51)</f>
        <v>0.6927199969679928</v>
      </c>
      <c r="C63" s="169">
        <f>C8+(3/0.017)*(C9*C50-C24*C51)</f>
        <v>1.2550420919817271</v>
      </c>
      <c r="D63" s="169">
        <f>D8+(3/0.017)*(D9*D50-D24*D51)</f>
        <v>0.22776523570805446</v>
      </c>
      <c r="E63" s="169">
        <f>E8+(3/0.017)*(E9*E50-E24*E51)</f>
        <v>2.4061703166249804</v>
      </c>
      <c r="F63" s="169">
        <f>F8+(3/0.017)*(F9*F50-F24*F51)</f>
        <v>-3.481764456823946</v>
      </c>
    </row>
    <row r="64" spans="1:6" ht="12.75">
      <c r="A64" s="169" t="s">
        <v>164</v>
      </c>
      <c r="B64" s="169">
        <f>B9+(4/0.017)*(B10*B50-B25*B51)</f>
        <v>0.7774717171108523</v>
      </c>
      <c r="C64" s="169">
        <f>C9+(4/0.017)*(C10*C50-C25*C51)</f>
        <v>-0.04163477971822904</v>
      </c>
      <c r="D64" s="169">
        <f>D9+(4/0.017)*(D10*D50-D25*D51)</f>
        <v>-0.25642134971342556</v>
      </c>
      <c r="E64" s="169">
        <f>E9+(4/0.017)*(E10*E50-E25*E51)</f>
        <v>0.31190999423511556</v>
      </c>
      <c r="F64" s="169">
        <f>F9+(4/0.017)*(F10*F50-F25*F51)</f>
        <v>0.22244807543467804</v>
      </c>
    </row>
    <row r="65" spans="1:6" ht="12.75">
      <c r="A65" s="169" t="s">
        <v>165</v>
      </c>
      <c r="B65" s="169">
        <f>B10+(5/0.017)*(B11*B50-B26*B51)</f>
        <v>0.5191591342646793</v>
      </c>
      <c r="C65" s="169">
        <f>C10+(5/0.017)*(C11*C50-C26*C51)</f>
        <v>-0.7870120886286082</v>
      </c>
      <c r="D65" s="169">
        <f>D10+(5/0.017)*(D11*D50-D26*D51)</f>
        <v>-0.8408895131121789</v>
      </c>
      <c r="E65" s="169">
        <f>E10+(5/0.017)*(E11*E50-E26*E51)</f>
        <v>-1.6877846019750735</v>
      </c>
      <c r="F65" s="169">
        <f>F10+(5/0.017)*(F11*F50-F26*F51)</f>
        <v>-0.734279071058446</v>
      </c>
    </row>
    <row r="66" spans="1:6" ht="12.75">
      <c r="A66" s="169" t="s">
        <v>166</v>
      </c>
      <c r="B66" s="169">
        <f>B11+(6/0.017)*(B12*B50-B27*B51)</f>
        <v>3.4227013673840516</v>
      </c>
      <c r="C66" s="169">
        <f>C11+(6/0.017)*(C12*C50-C27*C51)</f>
        <v>4.036950218855553</v>
      </c>
      <c r="D66" s="169">
        <f>D11+(6/0.017)*(D12*D50-D27*D51)</f>
        <v>4.179671335451448</v>
      </c>
      <c r="E66" s="169">
        <f>E11+(6/0.017)*(E12*E50-E27*E51)</f>
        <v>3.9760632774030698</v>
      </c>
      <c r="F66" s="169">
        <f>F11+(6/0.017)*(F12*F50-F27*F51)</f>
        <v>14.241066119246787</v>
      </c>
    </row>
    <row r="67" spans="1:6" ht="12.75">
      <c r="A67" s="169" t="s">
        <v>167</v>
      </c>
      <c r="B67" s="169">
        <f>B12+(7/0.017)*(B13*B50-B28*B51)</f>
        <v>-0.02955355328421075</v>
      </c>
      <c r="C67" s="169">
        <f>C12+(7/0.017)*(C13*C50-C28*C51)</f>
        <v>0.0513932964594842</v>
      </c>
      <c r="D67" s="169">
        <f>D12+(7/0.017)*(D13*D50-D28*D51)</f>
        <v>-0.4464293854930732</v>
      </c>
      <c r="E67" s="169">
        <f>E12+(7/0.017)*(E13*E50-E28*E51)</f>
        <v>-0.5239768305473644</v>
      </c>
      <c r="F67" s="169">
        <f>F12+(7/0.017)*(F13*F50-F28*F51)</f>
        <v>-0.34330601614693224</v>
      </c>
    </row>
    <row r="68" spans="1:6" ht="12.75">
      <c r="A68" s="169" t="s">
        <v>168</v>
      </c>
      <c r="B68" s="169">
        <f>B13+(8/0.017)*(B14*B50-B29*B51)</f>
        <v>-0.3608329278827296</v>
      </c>
      <c r="C68" s="169">
        <f>C13+(8/0.017)*(C14*C50-C29*C51)</f>
        <v>-0.24809370425170368</v>
      </c>
      <c r="D68" s="169">
        <f>D13+(8/0.017)*(D14*D50-D29*D51)</f>
        <v>-0.16726902907818414</v>
      </c>
      <c r="E68" s="169">
        <f>E13+(8/0.017)*(E14*E50-E29*E51)</f>
        <v>-0.16978595668701388</v>
      </c>
      <c r="F68" s="169">
        <f>F13+(8/0.017)*(F14*F50-F29*F51)</f>
        <v>-0.2796653832315726</v>
      </c>
    </row>
    <row r="69" spans="1:6" ht="12.75">
      <c r="A69" s="169" t="s">
        <v>169</v>
      </c>
      <c r="B69" s="169">
        <f>B14+(9/0.017)*(B15*B50-B30*B51)</f>
        <v>0.046856313732912866</v>
      </c>
      <c r="C69" s="169">
        <f>C14+(9/0.017)*(C15*C50-C30*C51)</f>
        <v>-0.04520344213884455</v>
      </c>
      <c r="D69" s="169">
        <f>D14+(9/0.017)*(D15*D50-D30*D51)</f>
        <v>-0.07599628312512013</v>
      </c>
      <c r="E69" s="169">
        <f>E14+(9/0.017)*(E15*E50-E30*E51)</f>
        <v>-0.09766814810075403</v>
      </c>
      <c r="F69" s="169">
        <f>F14+(9/0.017)*(F15*F50-F30*F51)</f>
        <v>0.047838468742553486</v>
      </c>
    </row>
    <row r="70" spans="1:6" ht="12.75">
      <c r="A70" s="169" t="s">
        <v>170</v>
      </c>
      <c r="B70" s="169">
        <f>B15+(10/0.017)*(B16*B50-B31*B51)</f>
        <v>-0.322836468189998</v>
      </c>
      <c r="C70" s="169">
        <f>C15+(10/0.017)*(C16*C50-C31*C51)</f>
        <v>-0.07676041103372153</v>
      </c>
      <c r="D70" s="169">
        <f>D15+(10/0.017)*(D16*D50-D31*D51)</f>
        <v>-0.012569040067838447</v>
      </c>
      <c r="E70" s="169">
        <f>E15+(10/0.017)*(E16*E50-E31*E51)</f>
        <v>-0.012887573580467007</v>
      </c>
      <c r="F70" s="169">
        <f>F15+(10/0.017)*(F16*F50-F31*F51)</f>
        <v>-0.3459847321731822</v>
      </c>
    </row>
    <row r="71" spans="1:6" ht="12.75">
      <c r="A71" s="169" t="s">
        <v>171</v>
      </c>
      <c r="B71" s="169">
        <f>B16+(11/0.017)*(B17*B50-B32*B51)</f>
        <v>0.06605204814773823</v>
      </c>
      <c r="C71" s="169">
        <f>C16+(11/0.017)*(C17*C50-C32*C51)</f>
        <v>0.13034685774748492</v>
      </c>
      <c r="D71" s="169">
        <f>D16+(11/0.017)*(D17*D50-D32*D51)</f>
        <v>0.02410815254337892</v>
      </c>
      <c r="E71" s="169">
        <f>E16+(11/0.017)*(E17*E50-E32*E51)</f>
        <v>0.1316544156258525</v>
      </c>
      <c r="F71" s="169">
        <f>F16+(11/0.017)*(F17*F50-F32*F51)</f>
        <v>0.002570380147763715</v>
      </c>
    </row>
    <row r="72" spans="1:6" ht="12.75">
      <c r="A72" s="169" t="s">
        <v>172</v>
      </c>
      <c r="B72" s="169">
        <f>B17+(12/0.017)*(B18*B50-B33*B51)</f>
        <v>-0.08518711935505616</v>
      </c>
      <c r="C72" s="169">
        <f>C17+(12/0.017)*(C18*C50-C33*C51)</f>
        <v>-0.03650384424342645</v>
      </c>
      <c r="D72" s="169">
        <f>D17+(12/0.017)*(D18*D50-D33*D51)</f>
        <v>-0.032760261010401</v>
      </c>
      <c r="E72" s="169">
        <f>E17+(12/0.017)*(E18*E50-E33*E51)</f>
        <v>-0.034560700231331495</v>
      </c>
      <c r="F72" s="169">
        <f>F17+(12/0.017)*(F18*F50-F33*F51)</f>
        <v>-0.05458722424276617</v>
      </c>
    </row>
    <row r="73" spans="1:6" ht="12.75">
      <c r="A73" s="169" t="s">
        <v>173</v>
      </c>
      <c r="B73" s="169">
        <f>B18+(13/0.017)*(B19*B50-B34*B51)</f>
        <v>-0.015320032640632157</v>
      </c>
      <c r="C73" s="169">
        <f>C18+(13/0.017)*(C19*C50-C34*C51)</f>
        <v>-0.0022224039455585876</v>
      </c>
      <c r="D73" s="169">
        <f>D18+(13/0.017)*(D19*D50-D34*D51)</f>
        <v>0.005657565673377121</v>
      </c>
      <c r="E73" s="169">
        <f>E18+(13/0.017)*(E19*E50-E34*E51)</f>
        <v>0.02335721707349834</v>
      </c>
      <c r="F73" s="169">
        <f>F18+(13/0.017)*(F19*F50-F34*F51)</f>
        <v>-0.004228851571591669</v>
      </c>
    </row>
    <row r="74" spans="1:6" ht="12.75">
      <c r="A74" s="169" t="s">
        <v>174</v>
      </c>
      <c r="B74" s="169">
        <f>B19+(14/0.017)*(B20*B50-B35*B51)</f>
        <v>-0.18579385830095915</v>
      </c>
      <c r="C74" s="169">
        <f>C19+(14/0.017)*(C20*C50-C35*C51)</f>
        <v>-0.16767845426998348</v>
      </c>
      <c r="D74" s="169">
        <f>D19+(14/0.017)*(D20*D50-D35*D51)</f>
        <v>-0.17259103635686618</v>
      </c>
      <c r="E74" s="169">
        <f>E19+(14/0.017)*(E20*E50-E35*E51)</f>
        <v>-0.15979735709797543</v>
      </c>
      <c r="F74" s="169">
        <f>F19+(14/0.017)*(F20*F50-F35*F51)</f>
        <v>-0.1400118770459645</v>
      </c>
    </row>
    <row r="75" spans="1:6" ht="12.75">
      <c r="A75" s="169" t="s">
        <v>175</v>
      </c>
      <c r="B75" s="170">
        <f>B20</f>
        <v>-0.002300645</v>
      </c>
      <c r="C75" s="170">
        <f>C20</f>
        <v>0.003298243</v>
      </c>
      <c r="D75" s="170">
        <f>D20</f>
        <v>0.008173516</v>
      </c>
      <c r="E75" s="170">
        <f>E20</f>
        <v>0.01099086</v>
      </c>
      <c r="F75" s="170">
        <f>F20</f>
        <v>0.0001028774</v>
      </c>
    </row>
    <row r="78" ht="12.75">
      <c r="A78" s="169" t="s">
        <v>157</v>
      </c>
    </row>
    <row r="80" spans="2:6" ht="12.75">
      <c r="B80" s="169" t="s">
        <v>84</v>
      </c>
      <c r="C80" s="169" t="s">
        <v>85</v>
      </c>
      <c r="D80" s="169" t="s">
        <v>86</v>
      </c>
      <c r="E80" s="169" t="s">
        <v>87</v>
      </c>
      <c r="F80" s="169" t="s">
        <v>88</v>
      </c>
    </row>
    <row r="81" spans="1:6" ht="12.75">
      <c r="A81" s="169" t="s">
        <v>176</v>
      </c>
      <c r="B81" s="169">
        <f>B21+(1/0.017)*(B7*B51+B22*B50)</f>
        <v>0</v>
      </c>
      <c r="C81" s="169">
        <f>C21+(1/0.017)*(C7*C51+C22*C50)</f>
        <v>0</v>
      </c>
      <c r="D81" s="169">
        <f>D21+(1/0.017)*(D7*D51+D22*D50)</f>
        <v>0</v>
      </c>
      <c r="E81" s="169">
        <f>E21+(1/0.017)*(E7*E51+E22*E50)</f>
        <v>0</v>
      </c>
      <c r="F81" s="169">
        <f>F21+(1/0.017)*(F7*F51+F22*F50)</f>
        <v>0</v>
      </c>
    </row>
    <row r="82" spans="1:6" ht="12.75">
      <c r="A82" s="169" t="s">
        <v>177</v>
      </c>
      <c r="B82" s="169">
        <f>B22+(2/0.017)*(B8*B51+B23*B50)</f>
        <v>120.78807216835418</v>
      </c>
      <c r="C82" s="169">
        <f>C22+(2/0.017)*(C8*C51+C23*C50)</f>
        <v>44.98525049772459</v>
      </c>
      <c r="D82" s="169">
        <f>D22+(2/0.017)*(D8*D51+D23*D50)</f>
        <v>-30.17430833265884</v>
      </c>
      <c r="E82" s="169">
        <f>E22+(2/0.017)*(E8*E51+E23*E50)</f>
        <v>-47.40766625558984</v>
      </c>
      <c r="F82" s="169">
        <f>F22+(2/0.017)*(F8*F51+F23*F50)</f>
        <v>-72.51705808401252</v>
      </c>
    </row>
    <row r="83" spans="1:6" ht="12.75">
      <c r="A83" s="169" t="s">
        <v>178</v>
      </c>
      <c r="B83" s="169">
        <f>B23+(3/0.017)*(B9*B51+B24*B50)</f>
        <v>3.9825233531139883</v>
      </c>
      <c r="C83" s="169">
        <f>C23+(3/0.017)*(C9*C51+C24*C50)</f>
        <v>0.18294755607808905</v>
      </c>
      <c r="D83" s="169">
        <f>D23+(3/0.017)*(D9*D51+D24*D50)</f>
        <v>4.091050660642475</v>
      </c>
      <c r="E83" s="169">
        <f>E23+(3/0.017)*(E9*E51+E24*E50)</f>
        <v>5.258155048438494</v>
      </c>
      <c r="F83" s="169">
        <f>F23+(3/0.017)*(F9*F51+F24*F50)</f>
        <v>10.088120619402826</v>
      </c>
    </row>
    <row r="84" spans="1:6" ht="12.75">
      <c r="A84" s="169" t="s">
        <v>179</v>
      </c>
      <c r="B84" s="169">
        <f>B24+(4/0.017)*(B10*B51+B25*B50)</f>
        <v>-0.2551207898506002</v>
      </c>
      <c r="C84" s="169">
        <f>C24+(4/0.017)*(C10*C51+C25*C50)</f>
        <v>-0.3108655228136922</v>
      </c>
      <c r="D84" s="169">
        <f>D24+(4/0.017)*(D10*D51+D25*D50)</f>
        <v>1.0034556009428157</v>
      </c>
      <c r="E84" s="169">
        <f>E24+(4/0.017)*(E10*E51+E25*E50)</f>
        <v>0.41080145592151185</v>
      </c>
      <c r="F84" s="169">
        <f>F24+(4/0.017)*(F10*F51+F25*F50)</f>
        <v>-0.0674889657179816</v>
      </c>
    </row>
    <row r="85" spans="1:6" ht="12.75">
      <c r="A85" s="169" t="s">
        <v>180</v>
      </c>
      <c r="B85" s="169">
        <f>B25+(5/0.017)*(B11*B51+B26*B50)</f>
        <v>0.8232951981158259</v>
      </c>
      <c r="C85" s="169">
        <f>C25+(5/0.017)*(C11*C51+C26*C50)</f>
        <v>-0.6387423239987027</v>
      </c>
      <c r="D85" s="169">
        <f>D25+(5/0.017)*(D11*D51+D26*D50)</f>
        <v>0.3585700418176727</v>
      </c>
      <c r="E85" s="169">
        <f>E25+(5/0.017)*(E11*E51+E26*E50)</f>
        <v>0.7165720781014806</v>
      </c>
      <c r="F85" s="169">
        <f>F25+(5/0.017)*(F11*F51+F26*F50)</f>
        <v>-0.4716565813114455</v>
      </c>
    </row>
    <row r="86" spans="1:6" ht="12.75">
      <c r="A86" s="169" t="s">
        <v>181</v>
      </c>
      <c r="B86" s="169">
        <f>B26+(6/0.017)*(B12*B51+B27*B50)</f>
        <v>0.9011297431383742</v>
      </c>
      <c r="C86" s="169">
        <f>C26+(6/0.017)*(C12*C51+C27*C50)</f>
        <v>0.10010352837174198</v>
      </c>
      <c r="D86" s="169">
        <f>D26+(6/0.017)*(D12*D51+D27*D50)</f>
        <v>0.39046992041480366</v>
      </c>
      <c r="E86" s="169">
        <f>E26+(6/0.017)*(E12*E51+E27*E50)</f>
        <v>0.48486779507742844</v>
      </c>
      <c r="F86" s="169">
        <f>F26+(6/0.017)*(F12*F51+F27*F50)</f>
        <v>2.212766025597303</v>
      </c>
    </row>
    <row r="87" spans="1:6" ht="12.75">
      <c r="A87" s="169" t="s">
        <v>182</v>
      </c>
      <c r="B87" s="169">
        <f>B27+(7/0.017)*(B13*B51+B28*B50)</f>
        <v>0.4128427460208489</v>
      </c>
      <c r="C87" s="169">
        <f>C27+(7/0.017)*(C13*C51+C28*C50)</f>
        <v>0.03550128751618757</v>
      </c>
      <c r="D87" s="169">
        <f>D27+(7/0.017)*(D13*D51+D28*D50)</f>
        <v>0.3950867007060379</v>
      </c>
      <c r="E87" s="169">
        <f>E27+(7/0.017)*(E13*E51+E28*E50)</f>
        <v>0.579137663667407</v>
      </c>
      <c r="F87" s="169">
        <f>F27+(7/0.017)*(F13*F51+F28*F50)</f>
        <v>0.5417400890555494</v>
      </c>
    </row>
    <row r="88" spans="1:6" ht="12.75">
      <c r="A88" s="169" t="s">
        <v>183</v>
      </c>
      <c r="B88" s="169">
        <f>B28+(8/0.017)*(B14*B51+B29*B50)</f>
        <v>0.06935586794086082</v>
      </c>
      <c r="C88" s="169">
        <f>C28+(8/0.017)*(C14*C51+C29*C50)</f>
        <v>-0.12973143252605243</v>
      </c>
      <c r="D88" s="169">
        <f>D28+(8/0.017)*(D14*D51+D29*D50)</f>
        <v>-0.3380109680750524</v>
      </c>
      <c r="E88" s="169">
        <f>E28+(8/0.017)*(E14*E51+E29*E50)</f>
        <v>-0.2623637244765398</v>
      </c>
      <c r="F88" s="169">
        <f>F28+(8/0.017)*(F14*F51+F29*F50)</f>
        <v>0.04502366388983309</v>
      </c>
    </row>
    <row r="89" spans="1:6" ht="12.75">
      <c r="A89" s="169" t="s">
        <v>184</v>
      </c>
      <c r="B89" s="169">
        <f>B29+(9/0.017)*(B15*B51+B30*B50)</f>
        <v>0.17380802975291465</v>
      </c>
      <c r="C89" s="169">
        <f>C29+(9/0.017)*(C15*C51+C30*C50)</f>
        <v>0.08364078697848011</v>
      </c>
      <c r="D89" s="169">
        <f>D29+(9/0.017)*(D15*D51+D30*D50)</f>
        <v>-0.23524793221555615</v>
      </c>
      <c r="E89" s="169">
        <f>E29+(9/0.017)*(E15*E51+E30*E50)</f>
        <v>-0.13452877948886982</v>
      </c>
      <c r="F89" s="169">
        <f>F29+(9/0.017)*(F15*F51+F30*F50)</f>
        <v>0.051105663290329784</v>
      </c>
    </row>
    <row r="90" spans="1:6" ht="12.75">
      <c r="A90" s="169" t="s">
        <v>185</v>
      </c>
      <c r="B90" s="169">
        <f>B30+(10/0.017)*(B16*B51+B31*B50)</f>
        <v>0.014034414865221882</v>
      </c>
      <c r="C90" s="169">
        <f>C30+(10/0.017)*(C16*C51+C31*C50)</f>
        <v>-0.07291517893497872</v>
      </c>
      <c r="D90" s="169">
        <f>D30+(10/0.017)*(D16*D51+D31*D50)</f>
        <v>-0.0882159839015824</v>
      </c>
      <c r="E90" s="169">
        <f>E30+(10/0.017)*(E16*E51+E31*E50)</f>
        <v>-0.13584791643838112</v>
      </c>
      <c r="F90" s="169">
        <f>F30+(10/0.017)*(F16*F51+F31*F50)</f>
        <v>0.28605856227814314</v>
      </c>
    </row>
    <row r="91" spans="1:6" ht="12.75">
      <c r="A91" s="169" t="s">
        <v>186</v>
      </c>
      <c r="B91" s="169">
        <f>B31+(11/0.017)*(B17*B51+B32*B50)</f>
        <v>0.14017434641314797</v>
      </c>
      <c r="C91" s="169">
        <f>C31+(11/0.017)*(C17*C51+C32*C50)</f>
        <v>0.08013750869579116</v>
      </c>
      <c r="D91" s="169">
        <f>D31+(11/0.017)*(D17*D51+D32*D50)</f>
        <v>0.031989247255455086</v>
      </c>
      <c r="E91" s="169">
        <f>E31+(11/0.017)*(E17*E51+E32*E50)</f>
        <v>0.016208277756140227</v>
      </c>
      <c r="F91" s="169">
        <f>F31+(11/0.017)*(F17*F51+F32*F50)</f>
        <v>0.09081578999969825</v>
      </c>
    </row>
    <row r="92" spans="1:6" ht="12.75">
      <c r="A92" s="169" t="s">
        <v>187</v>
      </c>
      <c r="B92" s="169">
        <f>B32+(12/0.017)*(B18*B51+B33*B50)</f>
        <v>0.0010335099147258664</v>
      </c>
      <c r="C92" s="169">
        <f>C32+(12/0.017)*(C18*C51+C33*C50)</f>
        <v>0.016970131346743578</v>
      </c>
      <c r="D92" s="169">
        <f>D32+(12/0.017)*(D18*D51+D33*D50)</f>
        <v>-0.0901773717479751</v>
      </c>
      <c r="E92" s="169">
        <f>E32+(12/0.017)*(E18*E51+E33*E50)</f>
        <v>0.010097435931212151</v>
      </c>
      <c r="F92" s="169">
        <f>F32+(12/0.017)*(F18*F51+F33*F50)</f>
        <v>-0.037748621061887894</v>
      </c>
    </row>
    <row r="93" spans="1:6" ht="12.75">
      <c r="A93" s="169" t="s">
        <v>188</v>
      </c>
      <c r="B93" s="169">
        <f>B33+(13/0.017)*(B19*B51+B34*B50)</f>
        <v>-0.07722711930154483</v>
      </c>
      <c r="C93" s="169">
        <f>C33+(13/0.017)*(C19*C51+C34*C50)</f>
        <v>-0.06850082210641453</v>
      </c>
      <c r="D93" s="169">
        <f>D33+(13/0.017)*(D19*D51+D34*D50)</f>
        <v>-0.0797008041348217</v>
      </c>
      <c r="E93" s="169">
        <f>E33+(13/0.017)*(E19*E51+E34*E50)</f>
        <v>-0.07046602083581419</v>
      </c>
      <c r="F93" s="169">
        <f>F33+(13/0.017)*(F19*F51+F34*F50)</f>
        <v>-0.06166656319536862</v>
      </c>
    </row>
    <row r="94" spans="1:6" ht="12.75">
      <c r="A94" s="169" t="s">
        <v>189</v>
      </c>
      <c r="B94" s="169">
        <f>B34+(14/0.017)*(B20*B51+B35*B50)</f>
        <v>-0.01774300736649662</v>
      </c>
      <c r="C94" s="169">
        <f>C34+(14/0.017)*(C20*C51+C35*C50)</f>
        <v>-0.000997913558587735</v>
      </c>
      <c r="D94" s="169">
        <f>D34+(14/0.017)*(D20*D51+D35*D50)</f>
        <v>0.008342003932731034</v>
      </c>
      <c r="E94" s="169">
        <f>E34+(14/0.017)*(E20*E51+E35*E50)</f>
        <v>0.01276615562051434</v>
      </c>
      <c r="F94" s="169">
        <f>F34+(14/0.017)*(F20*F51+F35*F50)</f>
        <v>-0.0215891869952786</v>
      </c>
    </row>
    <row r="95" spans="1:6" ht="12.75">
      <c r="A95" s="169" t="s">
        <v>190</v>
      </c>
      <c r="B95" s="170">
        <f>B35</f>
        <v>-0.000618915</v>
      </c>
      <c r="C95" s="170">
        <f>C35</f>
        <v>-0.003400246</v>
      </c>
      <c r="D95" s="170">
        <f>D35</f>
        <v>-0.00486919</v>
      </c>
      <c r="E95" s="170">
        <f>E35</f>
        <v>-0.002692911</v>
      </c>
      <c r="F95" s="170">
        <f>F35</f>
        <v>0.005058698</v>
      </c>
    </row>
    <row r="98" ht="12.75">
      <c r="A98" s="169" t="s">
        <v>158</v>
      </c>
    </row>
    <row r="100" spans="2:11" ht="12.75">
      <c r="B100" s="169" t="s">
        <v>84</v>
      </c>
      <c r="C100" s="169" t="s">
        <v>85</v>
      </c>
      <c r="D100" s="169" t="s">
        <v>86</v>
      </c>
      <c r="E100" s="169" t="s">
        <v>87</v>
      </c>
      <c r="F100" s="169" t="s">
        <v>88</v>
      </c>
      <c r="G100" s="169" t="s">
        <v>160</v>
      </c>
      <c r="H100" s="169" t="s">
        <v>161</v>
      </c>
      <c r="I100" s="169" t="s">
        <v>194</v>
      </c>
      <c r="K100" s="169" t="s">
        <v>191</v>
      </c>
    </row>
    <row r="101" spans="1:9" ht="12.75">
      <c r="A101" s="169" t="s">
        <v>159</v>
      </c>
      <c r="B101" s="169">
        <f>B61*10000/B62</f>
        <v>0</v>
      </c>
      <c r="C101" s="169">
        <f>C61*10000/C62</f>
        <v>0</v>
      </c>
      <c r="D101" s="169">
        <f>D61*10000/D62</f>
        <v>0</v>
      </c>
      <c r="E101" s="169">
        <f>E61*10000/E62</f>
        <v>0</v>
      </c>
      <c r="F101" s="169">
        <f>F61*10000/F62</f>
        <v>0</v>
      </c>
      <c r="G101" s="169">
        <f>AVERAGE(C101:E101)</f>
        <v>0</v>
      </c>
      <c r="H101" s="169">
        <f>STDEV(C101:E101)</f>
        <v>0</v>
      </c>
      <c r="I101" s="169">
        <f>(B101*B4+C101*C4+D101*D4+E101*E4+F101*F4)/SUM(B4:F4)</f>
        <v>0</v>
      </c>
    </row>
    <row r="102" spans="1:9" ht="12.75">
      <c r="A102" s="169" t="s">
        <v>162</v>
      </c>
      <c r="B102" s="169">
        <f>B62*10000/B62</f>
        <v>10000</v>
      </c>
      <c r="C102" s="169">
        <f>C62*10000/C62</f>
        <v>10000</v>
      </c>
      <c r="D102" s="169">
        <f>D62*10000/D62</f>
        <v>10000</v>
      </c>
      <c r="E102" s="169">
        <f>E62*10000/E62</f>
        <v>10000</v>
      </c>
      <c r="F102" s="169">
        <f>F62*10000/F62</f>
        <v>10000</v>
      </c>
      <c r="G102" s="169">
        <f>AVERAGE(C102:E102)</f>
        <v>10000</v>
      </c>
      <c r="H102" s="169">
        <f>STDEV(C102:E102)</f>
        <v>0</v>
      </c>
      <c r="I102" s="169">
        <f>(B102*B4+C102*C4+D102*D4+E102*E4+F102*F4)/SUM(B4:F4)</f>
        <v>10000</v>
      </c>
    </row>
    <row r="103" spans="1:11" ht="12.75">
      <c r="A103" s="169" t="s">
        <v>163</v>
      </c>
      <c r="B103" s="169">
        <f>B63*10000/B62</f>
        <v>0.6927797845883638</v>
      </c>
      <c r="C103" s="169">
        <f>C63*10000/C62</f>
        <v>1.2550407718027496</v>
      </c>
      <c r="D103" s="169">
        <f>D63*10000/D62</f>
        <v>0.22778511436281257</v>
      </c>
      <c r="E103" s="169">
        <f>E63*10000/E62</f>
        <v>2.406382258309179</v>
      </c>
      <c r="F103" s="169">
        <f>F63*10000/F62</f>
        <v>-3.482519981580919</v>
      </c>
      <c r="G103" s="169">
        <f>AVERAGE(C103:E103)</f>
        <v>1.2964027148249138</v>
      </c>
      <c r="H103" s="169">
        <f>STDEV(C103:E103)</f>
        <v>1.089887373378893</v>
      </c>
      <c r="I103" s="169">
        <f>(B103*B4+C103*C4+D103*D4+E103*E4+F103*F4)/SUM(B4:F4)</f>
        <v>0.5713840616093049</v>
      </c>
      <c r="K103" s="169">
        <f>(LN(H103)+LN(H123))/2-LN(K114*K115^3)</f>
        <v>-3.346660979722252</v>
      </c>
    </row>
    <row r="104" spans="1:11" ht="12.75">
      <c r="A104" s="169" t="s">
        <v>164</v>
      </c>
      <c r="B104" s="169">
        <f>B64*10000/B62</f>
        <v>0.7775388195246346</v>
      </c>
      <c r="C104" s="169">
        <f>C64*10000/C62</f>
        <v>-0.041634735922597595</v>
      </c>
      <c r="D104" s="169">
        <f>D64*10000/D62</f>
        <v>-0.25644372938637133</v>
      </c>
      <c r="E104" s="169">
        <f>E64*10000/E62</f>
        <v>0.31193746807146033</v>
      </c>
      <c r="F104" s="169">
        <f>F64*10000/F62</f>
        <v>0.22249634550872127</v>
      </c>
      <c r="G104" s="169">
        <f>AVERAGE(C104:E104)</f>
        <v>0.004619667587497138</v>
      </c>
      <c r="H104" s="169">
        <f>STDEV(C104:E104)</f>
        <v>0.2869998236740846</v>
      </c>
      <c r="I104" s="169">
        <f>(B104*B4+C104*C4+D104*D4+E104*E4+F104*F4)/SUM(B4:F4)</f>
        <v>0.14557780826985187</v>
      </c>
      <c r="K104" s="169">
        <f>(LN(H104)+LN(H124))/2-LN(K114*K115^4)</f>
        <v>-4.120453429194671</v>
      </c>
    </row>
    <row r="105" spans="1:11" ht="12.75">
      <c r="A105" s="169" t="s">
        <v>165</v>
      </c>
      <c r="B105" s="169">
        <f>B65*10000/B62</f>
        <v>0.5192039421082054</v>
      </c>
      <c r="C105" s="169">
        <f>C65*10000/C62</f>
        <v>-0.7870112607704661</v>
      </c>
      <c r="D105" s="169">
        <f>D65*10000/D62</f>
        <v>-0.8409629033829499</v>
      </c>
      <c r="E105" s="169">
        <f>E65*10000/E62</f>
        <v>-1.6879332663936457</v>
      </c>
      <c r="F105" s="169">
        <f>F65*10000/F62</f>
        <v>-0.734438405793346</v>
      </c>
      <c r="G105" s="169">
        <f>AVERAGE(C105:E105)</f>
        <v>-1.1053024768490205</v>
      </c>
      <c r="H105" s="169">
        <f>STDEV(C105:E105)</f>
        <v>0.5052936498999281</v>
      </c>
      <c r="I105" s="169">
        <f>(B105*B4+C105*C4+D105*D4+E105*E4+F105*F4)/SUM(B4:F4)</f>
        <v>-0.8206562295001305</v>
      </c>
      <c r="K105" s="169">
        <f>(LN(H105)+LN(H125))/2-LN(K114*K115^5)</f>
        <v>-3.2138812320887835</v>
      </c>
    </row>
    <row r="106" spans="1:11" ht="12.75">
      <c r="A106" s="169" t="s">
        <v>166</v>
      </c>
      <c r="B106" s="169">
        <f>B66*10000/B62</f>
        <v>3.4229967755877877</v>
      </c>
      <c r="C106" s="169">
        <f>C66*10000/C62</f>
        <v>4.036945972386972</v>
      </c>
      <c r="D106" s="169">
        <f>D66*10000/D62</f>
        <v>4.180036124411543</v>
      </c>
      <c r="E106" s="169">
        <f>E66*10000/E62</f>
        <v>3.9764134993061786</v>
      </c>
      <c r="F106" s="169">
        <f>F66*10000/F62</f>
        <v>14.244156356438937</v>
      </c>
      <c r="G106" s="169">
        <f>AVERAGE(C106:E106)</f>
        <v>4.064465198701565</v>
      </c>
      <c r="H106" s="169">
        <f>STDEV(C106:E106)</f>
        <v>0.10456349375580434</v>
      </c>
      <c r="I106" s="169">
        <f>(B106*B4+C106*C4+D106*D4+E106*E4+F106*F4)/SUM(B4:F4)</f>
        <v>5.329854549368344</v>
      </c>
      <c r="K106" s="169">
        <f>(LN(H106)+LN(H126))/2-LN(K114*K115^6)</f>
        <v>-4.036938425599146</v>
      </c>
    </row>
    <row r="107" spans="1:11" ht="12.75">
      <c r="A107" s="169" t="s">
        <v>167</v>
      </c>
      <c r="B107" s="169">
        <f>B67*10000/B62</f>
        <v>-0.0295561040069156</v>
      </c>
      <c r="C107" s="169">
        <f>C67*10000/C62</f>
        <v>0.05139324239886743</v>
      </c>
      <c r="D107" s="169">
        <f>D67*10000/D62</f>
        <v>-0.4464683484875815</v>
      </c>
      <c r="E107" s="169">
        <f>E67*10000/E62</f>
        <v>-0.5240229837773249</v>
      </c>
      <c r="F107" s="169">
        <f>F67*10000/F62</f>
        <v>-0.34338051176478157</v>
      </c>
      <c r="G107" s="169">
        <f>AVERAGE(C107:E107)</f>
        <v>-0.30636602995534634</v>
      </c>
      <c r="H107" s="169">
        <f>STDEV(C107:E107)</f>
        <v>0.312245821557781</v>
      </c>
      <c r="I107" s="169">
        <f>(B107*B4+C107*C4+D107*D4+E107*E4+F107*F4)/SUM(B4:F4)</f>
        <v>-0.2712338792108339</v>
      </c>
      <c r="K107" s="169">
        <f>(LN(H107)+LN(H127))/2-LN(K114*K115^7)</f>
        <v>-2.7380045763564382</v>
      </c>
    </row>
    <row r="108" spans="1:9" ht="12.75">
      <c r="A108" s="169" t="s">
        <v>168</v>
      </c>
      <c r="B108" s="169">
        <f>B68*10000/B62</f>
        <v>-0.3608640708296692</v>
      </c>
      <c r="C108" s="169">
        <f>C68*10000/C62</f>
        <v>-0.24809344328189648</v>
      </c>
      <c r="D108" s="169">
        <f>D68*10000/D62</f>
        <v>-0.1672836278086288</v>
      </c>
      <c r="E108" s="169">
        <f>E68*10000/E62</f>
        <v>-0.16980091187175905</v>
      </c>
      <c r="F108" s="169">
        <f>F68*10000/F62</f>
        <v>-0.2797260691634672</v>
      </c>
      <c r="G108" s="169">
        <f>AVERAGE(C108:E108)</f>
        <v>-0.19505932765409476</v>
      </c>
      <c r="H108" s="169">
        <f>STDEV(C108:E108)</f>
        <v>0.0459461341690561</v>
      </c>
      <c r="I108" s="169">
        <f>(B108*B4+C108*C4+D108*D4+E108*E4+F108*F4)/SUM(B4:F4)</f>
        <v>-0.2303580032175435</v>
      </c>
    </row>
    <row r="109" spans="1:9" ht="12.75">
      <c r="A109" s="169" t="s">
        <v>169</v>
      </c>
      <c r="B109" s="169">
        <f>B69*10000/B62</f>
        <v>0.0468603578308308</v>
      </c>
      <c r="C109" s="169">
        <f>C69*10000/C62</f>
        <v>-0.04520339458933653</v>
      </c>
      <c r="D109" s="169">
        <f>D69*10000/D62</f>
        <v>-0.07600291584881234</v>
      </c>
      <c r="E109" s="169">
        <f>E69*10000/E62</f>
        <v>-0.09767675096301112</v>
      </c>
      <c r="F109" s="169">
        <f>F69*10000/F62</f>
        <v>0.04784884944116734</v>
      </c>
      <c r="G109" s="169">
        <f>AVERAGE(C109:E109)</f>
        <v>-0.07296102046705333</v>
      </c>
      <c r="H109" s="169">
        <f>STDEV(C109:E109)</f>
        <v>0.026368601174784373</v>
      </c>
      <c r="I109" s="169">
        <f>(B109*B4+C109*C4+D109*D4+E109*E4+F109*F4)/SUM(B4:F4)</f>
        <v>-0.039496400118743724</v>
      </c>
    </row>
    <row r="110" spans="1:11" ht="12.75">
      <c r="A110" s="169" t="s">
        <v>170</v>
      </c>
      <c r="B110" s="169">
        <f>B70*10000/B62</f>
        <v>-0.32286433171968754</v>
      </c>
      <c r="C110" s="169">
        <f>C70*10000/C62</f>
        <v>-0.07676033028943288</v>
      </c>
      <c r="D110" s="169">
        <f>D70*10000/D62</f>
        <v>-0.012570137055301755</v>
      </c>
      <c r="E110" s="169">
        <f>E70*10000/E62</f>
        <v>-0.012888708751170016</v>
      </c>
      <c r="F110" s="169">
        <f>F70*10000/F62</f>
        <v>-0.3460598090584607</v>
      </c>
      <c r="G110" s="169">
        <f>AVERAGE(C110:E110)</f>
        <v>-0.03407305869863488</v>
      </c>
      <c r="H110" s="169">
        <f>STDEV(C110:E110)</f>
        <v>0.03696860477325679</v>
      </c>
      <c r="I110" s="169">
        <f>(B110*B4+C110*C4+D110*D4+E110*E4+F110*F4)/SUM(B4:F4)</f>
        <v>-0.11750589409465745</v>
      </c>
      <c r="K110" s="169">
        <f>EXP(AVERAGE(K103:K107))</f>
        <v>0.03046466691851405</v>
      </c>
    </row>
    <row r="111" spans="1:9" ht="12.75">
      <c r="A111" s="169" t="s">
        <v>171</v>
      </c>
      <c r="B111" s="169">
        <f>B71*10000/B62</f>
        <v>0.06605774900060327</v>
      </c>
      <c r="C111" s="169">
        <f>C71*10000/C62</f>
        <v>0.1303467206356044</v>
      </c>
      <c r="D111" s="169">
        <f>D71*10000/D62</f>
        <v>0.02411025662936805</v>
      </c>
      <c r="E111" s="169">
        <f>E71*10000/E62</f>
        <v>0.1316660120861642</v>
      </c>
      <c r="F111" s="169">
        <f>F71*10000/F62</f>
        <v>0.0025709379068713603</v>
      </c>
      <c r="G111" s="169">
        <f>AVERAGE(C111:E111)</f>
        <v>0.09537432978371223</v>
      </c>
      <c r="H111" s="169">
        <f>STDEV(C111:E111)</f>
        <v>0.06172002288069626</v>
      </c>
      <c r="I111" s="169">
        <f>(B111*B4+C111*C4+D111*D4+E111*E4+F111*F4)/SUM(B4:F4)</f>
        <v>0.07874797356231868</v>
      </c>
    </row>
    <row r="112" spans="1:9" ht="12.75">
      <c r="A112" s="169" t="s">
        <v>172</v>
      </c>
      <c r="B112" s="169">
        <f>B72*10000/B62</f>
        <v>-0.08519447172711817</v>
      </c>
      <c r="C112" s="169">
        <f>C72*10000/C62</f>
        <v>-0.036503805845026854</v>
      </c>
      <c r="D112" s="169">
        <f>D72*10000/D62</f>
        <v>-0.03276312022601565</v>
      </c>
      <c r="E112" s="169">
        <f>E72*10000/E62</f>
        <v>-0.03456374442689966</v>
      </c>
      <c r="F112" s="169">
        <f>F72*10000/F62</f>
        <v>-0.054599069386181615</v>
      </c>
      <c r="G112" s="169">
        <f>AVERAGE(C112:E112)</f>
        <v>-0.03461022349931406</v>
      </c>
      <c r="H112" s="169">
        <f>STDEV(C112:E112)</f>
        <v>0.0018707758960384944</v>
      </c>
      <c r="I112" s="169">
        <f>(B112*B4+C112*C4+D112*D4+E112*E4+F112*F4)/SUM(B4:F4)</f>
        <v>-0.044599834874645194</v>
      </c>
    </row>
    <row r="113" spans="1:9" ht="12.75">
      <c r="A113" s="169" t="s">
        <v>173</v>
      </c>
      <c r="B113" s="169">
        <f>B73*10000/B62</f>
        <v>-0.015321354889592197</v>
      </c>
      <c r="C113" s="169">
        <f>C73*10000/C62</f>
        <v>-0.0022224016078115213</v>
      </c>
      <c r="D113" s="169">
        <f>D73*10000/D62</f>
        <v>0.005658059448445308</v>
      </c>
      <c r="E113" s="169">
        <f>E73*10000/E62</f>
        <v>0.02335927443738923</v>
      </c>
      <c r="F113" s="169">
        <f>F73*10000/F62</f>
        <v>-0.004229769210362333</v>
      </c>
      <c r="G113" s="169">
        <f>AVERAGE(C113:E113)</f>
        <v>0.008931644092674338</v>
      </c>
      <c r="H113" s="169">
        <f>STDEV(C113:E113)</f>
        <v>0.013101252025573683</v>
      </c>
      <c r="I113" s="169">
        <f>(B113*B4+C113*C4+D113*D4+E113*E4+F113*F4)/SUM(B4:F4)</f>
        <v>0.003664698960307794</v>
      </c>
    </row>
    <row r="114" spans="1:11" ht="12.75">
      <c r="A114" s="169" t="s">
        <v>174</v>
      </c>
      <c r="B114" s="169">
        <f>B74*10000/B62</f>
        <v>-0.18580989388924302</v>
      </c>
      <c r="C114" s="169">
        <f>C74*10000/C62</f>
        <v>-0.16767827788899062</v>
      </c>
      <c r="D114" s="169">
        <f>D74*10000/D62</f>
        <v>-0.17260609957586626</v>
      </c>
      <c r="E114" s="169">
        <f>E74*10000/E62</f>
        <v>-0.15981143246111987</v>
      </c>
      <c r="F114" s="169">
        <f>F74*10000/F62</f>
        <v>-0.1400422588942171</v>
      </c>
      <c r="G114" s="169">
        <f>AVERAGE(C114:E114)</f>
        <v>-0.1666986033086589</v>
      </c>
      <c r="H114" s="169">
        <f>STDEV(C114:E114)</f>
        <v>0.006453347840990496</v>
      </c>
      <c r="I114" s="169">
        <f>(B114*B4+C114*C4+D114*D4+E114*E4+F114*F4)/SUM(B4:F4)</f>
        <v>-0.1659084634945225</v>
      </c>
      <c r="J114" s="169" t="s">
        <v>192</v>
      </c>
      <c r="K114" s="169">
        <v>285</v>
      </c>
    </row>
    <row r="115" spans="1:11" ht="12.75">
      <c r="A115" s="169" t="s">
        <v>175</v>
      </c>
      <c r="B115" s="169">
        <f>B75*10000/B62</f>
        <v>-0.0023008435652074007</v>
      </c>
      <c r="C115" s="169">
        <f>C75*10000/C62</f>
        <v>0.0032982395305776605</v>
      </c>
      <c r="D115" s="169">
        <f>D75*10000/D62</f>
        <v>0.008174229359535394</v>
      </c>
      <c r="E115" s="169">
        <f>E75*10000/E62</f>
        <v>0.010991828103281424</v>
      </c>
      <c r="F115" s="169">
        <f>F75*10000/F62</f>
        <v>0.00010289972386009936</v>
      </c>
      <c r="G115" s="169">
        <f>AVERAGE(C115:E115)</f>
        <v>0.0074880989977981595</v>
      </c>
      <c r="H115" s="169">
        <f>STDEV(C115:E115)</f>
        <v>0.003892416657615514</v>
      </c>
      <c r="I115" s="169">
        <f>(B115*B4+C115*C4+D115*D4+E115*E4+F115*F4)/SUM(B4:F4)</f>
        <v>0.005085668981674049</v>
      </c>
      <c r="J115" s="169" t="s">
        <v>193</v>
      </c>
      <c r="K115" s="169">
        <v>0.5536</v>
      </c>
    </row>
    <row r="118" ht="12.75">
      <c r="A118" s="169" t="s">
        <v>158</v>
      </c>
    </row>
    <row r="120" spans="2:9" ht="12.75">
      <c r="B120" s="169" t="s">
        <v>84</v>
      </c>
      <c r="C120" s="169" t="s">
        <v>85</v>
      </c>
      <c r="D120" s="169" t="s">
        <v>86</v>
      </c>
      <c r="E120" s="169" t="s">
        <v>87</v>
      </c>
      <c r="F120" s="169" t="s">
        <v>88</v>
      </c>
      <c r="G120" s="169" t="s">
        <v>160</v>
      </c>
      <c r="H120" s="169" t="s">
        <v>161</v>
      </c>
      <c r="I120" s="169" t="s">
        <v>194</v>
      </c>
    </row>
    <row r="121" spans="1:9" ht="12.75">
      <c r="A121" s="169" t="s">
        <v>176</v>
      </c>
      <c r="B121" s="169">
        <f>B81*10000/B62</f>
        <v>0</v>
      </c>
      <c r="C121" s="169">
        <f>C81*10000/C62</f>
        <v>0</v>
      </c>
      <c r="D121" s="169">
        <f>D81*10000/D62</f>
        <v>0</v>
      </c>
      <c r="E121" s="169">
        <f>E81*10000/E62</f>
        <v>0</v>
      </c>
      <c r="F121" s="169">
        <f>F81*10000/F62</f>
        <v>0</v>
      </c>
      <c r="G121" s="169">
        <f>AVERAGE(C121:E121)</f>
        <v>0</v>
      </c>
      <c r="H121" s="169">
        <f>STDEV(C121:E121)</f>
        <v>0</v>
      </c>
      <c r="I121" s="169">
        <f>(B121*B4+C121*C4+D121*D4+E121*E4+F121*F4)/SUM(B4:F4)</f>
        <v>0</v>
      </c>
    </row>
    <row r="122" spans="1:9" ht="12.75">
      <c r="A122" s="169" t="s">
        <v>177</v>
      </c>
      <c r="B122" s="169">
        <f>B82*10000/B62</f>
        <v>120.79849720507285</v>
      </c>
      <c r="C122" s="169">
        <f>C82*10000/C62</f>
        <v>44.985203177732394</v>
      </c>
      <c r="D122" s="169">
        <f>D82*10000/D62</f>
        <v>-30.176941854214682</v>
      </c>
      <c r="E122" s="169">
        <f>E82*10000/E62</f>
        <v>-47.411842045042775</v>
      </c>
      <c r="F122" s="169">
        <f>F82*10000/F62</f>
        <v>-72.53279390800773</v>
      </c>
      <c r="G122" s="169">
        <f>AVERAGE(C122:E122)</f>
        <v>-10.867860240508355</v>
      </c>
      <c r="H122" s="169">
        <f>STDEV(C122:E122)</f>
        <v>49.13180198250893</v>
      </c>
      <c r="I122" s="169">
        <f>(B122*B4+C122*C4+D122*D4+E122*E4+F122*F4)/SUM(B4:F4)</f>
        <v>-0.03567428613289051</v>
      </c>
    </row>
    <row r="123" spans="1:9" ht="12.75">
      <c r="A123" s="169" t="s">
        <v>178</v>
      </c>
      <c r="B123" s="169">
        <f>B83*10000/B62</f>
        <v>3.982867078710762</v>
      </c>
      <c r="C123" s="169">
        <f>C83*10000/C62</f>
        <v>0.18294736363552552</v>
      </c>
      <c r="D123" s="169">
        <f>D83*10000/D62</f>
        <v>4.091407715060495</v>
      </c>
      <c r="E123" s="169">
        <f>E83*10000/E62</f>
        <v>5.258618200289817</v>
      </c>
      <c r="F123" s="169">
        <f>F83*10000/F62</f>
        <v>10.090309689046626</v>
      </c>
      <c r="G123" s="169">
        <f>AVERAGE(C123:E123)</f>
        <v>3.1776577596619457</v>
      </c>
      <c r="H123" s="169">
        <f>STDEV(C123:E123)</f>
        <v>2.658347766237303</v>
      </c>
      <c r="I123" s="169">
        <f>(B123*B4+C123*C4+D123*D4+E123*E4+F123*F4)/SUM(B4:F4)</f>
        <v>4.2165555694581585</v>
      </c>
    </row>
    <row r="124" spans="1:9" ht="12.75">
      <c r="A124" s="169" t="s">
        <v>179</v>
      </c>
      <c r="B124" s="169">
        <f>B84*10000/B62</f>
        <v>-0.2551428089420067</v>
      </c>
      <c r="C124" s="169">
        <f>C84*10000/C62</f>
        <v>-0.31086519581419897</v>
      </c>
      <c r="D124" s="169">
        <f>D84*10000/D62</f>
        <v>1.0035431794856702</v>
      </c>
      <c r="E124" s="169">
        <f>E84*10000/E62</f>
        <v>0.4108376403727278</v>
      </c>
      <c r="F124" s="169">
        <f>F84*10000/F62</f>
        <v>-0.06750361047211553</v>
      </c>
      <c r="G124" s="169">
        <f>AVERAGE(C124:E124)</f>
        <v>0.3678385413480663</v>
      </c>
      <c r="H124" s="169">
        <f>STDEV(C124:E124)</f>
        <v>0.6582583354218235</v>
      </c>
      <c r="I124" s="169">
        <f>(B124*B4+C124*C4+D124*D4+E124*E4+F124*F4)/SUM(B4:F4)</f>
        <v>0.21956951788951493</v>
      </c>
    </row>
    <row r="125" spans="1:9" ht="12.75">
      <c r="A125" s="169" t="s">
        <v>180</v>
      </c>
      <c r="B125" s="169">
        <f>B85*10000/B62</f>
        <v>0.8233662554852877</v>
      </c>
      <c r="C125" s="169">
        <f>C85*10000/C62</f>
        <v>-0.6387416521055499</v>
      </c>
      <c r="D125" s="169">
        <f>D85*10000/D62</f>
        <v>0.35860133671676353</v>
      </c>
      <c r="E125" s="169">
        <f>E85*10000/E62</f>
        <v>0.7166351956173244</v>
      </c>
      <c r="F125" s="169">
        <f>F85*10000/F62</f>
        <v>-0.4717589283335916</v>
      </c>
      <c r="G125" s="169">
        <f>AVERAGE(C125:E125)</f>
        <v>0.14549829340951267</v>
      </c>
      <c r="H125" s="169">
        <f>STDEV(C125:E125)</f>
        <v>0.7023683365129068</v>
      </c>
      <c r="I125" s="169">
        <f>(B125*B4+C125*C4+D125*D4+E125*E4+F125*F4)/SUM(B4:F4)</f>
        <v>0.16126725506779413</v>
      </c>
    </row>
    <row r="126" spans="1:9" ht="12.75">
      <c r="A126" s="169" t="s">
        <v>181</v>
      </c>
      <c r="B126" s="169">
        <f>B86*10000/B62</f>
        <v>0.9012075182902733</v>
      </c>
      <c r="C126" s="169">
        <f>C86*10000/C62</f>
        <v>0.10010342307282447</v>
      </c>
      <c r="D126" s="169">
        <f>D86*10000/D62</f>
        <v>0.39050399943795755</v>
      </c>
      <c r="E126" s="169">
        <f>E86*10000/E62</f>
        <v>0.484910503482728</v>
      </c>
      <c r="F126" s="169">
        <f>F86*10000/F62</f>
        <v>2.2132461843025975</v>
      </c>
      <c r="G126" s="169">
        <f>AVERAGE(C126:E126)</f>
        <v>0.3251726419978367</v>
      </c>
      <c r="H126" s="169">
        <f>STDEV(C126:E126)</f>
        <v>0.20054989898308379</v>
      </c>
      <c r="I126" s="169">
        <f>(B126*B4+C126*C4+D126*D4+E126*E4+F126*F4)/SUM(B4:F4)</f>
        <v>0.6604796474053736</v>
      </c>
    </row>
    <row r="127" spans="1:9" ht="12.75">
      <c r="A127" s="169" t="s">
        <v>182</v>
      </c>
      <c r="B127" s="169">
        <f>B87*10000/B62</f>
        <v>0.4128783778569155</v>
      </c>
      <c r="C127" s="169">
        <f>C87*10000/C62</f>
        <v>0.035501250172377555</v>
      </c>
      <c r="D127" s="169">
        <f>D87*10000/D62</f>
        <v>0.3951211826676877</v>
      </c>
      <c r="E127" s="169">
        <f>E87*10000/E62</f>
        <v>0.5791886756057443</v>
      </c>
      <c r="F127" s="169">
        <f>F87*10000/F62</f>
        <v>0.5418576438339389</v>
      </c>
      <c r="G127" s="169">
        <f>AVERAGE(C127:E127)</f>
        <v>0.3366037028152698</v>
      </c>
      <c r="H127" s="169">
        <f>STDEV(C127:E127)</f>
        <v>0.27652707955966865</v>
      </c>
      <c r="I127" s="169">
        <f>(B127*B4+C127*C4+D127*D4+E127*E4+F127*F4)/SUM(B4:F4)</f>
        <v>0.3750316593651173</v>
      </c>
    </row>
    <row r="128" spans="1:9" ht="12.75">
      <c r="A128" s="169" t="s">
        <v>183</v>
      </c>
      <c r="B128" s="169">
        <f>B88*10000/B62</f>
        <v>0.06936185394143984</v>
      </c>
      <c r="C128" s="169">
        <f>C88*10000/C62</f>
        <v>-0.1297312960615378</v>
      </c>
      <c r="D128" s="169">
        <f>D88*10000/D62</f>
        <v>-0.33804046864092197</v>
      </c>
      <c r="E128" s="169">
        <f>E88*10000/E62</f>
        <v>-0.2623868341497221</v>
      </c>
      <c r="F128" s="169">
        <f>F88*10000/F62</f>
        <v>0.04503343379045108</v>
      </c>
      <c r="G128" s="169">
        <f>AVERAGE(C128:E128)</f>
        <v>-0.24338619961739394</v>
      </c>
      <c r="H128" s="169">
        <f>STDEV(C128:E128)</f>
        <v>0.10544641259734848</v>
      </c>
      <c r="I128" s="169">
        <f>(B128*B4+C128*C4+D128*D4+E128*E4+F128*F4)/SUM(B4:F4)</f>
        <v>-0.15962988582531557</v>
      </c>
    </row>
    <row r="129" spans="1:9" ht="12.75">
      <c r="A129" s="169" t="s">
        <v>184</v>
      </c>
      <c r="B129" s="169">
        <f>B89*10000/B62</f>
        <v>0.1738230308623756</v>
      </c>
      <c r="C129" s="169">
        <f>C89*10000/C62</f>
        <v>0.08364069899672291</v>
      </c>
      <c r="D129" s="169">
        <f>D89*10000/D62</f>
        <v>-0.23526846393723233</v>
      </c>
      <c r="E129" s="169">
        <f>E89*10000/E62</f>
        <v>-0.13454062913056022</v>
      </c>
      <c r="F129" s="169">
        <f>F89*10000/F62</f>
        <v>0.051116752953147646</v>
      </c>
      <c r="G129" s="169">
        <f>AVERAGE(C129:E129)</f>
        <v>-0.09538946469035654</v>
      </c>
      <c r="H129" s="169">
        <f>STDEV(C129:E129)</f>
        <v>0.16301955038760507</v>
      </c>
      <c r="I129" s="169">
        <f>(B129*B4+C129*C4+D129*D4+E129*E4+F129*F4)/SUM(B4:F4)</f>
        <v>-0.03687045514981041</v>
      </c>
    </row>
    <row r="130" spans="1:9" ht="12.75">
      <c r="A130" s="169" t="s">
        <v>185</v>
      </c>
      <c r="B130" s="169">
        <f>B90*10000/B62</f>
        <v>0.014035626154446625</v>
      </c>
      <c r="C130" s="169">
        <f>C90*10000/C62</f>
        <v>-0.07291510223549032</v>
      </c>
      <c r="D130" s="169">
        <f>D90*10000/D62</f>
        <v>-0.08822368312347055</v>
      </c>
      <c r="E130" s="169">
        <f>E90*10000/E62</f>
        <v>-0.13585988227305454</v>
      </c>
      <c r="F130" s="169">
        <f>F90*10000/F62</f>
        <v>0.2861206354966005</v>
      </c>
      <c r="G130" s="169">
        <f>AVERAGE(C130:E130)</f>
        <v>-0.09899955587733848</v>
      </c>
      <c r="H130" s="169">
        <f>STDEV(C130:E130)</f>
        <v>0.03282683214536543</v>
      </c>
      <c r="I130" s="169">
        <f>(B130*B4+C130*C4+D130*D4+E130*E4+F130*F4)/SUM(B4:F4)</f>
        <v>-0.03125110684749309</v>
      </c>
    </row>
    <row r="131" spans="1:9" ht="12.75">
      <c r="A131" s="169" t="s">
        <v>186</v>
      </c>
      <c r="B131" s="169">
        <f>B91*10000/B62</f>
        <v>0.1401864446500197</v>
      </c>
      <c r="C131" s="169">
        <f>C91*10000/C62</f>
        <v>0.08013742439913293</v>
      </c>
      <c r="D131" s="169">
        <f>D91*10000/D62</f>
        <v>0.031992039179341916</v>
      </c>
      <c r="E131" s="169">
        <f>E91*10000/E62</f>
        <v>0.016209705423027257</v>
      </c>
      <c r="F131" s="169">
        <f>F91*10000/F62</f>
        <v>0.09083549655323446</v>
      </c>
      <c r="G131" s="169">
        <f>AVERAGE(C131:E131)</f>
        <v>0.0427797230005007</v>
      </c>
      <c r="H131" s="169">
        <f>STDEV(C131:E131)</f>
        <v>0.033301184739299494</v>
      </c>
      <c r="I131" s="169">
        <f>(B131*B4+C131*C4+D131*D4+E131*E4+F131*F4)/SUM(B4:F4)</f>
        <v>0.06329222890570971</v>
      </c>
    </row>
    <row r="132" spans="1:9" ht="12.75">
      <c r="A132" s="169" t="s">
        <v>187</v>
      </c>
      <c r="B132" s="169">
        <f>B92*10000/B62</f>
        <v>0.0010335991154111386</v>
      </c>
      <c r="C132" s="169">
        <f>C92*10000/C62</f>
        <v>0.0169701134958597</v>
      </c>
      <c r="D132" s="169">
        <f>D92*10000/D62</f>
        <v>-0.09018524215380942</v>
      </c>
      <c r="E132" s="169">
        <f>E92*10000/E62</f>
        <v>0.010098325339398497</v>
      </c>
      <c r="F132" s="169">
        <f>F92*10000/F62</f>
        <v>-0.037756812316094644</v>
      </c>
      <c r="G132" s="169">
        <f>AVERAGE(C132:E132)</f>
        <v>-0.021038934439517074</v>
      </c>
      <c r="H132" s="169">
        <f>STDEV(C132:E132)</f>
        <v>0.059980949233956984</v>
      </c>
      <c r="I132" s="169">
        <f>(B132*B4+C132*C4+D132*D4+E132*E4+F132*F4)/SUM(B4:F4)</f>
        <v>-0.020074343820853584</v>
      </c>
    </row>
    <row r="133" spans="1:9" ht="12.75">
      <c r="A133" s="169" t="s">
        <v>188</v>
      </c>
      <c r="B133" s="169">
        <f>B93*10000/B62</f>
        <v>-0.07723378465798228</v>
      </c>
      <c r="C133" s="169">
        <f>C93*10000/C62</f>
        <v>-0.0685007500503888</v>
      </c>
      <c r="D133" s="169">
        <f>D93*10000/D62</f>
        <v>-0.07970776017780346</v>
      </c>
      <c r="E133" s="169">
        <f>E93*10000/E62</f>
        <v>-0.07047222766457918</v>
      </c>
      <c r="F133" s="169">
        <f>F93*10000/F62</f>
        <v>-0.06167994451847342</v>
      </c>
      <c r="G133" s="169">
        <f>AVERAGE(C133:E133)</f>
        <v>-0.07289357929759048</v>
      </c>
      <c r="H133" s="169">
        <f>STDEV(C133:E133)</f>
        <v>0.005983015694197138</v>
      </c>
      <c r="I133" s="169">
        <f>(B133*B4+C133*C4+D133*D4+E133*E4+F133*F4)/SUM(B4:F4)</f>
        <v>-0.07202566134126587</v>
      </c>
    </row>
    <row r="134" spans="1:9" ht="12.75">
      <c r="A134" s="169" t="s">
        <v>189</v>
      </c>
      <c r="B134" s="169">
        <f>B94*10000/B62</f>
        <v>-0.017744538738758586</v>
      </c>
      <c r="C134" s="169">
        <f>C94*10000/C62</f>
        <v>-0.0009979125088823032</v>
      </c>
      <c r="D134" s="169">
        <f>D94*10000/D62</f>
        <v>0.008342731997379064</v>
      </c>
      <c r="E134" s="169">
        <f>E94*10000/E62</f>
        <v>0.012767280096410441</v>
      </c>
      <c r="F134" s="169">
        <f>F94*10000/F62</f>
        <v>-0.021593871736437894</v>
      </c>
      <c r="G134" s="169">
        <f>AVERAGE(C134:E134)</f>
        <v>0.006704033194969067</v>
      </c>
      <c r="H134" s="169">
        <f>STDEV(C134:E134)</f>
        <v>0.007027384448638518</v>
      </c>
      <c r="I134" s="169">
        <f>(B134*B4+C134*C4+D134*D4+E134*E4+F134*F4)/SUM(B4:F4)</f>
        <v>-0.0006108432388109652</v>
      </c>
    </row>
    <row r="135" spans="1:9" ht="12.75">
      <c r="A135" s="169" t="s">
        <v>190</v>
      </c>
      <c r="B135" s="169">
        <f>B95*10000/B62</f>
        <v>-0.0006189684176221618</v>
      </c>
      <c r="C135" s="169">
        <f>C95*10000/C62</f>
        <v>-0.0034002424232806886</v>
      </c>
      <c r="D135" s="169">
        <f>D95*10000/D62</f>
        <v>-0.004869614968045104</v>
      </c>
      <c r="E135" s="169">
        <f>E95*10000/E62</f>
        <v>-0.0026931481985427606</v>
      </c>
      <c r="F135" s="169">
        <f>F95*10000/F62</f>
        <v>0.005059795711124474</v>
      </c>
      <c r="G135" s="169">
        <f>AVERAGE(C135:E135)</f>
        <v>-0.0036543351966228516</v>
      </c>
      <c r="H135" s="169">
        <f>STDEV(C135:E135)</f>
        <v>0.0011102586422926488</v>
      </c>
      <c r="I135" s="169">
        <f>(B135*B4+C135*C4+D135*D4+E135*E4+F135*F4)/SUM(B4:F4)</f>
        <v>-0.002052234351558123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2001-11-15T13:19:38Z</cp:lastPrinted>
  <dcterms:created xsi:type="dcterms:W3CDTF">1999-06-17T15:15:05Z</dcterms:created>
  <dcterms:modified xsi:type="dcterms:W3CDTF">2003-09-26T12:52:11Z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-198464407</vt:i4>
  </property>
  <property fmtid="{D5CDD505-2E9C-101B-9397-08002B2CF9AE}" pid="3" name="_EmailSubject">
    <vt:lpwstr>WFM result agreement for aperture 062</vt:lpwstr>
  </property>
  <property fmtid="{D5CDD505-2E9C-101B-9397-08002B2CF9AE}" pid="4" name="_AuthorEmail">
    <vt:lpwstr>DURANTE@DAPNIA.CEA.FR</vt:lpwstr>
  </property>
  <property fmtid="{D5CDD505-2E9C-101B-9397-08002B2CF9AE}" pid="5" name="_AuthorEmailDisplayName">
    <vt:lpwstr>DURANTE Maria    DAPNIA</vt:lpwstr>
  </property>
  <property fmtid="{D5CDD505-2E9C-101B-9397-08002B2CF9AE}" pid="6" name="_ReviewingToolsShownOnce">
    <vt:lpwstr/>
  </property>
</Properties>
</file>