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66_pos5ap2" sheetId="2" r:id="rId2"/>
    <sheet name="HCMQAP066_pos2ap2" sheetId="3" r:id="rId3"/>
    <sheet name="HCMQAP066_pos3ap2" sheetId="4" r:id="rId4"/>
    <sheet name="HCMQAP066_pos4ap2" sheetId="5" r:id="rId5"/>
    <sheet name="HCMQAP066_pos1ap2" sheetId="6" r:id="rId6"/>
    <sheet name="Lmag_hcmqap" sheetId="7" r:id="rId7"/>
    <sheet name="Result_HCMQAP" sheetId="8" r:id="rId8"/>
  </sheets>
  <definedNames>
    <definedName name="_xlnm.Print_Area" localSheetId="5">'HCMQAP066_pos1ap2'!$A$1:$N$28</definedName>
    <definedName name="_xlnm.Print_Area" localSheetId="2">'HCMQAP066_pos2ap2'!$A$1:$N$28</definedName>
    <definedName name="_xlnm.Print_Area" localSheetId="3">'HCMQAP066_pos3ap2'!$A$1:$N$28</definedName>
    <definedName name="_xlnm.Print_Area" localSheetId="4">'HCMQAP066_pos4ap2'!$A$1:$N$28</definedName>
    <definedName name="_xlnm.Print_Area" localSheetId="1">'HCMQAP066_pos5ap2'!$A$1:$N$28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<sst xmlns="http://schemas.openxmlformats.org/spreadsheetml/2006/main" count="510" uniqueCount="194">
  <si>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</si>
  <si>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</si>
  <si>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</si>
  <si>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</si>
  <si>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</si>
  <si>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</si>
  <si>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</si>
  <si>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</si>
  <si>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</si>
  <si>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</si>
  <si>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</si>
  <si>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</si>
  <si>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</si>
  <si>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</si>
  <si>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</si>
  <si>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hcmqap066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</si>
  <si>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</si>
  <si>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</si>
  <si>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</si>
  <si>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</si>
  <si>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</si>
  <si>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</si>
  <si>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</si>
  <si>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</si>
  <si>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</si>
  <si>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</si>
  <si>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</si>
  <si>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</si>
  <si>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</si>
  <si>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</si>
  <si>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</si>
  <si>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</si>
  <si>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</si>
  <si>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</si>
  <si>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</si>
  <si>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</si>
  <si>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</si>
  <si>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</si>
  <si>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</si>
  <si>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</si>
  <si>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</si>
  <si>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</si>
  <si>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</si>
  <si>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</si>
  <si>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</si>
  <si>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</si>
  <si>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</si>
  <si>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</si>
  <si>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</si>
  <si>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</si>
  <si>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</si>
  <si>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</si>
  <si>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</si>
  <si>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</si>
  <si>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</si>
  <si>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</si>
  <si>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</si>
  <si>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</si>
  <si>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</si>
  <si>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</si>
  <si>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</si>
  <si>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</si>
  <si>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</si>
  <si>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</si>
  <si>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</si>
  <si>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</si>
  <si>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</si>
  <si>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</si>
  <si>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HCMQAP066_pos5ap2</t>
  </si>
  <si>
    <t>30/07/2003</t>
  </si>
  <si>
    <t>±12.5</t>
  </si>
  <si>
    <t>THCMQAP066_pos5ap2.xls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</si>
  <si>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-3.766 mT)</t>
    </r>
  </si>
  <si>
    <t>HCMQAP066_pos2ap2</t>
  </si>
  <si>
    <t>THCMQAP066_pos2ap2.xls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</si>
  <si>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</si>
  <si>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HCMQAP066_pos3ap2</t>
  </si>
  <si>
    <t>THCMQAP066_pos3ap2.xls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</si>
  <si>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</si>
  <si>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HCMQAP066_pos4ap2</t>
  </si>
  <si>
    <t>THCMQAP066_pos4ap2.xls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</si>
  <si>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-2.261 mT)</t>
    </r>
  </si>
  <si>
    <t>HCMQAP066_pos1ap2</t>
  </si>
  <si>
    <t>THCMQAP066_pos1ap2.xls</t>
  </si>
  <si>
    <t>Sommaire : Valeurs intégrales calculées avec les fichiers: HCMQAP066_pos5ap2+HCMQAP066_pos2ap2+HCMQAP066_pos3ap2+HCMQAP066_pos4ap2+HCMQAP066_pos1ap2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</si>
  <si>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</si>
  <si>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</si>
  <si>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</si>
  <si>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</si>
  <si>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</si>
  <si>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</si>
  <si>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</si>
  <si>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</si>
  <si>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</si>
  <si>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</si>
  <si>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</si>
  <si>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</si>
  <si>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</si>
  <si>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</si>
  <si>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</si>
  <si>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</si>
  <si>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</si>
  <si>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</si>
  <si>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</si>
  <si>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</si>
  <si>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</si>
  <si>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</si>
  <si>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</si>
  <si>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</si>
  <si>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</si>
  <si>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</si>
  <si>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</si>
  <si>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</si>
  <si>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</si>
  <si>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</si>
  <si>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</si>
  <si>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</si>
  <si>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</si>
  <si>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</si>
  <si>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</si>
  <si>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</si>
  <si>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</si>
  <si>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</si>
  <si>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</si>
  <si>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</si>
  <si>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</si>
  <si>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</si>
  <si>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</si>
  <si>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=-3.764</t>
    </r>
  </si>
  <si>
    <t>Gradient (T/m)</t>
  </si>
  <si>
    <t xml:space="preserve"> Wed 30/07/2003       14:32:49</t>
  </si>
  <si>
    <t>LISSNER</t>
  </si>
  <si>
    <t>HCMQAP066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</si>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</sst>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6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82695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1993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1993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1993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1993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1993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-3.96185106E-05</v>
      </c>
      <c r="L2" s="54">
        <v>2.974150062531181E-07</v>
      </c>
      <c r="M2" s="54">
        <v>0.00011127860000000002</v>
      </c>
      <c r="N2" s="55">
        <v>3.309105029963659E-07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-3.0143041399999998E-05</v>
      </c>
      <c r="L3" s="54">
        <v>1.5158227258021616E-07</v>
      </c>
      <c r="M3" s="54">
        <v>9.81418E-06</v>
      </c>
      <c r="N3" s="55">
        <v>2.1835078337391978E-07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-0.002088185857700238</v>
      </c>
      <c r="L4" s="54">
        <v>3.9441047141421765E-05</v>
      </c>
      <c r="M4" s="54">
        <v>4.970069912604021E-08</v>
      </c>
      <c r="N4" s="55">
        <v>-9.4427318</v>
      </c>
    </row>
    <row r="5" spans="1:14" ht="15" customHeight="1" thickBot="1">
      <c r="A5" t="s">
        <v>18</v>
      </c>
      <c r="B5" s="58">
        <v>37832.60259259259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-4.6481311000000005</v>
      </c>
      <c r="E8" s="77">
        <v>0.01668124779007124</v>
      </c>
      <c r="F8" s="78">
        <v>9.112691100000001</v>
      </c>
      <c r="G8" s="77">
        <v>0.041061432566917966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-2.4697180000000003</v>
      </c>
      <c r="E9" s="80">
        <v>0.042636702473323344</v>
      </c>
      <c r="F9" s="80">
        <v>-1.18518714</v>
      </c>
      <c r="G9" s="80">
        <v>0.043847020525703974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4.190403399999999</v>
      </c>
      <c r="E10" s="80">
        <v>0.02843585570438532</v>
      </c>
      <c r="F10" s="85">
        <v>-7.4234385000000005</v>
      </c>
      <c r="G10" s="80">
        <v>0.03621760109809449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13.514298</v>
      </c>
      <c r="E11" s="77">
        <v>0.010875004646003368</v>
      </c>
      <c r="F11" s="78">
        <v>2.2333469</v>
      </c>
      <c r="G11" s="77">
        <v>0.020485597436764303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-0.20998137</v>
      </c>
      <c r="E12" s="80">
        <v>0.007786373355459253</v>
      </c>
      <c r="F12" s="80">
        <v>0.40593146</v>
      </c>
      <c r="G12" s="80">
        <v>0.008566729915923534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27.648927</v>
      </c>
      <c r="D13" s="83">
        <v>0.059294309999999996</v>
      </c>
      <c r="E13" s="80">
        <v>0.00859644653730889</v>
      </c>
      <c r="F13" s="80">
        <v>-0.105918111</v>
      </c>
      <c r="G13" s="80">
        <v>0.005693453920198799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0.1954141</v>
      </c>
      <c r="E14" s="80">
        <v>0.002010936091474297</v>
      </c>
      <c r="F14" s="80">
        <v>0.36815635999999996</v>
      </c>
      <c r="G14" s="80">
        <v>0.007123848364855167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-0.26001037</v>
      </c>
      <c r="E15" s="77">
        <v>0.003479813767085066</v>
      </c>
      <c r="F15" s="77">
        <v>0.21768267000000002</v>
      </c>
      <c r="G15" s="77">
        <v>0.0007461218449995238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3">
        <v>-0.0033191263</v>
      </c>
      <c r="E16" s="80">
        <v>0.005030650665936244</v>
      </c>
      <c r="F16" s="80">
        <v>0.075664375</v>
      </c>
      <c r="G16" s="80">
        <v>0.005781159602404111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-0.14000000059604645</v>
      </c>
      <c r="D17" s="83">
        <v>0.038890622</v>
      </c>
      <c r="E17" s="80">
        <v>0.004235860756621514</v>
      </c>
      <c r="F17" s="80">
        <v>0.07661538</v>
      </c>
      <c r="G17" s="80">
        <v>0.00442928642250296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158.6909942626953</v>
      </c>
      <c r="D18" s="83">
        <v>-0.08216021700000001</v>
      </c>
      <c r="E18" s="80">
        <v>0.004097915799906742</v>
      </c>
      <c r="F18" s="80">
        <v>0.10764830299999999</v>
      </c>
      <c r="G18" s="80">
        <v>0.001846475014485365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-0.39100000262260437</v>
      </c>
      <c r="D19" s="83">
        <v>-0.14562981000000003</v>
      </c>
      <c r="E19" s="80">
        <v>0.000990845738445452</v>
      </c>
      <c r="F19" s="80">
        <v>-0.02208782</v>
      </c>
      <c r="G19" s="80">
        <v>0.0018323879105773084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-0.33957840000000006</v>
      </c>
      <c r="D20" s="90">
        <v>-0.0035954979</v>
      </c>
      <c r="E20" s="91">
        <v>0.0008822892023044612</v>
      </c>
      <c r="F20" s="91">
        <v>-0.0023354014899999997</v>
      </c>
      <c r="G20" s="91">
        <v>0.0019704608040724846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0.899481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-0.5410291362017323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-2.0885583</v>
      </c>
      <c r="I25" s="103" t="s">
        <v>65</v>
      </c>
      <c r="J25" s="104"/>
      <c r="K25" s="103"/>
      <c r="L25" s="106">
        <v>13.697594270839812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10.229675547484703</v>
      </c>
      <c r="I26" s="108" t="s">
        <v>67</v>
      </c>
      <c r="J26" s="109"/>
      <c r="K26" s="108"/>
      <c r="L26" s="111">
        <v>0.3391034316043791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HCMQAP066_pos5ap2res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9.147589099999999E-05</v>
      </c>
      <c r="L2" s="54">
        <v>3.915611377481342E-07</v>
      </c>
      <c r="M2" s="54">
        <v>0.00020288658</v>
      </c>
      <c r="N2" s="55">
        <v>2.5729787716154214E-07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-2.8658789000000007E-05</v>
      </c>
      <c r="L3" s="54">
        <v>1.03578261009203E-07</v>
      </c>
      <c r="M3" s="54">
        <v>1.2828139999999998E-05</v>
      </c>
      <c r="N3" s="55">
        <v>6.521501667548433E-08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-0.003765760572922365</v>
      </c>
      <c r="L4" s="54">
        <v>2.6766782509520567E-05</v>
      </c>
      <c r="M4" s="54">
        <v>2.8500144679878387E-08</v>
      </c>
      <c r="N4" s="55">
        <v>-3.5539077999999997</v>
      </c>
    </row>
    <row r="5" spans="1:14" ht="15" customHeight="1" thickBot="1">
      <c r="A5" t="s">
        <v>18</v>
      </c>
      <c r="B5" s="58">
        <v>37832.588912037034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-1.3758283000000002</v>
      </c>
      <c r="E8" s="77">
        <v>0.015997011025805623</v>
      </c>
      <c r="F8" s="77">
        <v>-1.4236594</v>
      </c>
      <c r="G8" s="77">
        <v>0.0075849381895964066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-0.0852026726</v>
      </c>
      <c r="E9" s="80">
        <v>0.03249382589777464</v>
      </c>
      <c r="F9" s="85">
        <v>4.0005429</v>
      </c>
      <c r="G9" s="80">
        <v>0.024536374985708674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-0.17330607579999996</v>
      </c>
      <c r="E10" s="80">
        <v>0.004717371470232788</v>
      </c>
      <c r="F10" s="85">
        <v>-2.5640814</v>
      </c>
      <c r="G10" s="80">
        <v>0.009207916498302729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3.6374484000000002</v>
      </c>
      <c r="E11" s="77">
        <v>0.0037139050928474923</v>
      </c>
      <c r="F11" s="77">
        <v>-0.29897282000000003</v>
      </c>
      <c r="G11" s="77">
        <v>0.0027520698506037205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0.41664777</v>
      </c>
      <c r="E12" s="80">
        <v>0.004502143234349306</v>
      </c>
      <c r="F12" s="80">
        <v>0.29138574000000006</v>
      </c>
      <c r="G12" s="80">
        <v>0.004715770922699846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27.404786</v>
      </c>
      <c r="D13" s="83">
        <v>0.082917853</v>
      </c>
      <c r="E13" s="80">
        <v>0.0036542154094055057</v>
      </c>
      <c r="F13" s="80">
        <v>-0.06493391200000001</v>
      </c>
      <c r="G13" s="80">
        <v>0.0032444024489180186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0.07526141099999999</v>
      </c>
      <c r="E14" s="80">
        <v>0.0037378844761784547</v>
      </c>
      <c r="F14" s="80">
        <v>0.041481425</v>
      </c>
      <c r="G14" s="80">
        <v>0.0015235893264689394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-0.0166004119</v>
      </c>
      <c r="E15" s="77">
        <v>0.0006979674859014448</v>
      </c>
      <c r="F15" s="77">
        <v>0.078255303</v>
      </c>
      <c r="G15" s="77">
        <v>0.003334433643813583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-0.080360077</v>
      </c>
      <c r="E16" s="80">
        <v>0.0040135198420745205</v>
      </c>
      <c r="F16" s="80">
        <v>-0.028350174</v>
      </c>
      <c r="G16" s="80">
        <v>0.0026590329212598904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0.40299999713897705</v>
      </c>
      <c r="D17" s="83">
        <v>0.14219119</v>
      </c>
      <c r="E17" s="80">
        <v>0.0037446095109372134</v>
      </c>
      <c r="F17" s="80">
        <v>-0.1268794</v>
      </c>
      <c r="G17" s="80">
        <v>0.0037028648731759735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13.223999977111816</v>
      </c>
      <c r="D18" s="83">
        <v>0.064785552</v>
      </c>
      <c r="E18" s="80">
        <v>0.0009177396562294196</v>
      </c>
      <c r="F18" s="85">
        <v>0.17459914999999998</v>
      </c>
      <c r="G18" s="80">
        <v>0.0011128711663976026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0.23899999260902405</v>
      </c>
      <c r="D19" s="84">
        <v>-0.18244463000000002</v>
      </c>
      <c r="E19" s="80">
        <v>0.0014426523581898166</v>
      </c>
      <c r="F19" s="80">
        <v>0.018185795</v>
      </c>
      <c r="G19" s="80">
        <v>0.000873181152035404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0.4064051</v>
      </c>
      <c r="D20" s="90">
        <v>-0.00396632367</v>
      </c>
      <c r="E20" s="91">
        <v>0.001294570330034434</v>
      </c>
      <c r="F20" s="91">
        <v>-0.012417365999999999</v>
      </c>
      <c r="G20" s="91">
        <v>0.00027188878589236396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0.9187963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-0.2036240897125341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-3.7658557</v>
      </c>
      <c r="I25" s="103" t="s">
        <v>65</v>
      </c>
      <c r="J25" s="104"/>
      <c r="K25" s="103"/>
      <c r="L25" s="106">
        <v>3.6497144559213552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1.9798256484572703</v>
      </c>
      <c r="I26" s="108" t="s">
        <v>67</v>
      </c>
      <c r="J26" s="109"/>
      <c r="K26" s="108"/>
      <c r="L26" s="111">
        <v>0.07999666319835766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HCMQAP066_pos2ap2res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-5.3409086999999994E-05</v>
      </c>
      <c r="L2" s="54">
        <v>4.953838706463096E-07</v>
      </c>
      <c r="M2" s="54">
        <v>0.00020250951999999998</v>
      </c>
      <c r="N2" s="55">
        <v>4.7231643905763094E-07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-2.7556677E-05</v>
      </c>
      <c r="L3" s="54">
        <v>1.3797792945263366E-07</v>
      </c>
      <c r="M3" s="54">
        <v>1.0779700000000008E-05</v>
      </c>
      <c r="N3" s="55">
        <v>1.0008033273323935E-07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-0.0037622702076704046</v>
      </c>
      <c r="L4" s="54">
        <v>4.287478496669415E-05</v>
      </c>
      <c r="M4" s="54">
        <v>9.895404252411214E-08</v>
      </c>
      <c r="N4" s="55">
        <v>-5.697747199999999</v>
      </c>
    </row>
    <row r="5" spans="1:14" ht="15" customHeight="1" thickBot="1">
      <c r="A5" t="s">
        <v>18</v>
      </c>
      <c r="B5" s="58">
        <v>37832.59355324074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-0.9820304199999998</v>
      </c>
      <c r="E8" s="77">
        <v>0.015146973076452668</v>
      </c>
      <c r="F8" s="77">
        <v>2.2420577</v>
      </c>
      <c r="G8" s="77">
        <v>0.018719222875414172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0.034443881100000004</v>
      </c>
      <c r="E9" s="80">
        <v>0.010438199902872699</v>
      </c>
      <c r="F9" s="80">
        <v>0.52293681</v>
      </c>
      <c r="G9" s="80">
        <v>0.01790584918403255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1.04118805</v>
      </c>
      <c r="E10" s="80">
        <v>0.005477619024847248</v>
      </c>
      <c r="F10" s="80">
        <v>-1.77027</v>
      </c>
      <c r="G10" s="80">
        <v>0.011578528481653298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4.5957988</v>
      </c>
      <c r="E11" s="77">
        <v>0.0026020558915994716</v>
      </c>
      <c r="F11" s="77">
        <v>-0.121159451</v>
      </c>
      <c r="G11" s="77">
        <v>0.005071014551420814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0.1633737</v>
      </c>
      <c r="E12" s="80">
        <v>0.0032200208159266336</v>
      </c>
      <c r="F12" s="80">
        <v>0.075772184</v>
      </c>
      <c r="G12" s="80">
        <v>0.0031701299616471463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27.438355</v>
      </c>
      <c r="D13" s="83">
        <v>-0.012572814999999998</v>
      </c>
      <c r="E13" s="80">
        <v>0.0016585424671942376</v>
      </c>
      <c r="F13" s="80">
        <v>0.047939576</v>
      </c>
      <c r="G13" s="80">
        <v>0.003553110971436746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0.06832128000000001</v>
      </c>
      <c r="E14" s="80">
        <v>0.0018567696549165386</v>
      </c>
      <c r="F14" s="80">
        <v>0.041302667</v>
      </c>
      <c r="G14" s="80">
        <v>0.0036183436344833803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-0.03182575</v>
      </c>
      <c r="E15" s="77">
        <v>0.0014631412711798451</v>
      </c>
      <c r="F15" s="77">
        <v>0.032765358</v>
      </c>
      <c r="G15" s="77">
        <v>0.0031813017903141454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12.506200000000002</v>
      </c>
      <c r="D16" s="83">
        <v>0.048240528000000005</v>
      </c>
      <c r="E16" s="80">
        <v>0.002894086747957959</v>
      </c>
      <c r="F16" s="80">
        <v>-0.035839580999999995</v>
      </c>
      <c r="G16" s="80">
        <v>0.0012050456224657886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-0.22300000488758087</v>
      </c>
      <c r="D17" s="83">
        <v>0.12763637</v>
      </c>
      <c r="E17" s="80">
        <v>0.0018732228371429278</v>
      </c>
      <c r="F17" s="80">
        <v>0.07825944600000001</v>
      </c>
      <c r="G17" s="80">
        <v>0.0014983242121356236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125.63099670410156</v>
      </c>
      <c r="D18" s="83">
        <v>-0.042721199</v>
      </c>
      <c r="E18" s="80">
        <v>0.0010969145053166378</v>
      </c>
      <c r="F18" s="85">
        <v>0.17359135</v>
      </c>
      <c r="G18" s="80">
        <v>0.001400390265245854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-0.3880000114440918</v>
      </c>
      <c r="D19" s="84">
        <v>-0.19539656000000002</v>
      </c>
      <c r="E19" s="80">
        <v>0.0008589942312923258</v>
      </c>
      <c r="F19" s="80">
        <v>0.0084150503</v>
      </c>
      <c r="G19" s="80">
        <v>0.0009011906552948432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-0.2517181</v>
      </c>
      <c r="D20" s="90">
        <v>0.00116260453</v>
      </c>
      <c r="E20" s="91">
        <v>0.0015409844317257372</v>
      </c>
      <c r="F20" s="91">
        <v>-0.00398372784</v>
      </c>
      <c r="G20" s="91">
        <v>0.0012574096888092131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0.9121848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-0.32645714303903434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-3.7625145</v>
      </c>
      <c r="I25" s="103" t="s">
        <v>65</v>
      </c>
      <c r="J25" s="104"/>
      <c r="K25" s="103"/>
      <c r="L25" s="106">
        <v>4.5973955912720905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2.4476941140458437</v>
      </c>
      <c r="I26" s="108" t="s">
        <v>67</v>
      </c>
      <c r="J26" s="109"/>
      <c r="K26" s="108"/>
      <c r="L26" s="111">
        <v>0.045677642758034966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HCMQAP066_pos3ap2res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2.0781391800000002E-05</v>
      </c>
      <c r="L2" s="54">
        <v>1.2956259692499375E-07</v>
      </c>
      <c r="M2" s="54">
        <v>0.00019699391</v>
      </c>
      <c r="N2" s="55">
        <v>3.054866697680507E-07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-2.80087902E-05</v>
      </c>
      <c r="L3" s="54">
        <v>4.0687234450252295E-08</v>
      </c>
      <c r="M3" s="54">
        <v>1.0071329999999997E-05</v>
      </c>
      <c r="N3" s="55">
        <v>7.062770419603872E-08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-0.0037620148356284295</v>
      </c>
      <c r="L4" s="54">
        <v>5.8161308263832044E-05</v>
      </c>
      <c r="M4" s="54">
        <v>6.027056757950985E-08</v>
      </c>
      <c r="N4" s="55">
        <v>-7.7294585</v>
      </c>
    </row>
    <row r="5" spans="1:14" ht="15" customHeight="1" thickBot="1">
      <c r="A5" t="s">
        <v>18</v>
      </c>
      <c r="B5" s="58">
        <v>37832.59809027778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-1.0988354</v>
      </c>
      <c r="E8" s="77">
        <v>0.013635075636556613</v>
      </c>
      <c r="F8" s="77">
        <v>1.6228534</v>
      </c>
      <c r="G8" s="77">
        <v>0.008649874752839685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-0.39786285</v>
      </c>
      <c r="E9" s="80">
        <v>0.022396103705421617</v>
      </c>
      <c r="F9" s="80">
        <v>0.8599456699999999</v>
      </c>
      <c r="G9" s="80">
        <v>0.022839245715518135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0.9572785500000001</v>
      </c>
      <c r="E10" s="80">
        <v>0.004462581573486615</v>
      </c>
      <c r="F10" s="80">
        <v>-1.6160376000000003</v>
      </c>
      <c r="G10" s="80">
        <v>0.004433726563433311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3.9383275999999996</v>
      </c>
      <c r="E11" s="77">
        <v>0.006863441523232113</v>
      </c>
      <c r="F11" s="77">
        <v>-0.14007403</v>
      </c>
      <c r="G11" s="77">
        <v>0.010070417506767286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0.27535537000000004</v>
      </c>
      <c r="E12" s="80">
        <v>0.004385096392620443</v>
      </c>
      <c r="F12" s="80">
        <v>0.0083841408</v>
      </c>
      <c r="G12" s="80">
        <v>0.0031428561599584786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27.523805</v>
      </c>
      <c r="D13" s="83">
        <v>-0.004036928</v>
      </c>
      <c r="E13" s="80">
        <v>0.0027473331107420156</v>
      </c>
      <c r="F13" s="80">
        <v>0.07538065399999999</v>
      </c>
      <c r="G13" s="80">
        <v>0.0032319560018067087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0.07874595799999999</v>
      </c>
      <c r="E14" s="80">
        <v>0.004133062280856528</v>
      </c>
      <c r="F14" s="80">
        <v>0.17553480999999999</v>
      </c>
      <c r="G14" s="80">
        <v>0.003703991034869698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-0.090148875</v>
      </c>
      <c r="E15" s="77">
        <v>0.002470843591000594</v>
      </c>
      <c r="F15" s="77">
        <v>-0.027688069</v>
      </c>
      <c r="G15" s="77">
        <v>0.002945457370927997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12.5063</v>
      </c>
      <c r="D16" s="83">
        <v>0.0032413368</v>
      </c>
      <c r="E16" s="80">
        <v>0.002525193245702705</v>
      </c>
      <c r="F16" s="80">
        <v>-0.048839112</v>
      </c>
      <c r="G16" s="80">
        <v>0.0008046671735422963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0.3799999952316284</v>
      </c>
      <c r="D17" s="83">
        <v>0.13857363</v>
      </c>
      <c r="E17" s="80">
        <v>0.0007386292565261555</v>
      </c>
      <c r="F17" s="80">
        <v>0.01103559482</v>
      </c>
      <c r="G17" s="80">
        <v>0.000537478930839231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32.042999267578125</v>
      </c>
      <c r="D18" s="83">
        <v>0.009940856199999999</v>
      </c>
      <c r="E18" s="80">
        <v>0.0013773078472063026</v>
      </c>
      <c r="F18" s="85">
        <v>0.15925511</v>
      </c>
      <c r="G18" s="80">
        <v>0.0012472869827737977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0.12399999797344208</v>
      </c>
      <c r="D19" s="84">
        <v>-0.18403719000000002</v>
      </c>
      <c r="E19" s="80">
        <v>0.0008446698913786764</v>
      </c>
      <c r="F19" s="80">
        <v>0.0073678937</v>
      </c>
      <c r="G19" s="80">
        <v>0.0013290335573234299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0.08012949999999999</v>
      </c>
      <c r="D20" s="90">
        <v>-0.002334845974</v>
      </c>
      <c r="E20" s="91">
        <v>0.0012190897864906855</v>
      </c>
      <c r="F20" s="91">
        <v>-0.00284255441</v>
      </c>
      <c r="G20" s="91">
        <v>0.0013780631129032095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0.8914200999999998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-0.44286572404419416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-3.7624644</v>
      </c>
      <c r="I25" s="103" t="s">
        <v>65</v>
      </c>
      <c r="J25" s="104"/>
      <c r="K25" s="103"/>
      <c r="L25" s="106">
        <v>3.9408178109121206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1.9598705044427602</v>
      </c>
      <c r="I26" s="108" t="s">
        <v>67</v>
      </c>
      <c r="J26" s="109"/>
      <c r="K26" s="108"/>
      <c r="L26" s="111">
        <v>0.09430508379040012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HCMQAP066_pos4ap2res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3.5968170700000005E-05</v>
      </c>
      <c r="L2" s="54">
        <v>1.5623489778524173E-07</v>
      </c>
      <c r="M2" s="54">
        <v>0.0001298925</v>
      </c>
      <c r="N2" s="55">
        <v>1.4320216826838606E-07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-3.11489893E-05</v>
      </c>
      <c r="L3" s="54">
        <v>2.0121717517706985E-07</v>
      </c>
      <c r="M3" s="54">
        <v>1.413766E-05</v>
      </c>
      <c r="N3" s="55">
        <v>1.0922912340550592E-07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-0.0022611693261922797</v>
      </c>
      <c r="L4" s="54">
        <v>7.044671407639261E-06</v>
      </c>
      <c r="M4" s="54">
        <v>8.400095312959899E-08</v>
      </c>
      <c r="N4" s="55">
        <v>-1.5577446</v>
      </c>
    </row>
    <row r="5" spans="1:14" ht="15" customHeight="1" thickBot="1">
      <c r="A5" t="s">
        <v>18</v>
      </c>
      <c r="B5" s="58">
        <v>37832.58440972222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-2.2541738000000002</v>
      </c>
      <c r="E8" s="77">
        <v>0.01618305253220999</v>
      </c>
      <c r="F8" s="77">
        <v>-0.8260387600000001</v>
      </c>
      <c r="G8" s="77">
        <v>0.018996001460258923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-0.40373406999999994</v>
      </c>
      <c r="E9" s="80">
        <v>0.041674271682305905</v>
      </c>
      <c r="F9" s="80">
        <v>1.3836236</v>
      </c>
      <c r="G9" s="80">
        <v>0.0530995075385837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-0.17967943800000002</v>
      </c>
      <c r="E10" s="80">
        <v>0.012465194178106377</v>
      </c>
      <c r="F10" s="80">
        <v>-1.8667884000000001</v>
      </c>
      <c r="G10" s="80">
        <v>0.010851345291708224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2.8445410000000004</v>
      </c>
      <c r="E11" s="77">
        <v>0.004814690945248109</v>
      </c>
      <c r="F11" s="77">
        <v>0.205850951</v>
      </c>
      <c r="G11" s="77">
        <v>0.003149187464069181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0.06781256399999999</v>
      </c>
      <c r="E12" s="80">
        <v>0.006126439082122963</v>
      </c>
      <c r="F12" s="80">
        <v>-0.28745459</v>
      </c>
      <c r="G12" s="80">
        <v>0.006525606955250162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27.386475</v>
      </c>
      <c r="D13" s="83">
        <v>0.33049299</v>
      </c>
      <c r="E13" s="80">
        <v>0.004178826470125415</v>
      </c>
      <c r="F13" s="80">
        <v>-0.03715434620000001</v>
      </c>
      <c r="G13" s="80">
        <v>0.0032758513516286648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0.15727907</v>
      </c>
      <c r="E14" s="80">
        <v>0.008121114096698905</v>
      </c>
      <c r="F14" s="85">
        <v>0.44571934999999996</v>
      </c>
      <c r="G14" s="80">
        <v>0.002639849744779381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-0.39381654</v>
      </c>
      <c r="E15" s="77">
        <v>0.002320275007059215</v>
      </c>
      <c r="F15" s="77">
        <v>0.020742879999999998</v>
      </c>
      <c r="G15" s="77">
        <v>0.003913561365005037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-0.029017416600000002</v>
      </c>
      <c r="E16" s="80">
        <v>0.003354778527465019</v>
      </c>
      <c r="F16" s="80">
        <v>-0.044084183000000006</v>
      </c>
      <c r="G16" s="80">
        <v>0.0018390458068046703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-0.2630000114440918</v>
      </c>
      <c r="D17" s="84">
        <v>0.1662055</v>
      </c>
      <c r="E17" s="80">
        <v>0.0019350642591402008</v>
      </c>
      <c r="F17" s="80">
        <v>-0.093266936</v>
      </c>
      <c r="G17" s="80">
        <v>0.004130185135123622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120.54399871826172</v>
      </c>
      <c r="D18" s="83">
        <v>0.049337994999999996</v>
      </c>
      <c r="E18" s="80">
        <v>0.0008068790351784004</v>
      </c>
      <c r="F18" s="85">
        <v>0.20448735</v>
      </c>
      <c r="G18" s="80">
        <v>0.0018292329039798667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-0.38199999928474426</v>
      </c>
      <c r="D19" s="84">
        <v>-0.20463668</v>
      </c>
      <c r="E19" s="80">
        <v>0.001750584497419388</v>
      </c>
      <c r="F19" s="80">
        <v>-0.0032675557</v>
      </c>
      <c r="G19" s="80">
        <v>0.0022441950331799727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0.267348</v>
      </c>
      <c r="D20" s="90">
        <v>0.0043446284</v>
      </c>
      <c r="E20" s="91">
        <v>0.0013706852615454593</v>
      </c>
      <c r="F20" s="91">
        <v>-0.00479716715</v>
      </c>
      <c r="G20" s="91">
        <v>0.0025220491417235684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0.9773971000000001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-0.08925226652745902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-2.2611803</v>
      </c>
      <c r="I25" s="103" t="s">
        <v>65</v>
      </c>
      <c r="J25" s="104"/>
      <c r="K25" s="103"/>
      <c r="L25" s="106">
        <v>2.85197968343195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2.4007581206004027</v>
      </c>
      <c r="I26" s="108" t="s">
        <v>67</v>
      </c>
      <c r="J26" s="109"/>
      <c r="K26" s="108"/>
      <c r="L26" s="111">
        <v>0.3943624402098481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HCMQAP066_pos1ap2res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82</v>
      </c>
      <c r="C1" s="121" t="s">
        <v>73</v>
      </c>
      <c r="D1" s="121" t="s">
        <v>76</v>
      </c>
      <c r="E1" s="121" t="s">
        <v>79</v>
      </c>
      <c r="F1" s="128" t="s">
        <v>68</v>
      </c>
      <c r="G1" s="163" t="s">
        <v>122</v>
      </c>
    </row>
    <row r="2" spans="1:7" ht="13.5" thickBot="1">
      <c r="A2" s="140" t="s">
        <v>91</v>
      </c>
      <c r="B2" s="132">
        <v>-2.2611803</v>
      </c>
      <c r="C2" s="123">
        <v>-3.7658557</v>
      </c>
      <c r="D2" s="123">
        <v>-3.7625145</v>
      </c>
      <c r="E2" s="123">
        <v>-3.7624644</v>
      </c>
      <c r="F2" s="129">
        <v>-2.0885583</v>
      </c>
      <c r="G2" s="164">
        <v>3.1163858806363174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-2.2541738000000002</v>
      </c>
      <c r="C4" s="147">
        <v>-1.3758283000000002</v>
      </c>
      <c r="D4" s="147">
        <v>-0.9820304199999998</v>
      </c>
      <c r="E4" s="147">
        <v>-1.0988354</v>
      </c>
      <c r="F4" s="152">
        <v>-4.6481311000000005</v>
      </c>
      <c r="G4" s="159">
        <v>-1.778412430060839</v>
      </c>
    </row>
    <row r="5" spans="1:7" ht="12.75">
      <c r="A5" s="140" t="s">
        <v>94</v>
      </c>
      <c r="B5" s="134">
        <v>-0.40373406999999994</v>
      </c>
      <c r="C5" s="118">
        <v>-0.0852026726</v>
      </c>
      <c r="D5" s="118">
        <v>0.034443881100000004</v>
      </c>
      <c r="E5" s="118">
        <v>-0.39786285</v>
      </c>
      <c r="F5" s="153">
        <v>-2.4697180000000003</v>
      </c>
      <c r="G5" s="160">
        <v>-0.496099192226579</v>
      </c>
    </row>
    <row r="6" spans="1:7" ht="12.75">
      <c r="A6" s="140" t="s">
        <v>96</v>
      </c>
      <c r="B6" s="134">
        <v>-0.17967943800000002</v>
      </c>
      <c r="C6" s="118">
        <v>-0.17330607579999996</v>
      </c>
      <c r="D6" s="118">
        <v>1.04118805</v>
      </c>
      <c r="E6" s="118">
        <v>0.9572785500000001</v>
      </c>
      <c r="F6" s="154">
        <v>4.190403399999999</v>
      </c>
      <c r="G6" s="160">
        <v>0.9726101421341662</v>
      </c>
    </row>
    <row r="7" spans="1:7" ht="12.75">
      <c r="A7" s="140" t="s">
        <v>98</v>
      </c>
      <c r="B7" s="133">
        <v>2.8445410000000004</v>
      </c>
      <c r="C7" s="117">
        <v>3.6374484000000002</v>
      </c>
      <c r="D7" s="117">
        <v>4.5957988</v>
      </c>
      <c r="E7" s="117">
        <v>3.9383275999999996</v>
      </c>
      <c r="F7" s="155">
        <v>13.514298</v>
      </c>
      <c r="G7" s="160">
        <v>5.144638953099982</v>
      </c>
    </row>
    <row r="8" spans="1:7" ht="12.75">
      <c r="A8" s="140" t="s">
        <v>100</v>
      </c>
      <c r="B8" s="134">
        <v>0.06781256399999999</v>
      </c>
      <c r="C8" s="118">
        <v>0.41664777</v>
      </c>
      <c r="D8" s="118">
        <v>0.1633737</v>
      </c>
      <c r="E8" s="118">
        <v>0.27535537000000004</v>
      </c>
      <c r="F8" s="153">
        <v>-0.20998137</v>
      </c>
      <c r="G8" s="160">
        <v>0.18762254648951646</v>
      </c>
    </row>
    <row r="9" spans="1:7" ht="12.75">
      <c r="A9" s="140" t="s">
        <v>102</v>
      </c>
      <c r="B9" s="134">
        <v>0.33049299</v>
      </c>
      <c r="C9" s="118">
        <v>0.082917853</v>
      </c>
      <c r="D9" s="118">
        <v>-0.012572814999999998</v>
      </c>
      <c r="E9" s="118">
        <v>-0.004036928</v>
      </c>
      <c r="F9" s="153">
        <v>0.059294309999999996</v>
      </c>
      <c r="G9" s="160">
        <v>0.07166657640734686</v>
      </c>
    </row>
    <row r="10" spans="1:7" ht="12.75">
      <c r="A10" s="140" t="s">
        <v>104</v>
      </c>
      <c r="B10" s="134">
        <v>0.15727907</v>
      </c>
      <c r="C10" s="118">
        <v>0.07526141099999999</v>
      </c>
      <c r="D10" s="118">
        <v>0.06832128000000001</v>
      </c>
      <c r="E10" s="118">
        <v>0.07874595799999999</v>
      </c>
      <c r="F10" s="153">
        <v>0.1954141</v>
      </c>
      <c r="G10" s="160">
        <v>0.10233207815300521</v>
      </c>
    </row>
    <row r="11" spans="1:7" ht="12.75">
      <c r="A11" s="140" t="s">
        <v>106</v>
      </c>
      <c r="B11" s="133">
        <v>-0.39381654</v>
      </c>
      <c r="C11" s="117">
        <v>-0.0166004119</v>
      </c>
      <c r="D11" s="117">
        <v>-0.03182575</v>
      </c>
      <c r="E11" s="117">
        <v>-0.090148875</v>
      </c>
      <c r="F11" s="156">
        <v>-0.26001037</v>
      </c>
      <c r="G11" s="160">
        <v>-0.12499404771965908</v>
      </c>
    </row>
    <row r="12" spans="1:7" ht="12.75">
      <c r="A12" s="140" t="s">
        <v>108</v>
      </c>
      <c r="B12" s="134">
        <v>-0.029017416600000002</v>
      </c>
      <c r="C12" s="118">
        <v>-0.080360077</v>
      </c>
      <c r="D12" s="118">
        <v>0.048240528000000005</v>
      </c>
      <c r="E12" s="118">
        <v>0.0032413368</v>
      </c>
      <c r="F12" s="153">
        <v>-0.0033191263</v>
      </c>
      <c r="G12" s="160">
        <v>-0.011602461805699628</v>
      </c>
    </row>
    <row r="13" spans="1:7" ht="12.75">
      <c r="A13" s="140" t="s">
        <v>110</v>
      </c>
      <c r="B13" s="135">
        <v>0.1662055</v>
      </c>
      <c r="C13" s="118">
        <v>0.14219119</v>
      </c>
      <c r="D13" s="118">
        <v>0.12763637</v>
      </c>
      <c r="E13" s="118">
        <v>0.13857363</v>
      </c>
      <c r="F13" s="153">
        <v>0.038890622</v>
      </c>
      <c r="G13" s="161">
        <v>0.12749721215967538</v>
      </c>
    </row>
    <row r="14" spans="1:7" ht="12.75">
      <c r="A14" s="140" t="s">
        <v>112</v>
      </c>
      <c r="B14" s="134">
        <v>0.049337994999999996</v>
      </c>
      <c r="C14" s="118">
        <v>0.064785552</v>
      </c>
      <c r="D14" s="118">
        <v>-0.042721199</v>
      </c>
      <c r="E14" s="118">
        <v>0.009940856199999999</v>
      </c>
      <c r="F14" s="153">
        <v>-0.08216021700000001</v>
      </c>
      <c r="G14" s="160">
        <v>0.0038746486816945776</v>
      </c>
    </row>
    <row r="15" spans="1:7" ht="12.75">
      <c r="A15" s="140" t="s">
        <v>114</v>
      </c>
      <c r="B15" s="135">
        <v>-0.20463668</v>
      </c>
      <c r="C15" s="119">
        <v>-0.18244463000000002</v>
      </c>
      <c r="D15" s="119">
        <v>-0.19539656000000002</v>
      </c>
      <c r="E15" s="119">
        <v>-0.18403719000000002</v>
      </c>
      <c r="F15" s="153">
        <v>-0.14562981000000003</v>
      </c>
      <c r="G15" s="161">
        <v>-0.18423574742116067</v>
      </c>
    </row>
    <row r="16" spans="1:7" ht="12.75">
      <c r="A16" s="140" t="s">
        <v>116</v>
      </c>
      <c r="B16" s="134">
        <v>0.0043446284</v>
      </c>
      <c r="C16" s="118">
        <v>-0.00396632367</v>
      </c>
      <c r="D16" s="118">
        <v>0.00116260453</v>
      </c>
      <c r="E16" s="118">
        <v>-0.002334845974</v>
      </c>
      <c r="F16" s="153">
        <v>-0.0035954979</v>
      </c>
      <c r="G16" s="160">
        <v>-0.0010889933297495203</v>
      </c>
    </row>
    <row r="17" spans="1:7" ht="12.75">
      <c r="A17" s="140" t="s">
        <v>93</v>
      </c>
      <c r="B17" s="133">
        <v>-0.8260387600000001</v>
      </c>
      <c r="C17" s="117">
        <v>-1.4236594</v>
      </c>
      <c r="D17" s="117">
        <v>2.2420577</v>
      </c>
      <c r="E17" s="117">
        <v>1.6228534</v>
      </c>
      <c r="F17" s="155">
        <v>9.112691100000001</v>
      </c>
      <c r="G17" s="160">
        <v>1.6843993252593668</v>
      </c>
    </row>
    <row r="18" spans="1:7" ht="12.75">
      <c r="A18" s="140" t="s">
        <v>95</v>
      </c>
      <c r="B18" s="134">
        <v>1.3836236</v>
      </c>
      <c r="C18" s="119">
        <v>4.0005429</v>
      </c>
      <c r="D18" s="118">
        <v>0.52293681</v>
      </c>
      <c r="E18" s="118">
        <v>0.8599456699999999</v>
      </c>
      <c r="F18" s="153">
        <v>-1.18518714</v>
      </c>
      <c r="G18" s="160">
        <v>1.3376638633175058</v>
      </c>
    </row>
    <row r="19" spans="1:7" ht="12.75">
      <c r="A19" s="140" t="s">
        <v>97</v>
      </c>
      <c r="B19" s="134">
        <v>-1.8667884000000001</v>
      </c>
      <c r="C19" s="119">
        <v>-2.5640814</v>
      </c>
      <c r="D19" s="118">
        <v>-1.77027</v>
      </c>
      <c r="E19" s="118">
        <v>-1.6160376000000003</v>
      </c>
      <c r="F19" s="154">
        <v>-7.4234385000000005</v>
      </c>
      <c r="G19" s="161">
        <v>-2.693145561090657</v>
      </c>
    </row>
    <row r="20" spans="1:7" ht="12.75">
      <c r="A20" s="140" t="s">
        <v>99</v>
      </c>
      <c r="B20" s="133">
        <v>0.205850951</v>
      </c>
      <c r="C20" s="117">
        <v>-0.29897282000000003</v>
      </c>
      <c r="D20" s="117">
        <v>-0.121159451</v>
      </c>
      <c r="E20" s="117">
        <v>-0.14007403</v>
      </c>
      <c r="F20" s="155">
        <v>2.2333469</v>
      </c>
      <c r="G20" s="160">
        <v>0.19316204339177223</v>
      </c>
    </row>
    <row r="21" spans="1:7" ht="12.75">
      <c r="A21" s="140" t="s">
        <v>101</v>
      </c>
      <c r="B21" s="134">
        <v>-0.28745459</v>
      </c>
      <c r="C21" s="118">
        <v>0.29138574000000006</v>
      </c>
      <c r="D21" s="118">
        <v>0.075772184</v>
      </c>
      <c r="E21" s="118">
        <v>0.0083841408</v>
      </c>
      <c r="F21" s="153">
        <v>0.40593146</v>
      </c>
      <c r="G21" s="160">
        <v>0.10305124150568312</v>
      </c>
    </row>
    <row r="22" spans="1:7" ht="12.75">
      <c r="A22" s="140" t="s">
        <v>103</v>
      </c>
      <c r="B22" s="134">
        <v>-0.03715434620000001</v>
      </c>
      <c r="C22" s="118">
        <v>-0.06493391200000001</v>
      </c>
      <c r="D22" s="118">
        <v>0.047939576</v>
      </c>
      <c r="E22" s="118">
        <v>0.07538065399999999</v>
      </c>
      <c r="F22" s="153">
        <v>-0.105918111</v>
      </c>
      <c r="G22" s="160">
        <v>-0.005483826591286312</v>
      </c>
    </row>
    <row r="23" spans="1:7" ht="12.75">
      <c r="A23" s="140" t="s">
        <v>105</v>
      </c>
      <c r="B23" s="135">
        <v>0.44571934999999996</v>
      </c>
      <c r="C23" s="118">
        <v>0.041481425</v>
      </c>
      <c r="D23" s="118">
        <v>0.041302667</v>
      </c>
      <c r="E23" s="118">
        <v>0.17553480999999999</v>
      </c>
      <c r="F23" s="153">
        <v>0.36815635999999996</v>
      </c>
      <c r="G23" s="160">
        <v>0.17574971310942114</v>
      </c>
    </row>
    <row r="24" spans="1:7" ht="12.75">
      <c r="A24" s="140" t="s">
        <v>107</v>
      </c>
      <c r="B24" s="133">
        <v>0.020742879999999998</v>
      </c>
      <c r="C24" s="117">
        <v>0.078255303</v>
      </c>
      <c r="D24" s="117">
        <v>0.032765358</v>
      </c>
      <c r="E24" s="117">
        <v>-0.027688069</v>
      </c>
      <c r="F24" s="156">
        <v>0.21768267000000002</v>
      </c>
      <c r="G24" s="160">
        <v>0.052130396239515674</v>
      </c>
    </row>
    <row r="25" spans="1:7" ht="12.75">
      <c r="A25" s="140" t="s">
        <v>109</v>
      </c>
      <c r="B25" s="134">
        <v>-0.044084183000000006</v>
      </c>
      <c r="C25" s="118">
        <v>-0.028350174</v>
      </c>
      <c r="D25" s="118">
        <v>-0.035839580999999995</v>
      </c>
      <c r="E25" s="118">
        <v>-0.048839112</v>
      </c>
      <c r="F25" s="153">
        <v>0.075664375</v>
      </c>
      <c r="G25" s="160">
        <v>-0.023465754790148067</v>
      </c>
    </row>
    <row r="26" spans="1:7" ht="12.75">
      <c r="A26" s="140" t="s">
        <v>111</v>
      </c>
      <c r="B26" s="134">
        <v>-0.093266936</v>
      </c>
      <c r="C26" s="118">
        <v>-0.1268794</v>
      </c>
      <c r="D26" s="118">
        <v>0.07825944600000001</v>
      </c>
      <c r="E26" s="118">
        <v>0.01103559482</v>
      </c>
      <c r="F26" s="153">
        <v>0.07661538</v>
      </c>
      <c r="G26" s="160">
        <v>-0.012321405793519476</v>
      </c>
    </row>
    <row r="27" spans="1:7" ht="12.75">
      <c r="A27" s="140" t="s">
        <v>113</v>
      </c>
      <c r="B27" s="135">
        <v>0.20448735</v>
      </c>
      <c r="C27" s="119">
        <v>0.17459914999999998</v>
      </c>
      <c r="D27" s="119">
        <v>0.17359135</v>
      </c>
      <c r="E27" s="119">
        <v>0.15925511</v>
      </c>
      <c r="F27" s="153">
        <v>0.10764830299999999</v>
      </c>
      <c r="G27" s="161">
        <v>0.16604630460193642</v>
      </c>
    </row>
    <row r="28" spans="1:7" ht="12.75">
      <c r="A28" s="140" t="s">
        <v>115</v>
      </c>
      <c r="B28" s="134">
        <v>-0.0032675557</v>
      </c>
      <c r="C28" s="118">
        <v>0.018185795</v>
      </c>
      <c r="D28" s="118">
        <v>0.0084150503</v>
      </c>
      <c r="E28" s="118">
        <v>0.0073678937</v>
      </c>
      <c r="F28" s="153">
        <v>-0.02208782</v>
      </c>
      <c r="G28" s="160">
        <v>0.0047535363929690514</v>
      </c>
    </row>
    <row r="29" spans="1:7" ht="13.5" thickBot="1">
      <c r="A29" s="141" t="s">
        <v>117</v>
      </c>
      <c r="B29" s="136">
        <v>-0.00479716715</v>
      </c>
      <c r="C29" s="120">
        <v>-0.012417365999999999</v>
      </c>
      <c r="D29" s="120">
        <v>-0.00398372784</v>
      </c>
      <c r="E29" s="120">
        <v>-0.00284255441</v>
      </c>
      <c r="F29" s="157">
        <v>-0.0023354014899999997</v>
      </c>
      <c r="G29" s="162">
        <v>-0.005637308361945897</v>
      </c>
    </row>
    <row r="30" spans="1:7" ht="13.5" thickTop="1">
      <c r="A30" s="142" t="s">
        <v>118</v>
      </c>
      <c r="B30" s="137">
        <v>-0.08925226652745902</v>
      </c>
      <c r="C30" s="126">
        <v>-0.2036240897125341</v>
      </c>
      <c r="D30" s="126">
        <v>-0.32645714303903434</v>
      </c>
      <c r="E30" s="126">
        <v>-0.44286572404419416</v>
      </c>
      <c r="F30" s="122">
        <v>-0.5410291362017323</v>
      </c>
      <c r="G30" s="163" t="s">
        <v>129</v>
      </c>
    </row>
    <row r="31" spans="1:7" ht="13.5" thickBot="1">
      <c r="A31" s="143" t="s">
        <v>119</v>
      </c>
      <c r="B31" s="132">
        <v>27.386475</v>
      </c>
      <c r="C31" s="123">
        <v>27.404786</v>
      </c>
      <c r="D31" s="123">
        <v>27.438355</v>
      </c>
      <c r="E31" s="123">
        <v>27.523805</v>
      </c>
      <c r="F31" s="124">
        <v>27.648927</v>
      </c>
      <c r="G31" s="165">
        <v>-210.23</v>
      </c>
    </row>
    <row r="32" spans="1:7" ht="15.75" thickBot="1" thickTop="1">
      <c r="A32" s="144" t="s">
        <v>120</v>
      </c>
      <c r="B32" s="138">
        <v>-0.32250000536441803</v>
      </c>
      <c r="C32" s="127">
        <v>0.32099999487400055</v>
      </c>
      <c r="D32" s="127">
        <v>-0.30550000816583633</v>
      </c>
      <c r="E32" s="127">
        <v>0.25199999660253525</v>
      </c>
      <c r="F32" s="125">
        <v>-0.2655000016093254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134</v>
      </c>
    </row>
    <row r="3" spans="1:7" ht="12.75">
      <c r="A3" s="166" t="s">
        <v>135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136</v>
      </c>
    </row>
    <row r="4" spans="1:7" ht="12.75">
      <c r="A4" s="166" t="s">
        <v>137</v>
      </c>
      <c r="B4" s="166">
        <v>0.00226</v>
      </c>
      <c r="C4" s="166">
        <v>0.003764</v>
      </c>
      <c r="D4" s="166">
        <v>0.003761</v>
      </c>
      <c r="E4" s="166">
        <v>0.003761</v>
      </c>
      <c r="F4" s="166">
        <v>0.002087</v>
      </c>
      <c r="G4" s="166">
        <v>0.011723</v>
      </c>
    </row>
    <row r="5" spans="1:7" ht="12.75">
      <c r="A5" s="166" t="s">
        <v>138</v>
      </c>
      <c r="B5" s="166">
        <v>4.12686</v>
      </c>
      <c r="C5" s="166">
        <v>2.23055</v>
      </c>
      <c r="D5" s="166">
        <v>-0.45923</v>
      </c>
      <c r="E5" s="166">
        <v>-1.978853</v>
      </c>
      <c r="F5" s="166">
        <v>-4.091646</v>
      </c>
      <c r="G5" s="166">
        <v>-5.52057</v>
      </c>
    </row>
    <row r="6" spans="1:7" ht="12.75">
      <c r="A6" s="166" t="s">
        <v>139</v>
      </c>
      <c r="B6" s="167">
        <v>-183.6586</v>
      </c>
      <c r="C6" s="167">
        <v>-269.6864</v>
      </c>
      <c r="D6" s="167">
        <v>111.9804</v>
      </c>
      <c r="E6" s="167">
        <v>-86.65127</v>
      </c>
      <c r="F6" s="167">
        <v>155.8232</v>
      </c>
      <c r="G6" s="167">
        <v>1079.158</v>
      </c>
    </row>
    <row r="7" spans="1:7" ht="12.75">
      <c r="A7" s="166" t="s">
        <v>140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92</v>
      </c>
      <c r="B8" s="167">
        <v>-2.271833</v>
      </c>
      <c r="C8" s="167">
        <v>-1.372198</v>
      </c>
      <c r="D8" s="167">
        <v>-0.9771003</v>
      </c>
      <c r="E8" s="167">
        <v>-1.085775</v>
      </c>
      <c r="F8" s="167">
        <v>-4.351737</v>
      </c>
      <c r="G8" s="167">
        <v>1.760179</v>
      </c>
    </row>
    <row r="9" spans="1:7" ht="12.75">
      <c r="A9" s="166" t="s">
        <v>94</v>
      </c>
      <c r="B9" s="167">
        <v>-0.4054265</v>
      </c>
      <c r="C9" s="167">
        <v>-0.1207599</v>
      </c>
      <c r="D9" s="167">
        <v>-0.02790281</v>
      </c>
      <c r="E9" s="167">
        <v>-0.3987977</v>
      </c>
      <c r="F9" s="167">
        <v>-2.849984</v>
      </c>
      <c r="G9" s="167">
        <v>0.5709217</v>
      </c>
    </row>
    <row r="10" spans="1:7" ht="12.75">
      <c r="A10" s="166" t="s">
        <v>141</v>
      </c>
      <c r="B10" s="167">
        <v>0.03284975</v>
      </c>
      <c r="C10" s="167">
        <v>0.2386128</v>
      </c>
      <c r="D10" s="167">
        <v>0.6277791</v>
      </c>
      <c r="E10" s="167">
        <v>0.9742885</v>
      </c>
      <c r="F10" s="167">
        <v>2.488346</v>
      </c>
      <c r="G10" s="167">
        <v>2.745824</v>
      </c>
    </row>
    <row r="11" spans="1:7" ht="12.75">
      <c r="A11" s="166" t="s">
        <v>98</v>
      </c>
      <c r="B11" s="167">
        <v>2.846495</v>
      </c>
      <c r="C11" s="167">
        <v>3.693201</v>
      </c>
      <c r="D11" s="167">
        <v>4.577438</v>
      </c>
      <c r="E11" s="167">
        <v>3.939771</v>
      </c>
      <c r="F11" s="167">
        <v>13.59579</v>
      </c>
      <c r="G11" s="167">
        <v>5.165242</v>
      </c>
    </row>
    <row r="12" spans="1:7" ht="12.75">
      <c r="A12" s="166" t="s">
        <v>100</v>
      </c>
      <c r="B12" s="167">
        <v>0.10597</v>
      </c>
      <c r="C12" s="167">
        <v>0.4253251</v>
      </c>
      <c r="D12" s="167">
        <v>0.1663425</v>
      </c>
      <c r="E12" s="167">
        <v>0.2763938</v>
      </c>
      <c r="F12" s="167">
        <v>-0.2064881</v>
      </c>
      <c r="G12" s="167">
        <v>0.1049896</v>
      </c>
    </row>
    <row r="13" spans="1:7" ht="12.75">
      <c r="A13" s="166" t="s">
        <v>102</v>
      </c>
      <c r="B13" s="167">
        <v>0.3294461</v>
      </c>
      <c r="C13" s="167">
        <v>0.09514986</v>
      </c>
      <c r="D13" s="167">
        <v>-0.02295189</v>
      </c>
      <c r="E13" s="167">
        <v>0.0007823262</v>
      </c>
      <c r="F13" s="167">
        <v>0.01621047</v>
      </c>
      <c r="G13" s="167">
        <v>-0.06736699</v>
      </c>
    </row>
    <row r="14" spans="1:7" ht="12.75">
      <c r="A14" s="166" t="s">
        <v>104</v>
      </c>
      <c r="B14" s="167">
        <v>0.09614149</v>
      </c>
      <c r="C14" s="167">
        <v>0.06989699</v>
      </c>
      <c r="D14" s="167">
        <v>0.07443668</v>
      </c>
      <c r="E14" s="167">
        <v>0.07922145</v>
      </c>
      <c r="F14" s="167">
        <v>0.261296</v>
      </c>
      <c r="G14" s="167">
        <v>-0.1700685</v>
      </c>
    </row>
    <row r="15" spans="1:7" ht="12.75">
      <c r="A15" s="166" t="s">
        <v>106</v>
      </c>
      <c r="B15" s="167">
        <v>-0.3956785</v>
      </c>
      <c r="C15" s="167">
        <v>-0.03157779</v>
      </c>
      <c r="D15" s="167">
        <v>-0.03879925</v>
      </c>
      <c r="E15" s="167">
        <v>-0.09163108</v>
      </c>
      <c r="F15" s="167">
        <v>-0.2515378</v>
      </c>
      <c r="G15" s="167">
        <v>-0.1297712</v>
      </c>
    </row>
    <row r="16" spans="1:7" ht="12.75">
      <c r="A16" s="166" t="s">
        <v>108</v>
      </c>
      <c r="B16" s="167">
        <v>-0.004559757</v>
      </c>
      <c r="C16" s="167">
        <v>-0.04546622</v>
      </c>
      <c r="D16" s="167">
        <v>0.02154422</v>
      </c>
      <c r="E16" s="167">
        <v>0.00472599</v>
      </c>
      <c r="F16" s="167">
        <v>-0.01313175</v>
      </c>
      <c r="G16" s="167">
        <v>-0.03614756</v>
      </c>
    </row>
    <row r="17" spans="1:7" ht="12.75">
      <c r="A17" s="166" t="s">
        <v>142</v>
      </c>
      <c r="B17" s="167">
        <v>0.1677303</v>
      </c>
      <c r="C17" s="167">
        <v>0.1585862</v>
      </c>
      <c r="D17" s="167">
        <v>0.135906</v>
      </c>
      <c r="E17" s="167">
        <v>0.1418088</v>
      </c>
      <c r="F17" s="167">
        <v>0.06316953</v>
      </c>
      <c r="G17" s="167">
        <v>-0.1376739</v>
      </c>
    </row>
    <row r="18" spans="1:7" ht="12.75">
      <c r="A18" s="166" t="s">
        <v>143</v>
      </c>
      <c r="B18" s="167">
        <v>0.02720299</v>
      </c>
      <c r="C18" s="167">
        <v>0.04402686</v>
      </c>
      <c r="D18" s="167">
        <v>-0.02713823</v>
      </c>
      <c r="E18" s="167">
        <v>0.01279472</v>
      </c>
      <c r="F18" s="167">
        <v>-0.06241045</v>
      </c>
      <c r="G18" s="167">
        <v>-0.1676181</v>
      </c>
    </row>
    <row r="19" spans="1:7" ht="12.75">
      <c r="A19" s="166" t="s">
        <v>144</v>
      </c>
      <c r="B19" s="167">
        <v>-0.203446</v>
      </c>
      <c r="C19" s="167">
        <v>-0.1828614</v>
      </c>
      <c r="D19" s="167">
        <v>-0.1956687</v>
      </c>
      <c r="E19" s="167">
        <v>-0.1835971</v>
      </c>
      <c r="F19" s="167">
        <v>-0.1466836</v>
      </c>
      <c r="G19" s="167">
        <v>-0.1842639</v>
      </c>
    </row>
    <row r="20" spans="1:7" ht="12.75">
      <c r="A20" s="166" t="s">
        <v>116</v>
      </c>
      <c r="B20" s="167">
        <v>0.00456785</v>
      </c>
      <c r="C20" s="167">
        <v>-0.003573454</v>
      </c>
      <c r="D20" s="167">
        <v>0.001192773</v>
      </c>
      <c r="E20" s="167">
        <v>-0.002480344</v>
      </c>
      <c r="F20" s="167">
        <v>-0.003820072</v>
      </c>
      <c r="G20" s="167">
        <v>-0.005585416</v>
      </c>
    </row>
    <row r="21" spans="1:7" ht="12.75">
      <c r="A21" s="166" t="s">
        <v>145</v>
      </c>
      <c r="B21" s="167">
        <v>-1115.237</v>
      </c>
      <c r="C21" s="167">
        <v>-1079.912</v>
      </c>
      <c r="D21" s="167">
        <v>-1077.034</v>
      </c>
      <c r="E21" s="167">
        <v>-1063.347</v>
      </c>
      <c r="F21" s="167">
        <v>-1071.05</v>
      </c>
      <c r="G21" s="167">
        <v>-64.58062</v>
      </c>
    </row>
    <row r="22" spans="1:7" ht="12.75">
      <c r="A22" s="166" t="s">
        <v>146</v>
      </c>
      <c r="B22" s="167">
        <v>82.53907</v>
      </c>
      <c r="C22" s="167">
        <v>44.6113</v>
      </c>
      <c r="D22" s="167">
        <v>-9.18461</v>
      </c>
      <c r="E22" s="167">
        <v>-39.57727</v>
      </c>
      <c r="F22" s="167">
        <v>-81.83476</v>
      </c>
      <c r="G22" s="167">
        <v>0</v>
      </c>
    </row>
    <row r="23" spans="1:7" ht="12.75">
      <c r="A23" s="166" t="s">
        <v>93</v>
      </c>
      <c r="B23" s="167">
        <v>-0.8029099</v>
      </c>
      <c r="C23" s="167">
        <v>-1.185266</v>
      </c>
      <c r="D23" s="167">
        <v>2.213747</v>
      </c>
      <c r="E23" s="167">
        <v>1.638186</v>
      </c>
      <c r="F23" s="167">
        <v>9.247948</v>
      </c>
      <c r="G23" s="167">
        <v>1.736196</v>
      </c>
    </row>
    <row r="24" spans="1:7" ht="12.75">
      <c r="A24" s="166" t="s">
        <v>95</v>
      </c>
      <c r="B24" s="167">
        <v>1.284083</v>
      </c>
      <c r="C24" s="167">
        <v>3.784937</v>
      </c>
      <c r="D24" s="167">
        <v>0.6496081</v>
      </c>
      <c r="E24" s="167">
        <v>0.8465395</v>
      </c>
      <c r="F24" s="167">
        <v>-0.4437352</v>
      </c>
      <c r="G24" s="167">
        <v>-1.397588</v>
      </c>
    </row>
    <row r="25" spans="1:7" ht="12.75">
      <c r="A25" s="166" t="s">
        <v>97</v>
      </c>
      <c r="B25" s="167">
        <v>-1.794365</v>
      </c>
      <c r="C25" s="167">
        <v>-2.589383</v>
      </c>
      <c r="D25" s="167">
        <v>-1.763859</v>
      </c>
      <c r="E25" s="167">
        <v>-1.657151</v>
      </c>
      <c r="F25" s="167">
        <v>-7.787885</v>
      </c>
      <c r="G25" s="167">
        <v>0.7798843</v>
      </c>
    </row>
    <row r="26" spans="1:7" ht="12.75">
      <c r="A26" s="166" t="s">
        <v>99</v>
      </c>
      <c r="B26" s="167">
        <v>0.2544478</v>
      </c>
      <c r="C26" s="167">
        <v>-0.2139953</v>
      </c>
      <c r="D26" s="167">
        <v>-0.1430084</v>
      </c>
      <c r="E26" s="167">
        <v>-0.189828</v>
      </c>
      <c r="F26" s="167">
        <v>1.843937</v>
      </c>
      <c r="G26" s="167">
        <v>0.1514138</v>
      </c>
    </row>
    <row r="27" spans="1:7" ht="12.75">
      <c r="A27" s="166" t="s">
        <v>101</v>
      </c>
      <c r="B27" s="167">
        <v>-0.2779785</v>
      </c>
      <c r="C27" s="167">
        <v>0.2888076</v>
      </c>
      <c r="D27" s="167">
        <v>0.06941267</v>
      </c>
      <c r="E27" s="167">
        <v>0.004620948</v>
      </c>
      <c r="F27" s="167">
        <v>0.4330534</v>
      </c>
      <c r="G27" s="167">
        <v>-0.1966554</v>
      </c>
    </row>
    <row r="28" spans="1:7" ht="12.75">
      <c r="A28" s="166" t="s">
        <v>103</v>
      </c>
      <c r="B28" s="167">
        <v>0.02087654</v>
      </c>
      <c r="C28" s="167">
        <v>-0.0547992</v>
      </c>
      <c r="D28" s="167">
        <v>0.04274465</v>
      </c>
      <c r="E28" s="167">
        <v>0.07753235</v>
      </c>
      <c r="F28" s="167">
        <v>-0.1720573</v>
      </c>
      <c r="G28" s="167">
        <v>0.004219225</v>
      </c>
    </row>
    <row r="29" spans="1:7" ht="12.75">
      <c r="A29" s="166" t="s">
        <v>105</v>
      </c>
      <c r="B29" s="167">
        <v>0.4370565</v>
      </c>
      <c r="C29" s="167">
        <v>0.05656331</v>
      </c>
      <c r="D29" s="167">
        <v>0.035374</v>
      </c>
      <c r="E29" s="167">
        <v>0.175436</v>
      </c>
      <c r="F29" s="167">
        <v>0.3186627</v>
      </c>
      <c r="G29" s="167">
        <v>0.1025872</v>
      </c>
    </row>
    <row r="30" spans="1:7" ht="12.75">
      <c r="A30" s="166" t="s">
        <v>107</v>
      </c>
      <c r="B30" s="167">
        <v>-0.001160465</v>
      </c>
      <c r="C30" s="167">
        <v>0.06905901</v>
      </c>
      <c r="D30" s="167">
        <v>0.0405676</v>
      </c>
      <c r="E30" s="167">
        <v>-0.02721696</v>
      </c>
      <c r="F30" s="167">
        <v>0.2120682</v>
      </c>
      <c r="G30" s="167">
        <v>0.04799234</v>
      </c>
    </row>
    <row r="31" spans="1:7" ht="12.75">
      <c r="A31" s="166" t="s">
        <v>109</v>
      </c>
      <c r="B31" s="167">
        <v>-0.04986692</v>
      </c>
      <c r="C31" s="167">
        <v>-0.05340024</v>
      </c>
      <c r="D31" s="167">
        <v>-0.04823455</v>
      </c>
      <c r="E31" s="167">
        <v>-0.0509121</v>
      </c>
      <c r="F31" s="167">
        <v>0.05817949</v>
      </c>
      <c r="G31" s="167">
        <v>0.007040288</v>
      </c>
    </row>
    <row r="32" spans="1:7" ht="12.75">
      <c r="A32" s="166" t="s">
        <v>111</v>
      </c>
      <c r="B32" s="167">
        <v>-0.05327175</v>
      </c>
      <c r="C32" s="167">
        <v>-0.07885639</v>
      </c>
      <c r="D32" s="167">
        <v>0.03995571</v>
      </c>
      <c r="E32" s="167">
        <v>0.01038616</v>
      </c>
      <c r="F32" s="167">
        <v>0.04296919</v>
      </c>
      <c r="G32" s="167">
        <v>0.008839952</v>
      </c>
    </row>
    <row r="33" spans="1:7" ht="12.75">
      <c r="A33" s="166" t="s">
        <v>113</v>
      </c>
      <c r="B33" s="167">
        <v>0.2035145</v>
      </c>
      <c r="C33" s="167">
        <v>0.1775489</v>
      </c>
      <c r="D33" s="167">
        <v>0.17355</v>
      </c>
      <c r="E33" s="167">
        <v>0.1601534</v>
      </c>
      <c r="F33" s="167">
        <v>0.1136151</v>
      </c>
      <c r="G33" s="167">
        <v>0.002749437</v>
      </c>
    </row>
    <row r="34" spans="1:7" ht="12.75">
      <c r="A34" s="166" t="s">
        <v>115</v>
      </c>
      <c r="B34" s="167">
        <v>-0.01503654</v>
      </c>
      <c r="C34" s="167">
        <v>0.01229969</v>
      </c>
      <c r="D34" s="167">
        <v>0.009714037</v>
      </c>
      <c r="E34" s="167">
        <v>0.01249073</v>
      </c>
      <c r="F34" s="167">
        <v>-0.01369077</v>
      </c>
      <c r="G34" s="167">
        <v>0.004302839</v>
      </c>
    </row>
    <row r="35" spans="1:7" ht="12.75">
      <c r="A35" s="166" t="s">
        <v>117</v>
      </c>
      <c r="B35" s="167">
        <v>-0.004524979</v>
      </c>
      <c r="C35" s="167">
        <v>-0.01254727</v>
      </c>
      <c r="D35" s="167">
        <v>-0.003987088</v>
      </c>
      <c r="E35" s="167">
        <v>-0.00277814</v>
      </c>
      <c r="F35" s="167">
        <v>-0.00211786</v>
      </c>
      <c r="G35" s="167">
        <v>0.001019957</v>
      </c>
    </row>
    <row r="36" spans="1:6" ht="12.75">
      <c r="A36" s="166" t="s">
        <v>147</v>
      </c>
      <c r="B36" s="167">
        <v>27.64893</v>
      </c>
      <c r="C36" s="167">
        <v>27.65198</v>
      </c>
      <c r="D36" s="167">
        <v>27.65198</v>
      </c>
      <c r="E36" s="167">
        <v>27.64893</v>
      </c>
      <c r="F36" s="167">
        <v>27.65503</v>
      </c>
    </row>
    <row r="37" spans="1:6" ht="12.75">
      <c r="A37" s="166" t="s">
        <v>148</v>
      </c>
      <c r="B37" s="167">
        <v>-0.2466838</v>
      </c>
      <c r="C37" s="167">
        <v>-0.1993815</v>
      </c>
      <c r="D37" s="167">
        <v>-0.1841227</v>
      </c>
      <c r="E37" s="167">
        <v>-0.1688639</v>
      </c>
      <c r="F37" s="167">
        <v>-0.1607259</v>
      </c>
    </row>
    <row r="38" spans="1:7" ht="12.75">
      <c r="A38" s="166" t="s">
        <v>149</v>
      </c>
      <c r="B38" s="167">
        <v>0.0003278458</v>
      </c>
      <c r="C38" s="167">
        <v>0.0004666476</v>
      </c>
      <c r="D38" s="167">
        <v>-0.0001920482</v>
      </c>
      <c r="E38" s="167">
        <v>0.0001401506</v>
      </c>
      <c r="F38" s="167">
        <v>-0.0002797811</v>
      </c>
      <c r="G38" s="167">
        <v>4.98277E-05</v>
      </c>
    </row>
    <row r="39" spans="1:7" ht="12.75">
      <c r="A39" s="166" t="s">
        <v>150</v>
      </c>
      <c r="B39" s="167">
        <v>0.001893197</v>
      </c>
      <c r="C39" s="167">
        <v>0.001833769</v>
      </c>
      <c r="D39" s="167">
        <v>0.001830781</v>
      </c>
      <c r="E39" s="167">
        <v>0.001808245</v>
      </c>
      <c r="F39" s="167">
        <v>0.001818495</v>
      </c>
      <c r="G39" s="167">
        <v>0.0009175575</v>
      </c>
    </row>
    <row r="40" spans="2:5" ht="12.75">
      <c r="B40" s="166" t="s">
        <v>151</v>
      </c>
      <c r="C40" s="166">
        <v>0.003762</v>
      </c>
      <c r="D40" s="166" t="s">
        <v>152</v>
      </c>
      <c r="E40" s="166">
        <v>3.116387</v>
      </c>
    </row>
    <row r="42" ht="12.75">
      <c r="A42" s="166" t="s">
        <v>153</v>
      </c>
    </row>
    <row r="50" spans="1:7" ht="12.75">
      <c r="A50" s="166" t="s">
        <v>154</v>
      </c>
      <c r="B50" s="166">
        <f>-0.017/(B7*B7+B22*B22)*(B21*B22+B6*B7)</f>
        <v>0.0003278458910669158</v>
      </c>
      <c r="C50" s="166">
        <f>-0.017/(C7*C7+C22*C22)*(C21*C22+C6*C7)</f>
        <v>0.00046664756022412647</v>
      </c>
      <c r="D50" s="166">
        <f>-0.017/(D7*D7+D22*D22)*(D21*D22+D6*D7)</f>
        <v>-0.00019204818132574462</v>
      </c>
      <c r="E50" s="166">
        <f>-0.017/(E7*E7+E22*E22)*(E21*E22+E6*E7)</f>
        <v>0.0001401506206114603</v>
      </c>
      <c r="F50" s="166">
        <f>-0.017/(F7*F7+F22*F22)*(F21*F22+F6*F7)</f>
        <v>-0.0002797810536130979</v>
      </c>
      <c r="G50" s="166">
        <f>(B50*B$4+C50*C$4+D50*D$4+E50*E$4+F50*F$4)/SUM(B$4:F$4)</f>
        <v>0.00010991513757806454</v>
      </c>
    </row>
    <row r="51" spans="1:7" ht="12.75">
      <c r="A51" s="166" t="s">
        <v>155</v>
      </c>
      <c r="B51" s="166">
        <f>-0.017/(B7*B7+B22*B22)*(B21*B7-B6*B22)</f>
        <v>0.0018931968905048016</v>
      </c>
      <c r="C51" s="166">
        <f>-0.017/(C7*C7+C22*C22)*(C21*C7-C6*C22)</f>
        <v>0.0018337686245696572</v>
      </c>
      <c r="D51" s="166">
        <f>-0.017/(D7*D7+D22*D22)*(D21*D7-D6*D22)</f>
        <v>0.0018307814112353319</v>
      </c>
      <c r="E51" s="166">
        <f>-0.017/(E7*E7+E22*E22)*(E21*E7-E6*E22)</f>
        <v>0.0018082445778952606</v>
      </c>
      <c r="F51" s="166">
        <f>-0.017/(F7*F7+F22*F22)*(F21*F7-F6*F22)</f>
        <v>0.0018184954184625028</v>
      </c>
      <c r="G51" s="166">
        <f>(B51*B$4+C51*C$4+D51*D$4+E51*E$4+F51*F$4)/SUM(B$4:F$4)</f>
        <v>0.0018334617001773453</v>
      </c>
    </row>
    <row r="58" ht="12.75">
      <c r="A58" s="166" t="s">
        <v>157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159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162</v>
      </c>
      <c r="B62" s="166">
        <f>B7+(2/0.017)*(B8*B50-B23*B51)</f>
        <v>10000.091206519035</v>
      </c>
      <c r="C62" s="166">
        <f>C7+(2/0.017)*(C8*C50-C23*C51)</f>
        <v>10000.18037302985</v>
      </c>
      <c r="D62" s="166">
        <f>D7+(2/0.017)*(D8*D50-D23*D51)</f>
        <v>9999.545266291625</v>
      </c>
      <c r="E62" s="166">
        <f>E7+(2/0.017)*(E8*E50-E23*E51)</f>
        <v>9999.633598471508</v>
      </c>
      <c r="F62" s="166">
        <f>F7+(2/0.017)*(F8*F50-F23*F51)</f>
        <v>9998.164727352321</v>
      </c>
    </row>
    <row r="63" spans="1:6" ht="12.75">
      <c r="A63" s="166" t="s">
        <v>163</v>
      </c>
      <c r="B63" s="166">
        <f>B8+(3/0.017)*(B9*B50-B24*B51)</f>
        <v>-2.724292886159656</v>
      </c>
      <c r="C63" s="166">
        <f>C8+(3/0.017)*(C9*C50-C24*C51)</f>
        <v>-2.606971711049538</v>
      </c>
      <c r="D63" s="166">
        <f>D8+(3/0.017)*(D9*D50-D24*D51)</f>
        <v>-1.1860294323800338</v>
      </c>
      <c r="E63" s="166">
        <f>E8+(3/0.017)*(E9*E50-E24*E51)</f>
        <v>-1.3657706834122214</v>
      </c>
      <c r="F63" s="166">
        <f>F8+(3/0.017)*(F9*F50-F24*F51)</f>
        <v>-4.068624890380409</v>
      </c>
    </row>
    <row r="64" spans="1:6" ht="12.75">
      <c r="A64" s="166" t="s">
        <v>164</v>
      </c>
      <c r="B64" s="166">
        <f>B9+(4/0.017)*(B10*B50-B25*B51)</f>
        <v>0.3964219456448761</v>
      </c>
      <c r="C64" s="166">
        <f>C9+(4/0.017)*(C10*C50-C25*C51)</f>
        <v>1.0226936019652473</v>
      </c>
      <c r="D64" s="166">
        <f>D9+(4/0.017)*(D10*D50-D25*D51)</f>
        <v>0.7035504687790184</v>
      </c>
      <c r="E64" s="166">
        <f>E9+(4/0.017)*(E10*E50-E25*E51)</f>
        <v>0.3383979349254865</v>
      </c>
      <c r="F64" s="166">
        <f>F9+(4/0.017)*(F10*F50-F25*F51)</f>
        <v>0.31849626503033157</v>
      </c>
    </row>
    <row r="65" spans="1:6" ht="12.75">
      <c r="A65" s="166" t="s">
        <v>165</v>
      </c>
      <c r="B65" s="166">
        <f>B10+(5/0.017)*(B11*B50-B26*B51)</f>
        <v>0.16564148704021553</v>
      </c>
      <c r="C65" s="166">
        <f>C10+(5/0.017)*(C11*C50-C26*C51)</f>
        <v>0.860919006768434</v>
      </c>
      <c r="D65" s="166">
        <f>D10+(5/0.017)*(D11*D50-D26*D51)</f>
        <v>0.44622865215857443</v>
      </c>
      <c r="E65" s="166">
        <f>E10+(5/0.017)*(E11*E50-E26*E51)</f>
        <v>1.2376463830734514</v>
      </c>
      <c r="F65" s="166">
        <f>F10+(5/0.017)*(F11*F50-F26*F51)</f>
        <v>0.38333557725414336</v>
      </c>
    </row>
    <row r="66" spans="1:6" ht="12.75">
      <c r="A66" s="166" t="s">
        <v>166</v>
      </c>
      <c r="B66" s="166">
        <f>B11+(6/0.017)*(B12*B50-B27*B51)</f>
        <v>3.0444984803189</v>
      </c>
      <c r="C66" s="166">
        <f>C11+(6/0.017)*(C12*C50-C27*C51)</f>
        <v>3.576331801694054</v>
      </c>
      <c r="D66" s="166">
        <f>D11+(6/0.017)*(D12*D50-D27*D51)</f>
        <v>4.5213114586320975</v>
      </c>
      <c r="E66" s="166">
        <f>E11+(6/0.017)*(E12*E50-E27*E51)</f>
        <v>3.9504936912132083</v>
      </c>
      <c r="F66" s="166">
        <f>F11+(6/0.017)*(F12*F50-F27*F51)</f>
        <v>13.338236765056573</v>
      </c>
    </row>
    <row r="67" spans="1:6" ht="12.75">
      <c r="A67" s="166" t="s">
        <v>167</v>
      </c>
      <c r="B67" s="166">
        <f>B12+(7/0.017)*(B13*B50-B28*B51)</f>
        <v>0.13416935571786165</v>
      </c>
      <c r="C67" s="166">
        <f>C12+(7/0.017)*(C13*C50-C28*C51)</f>
        <v>0.48498589561489963</v>
      </c>
      <c r="D67" s="166">
        <f>D12+(7/0.017)*(D13*D50-D28*D51)</f>
        <v>0.13593440038700574</v>
      </c>
      <c r="E67" s="166">
        <f>E12+(7/0.017)*(E13*E50-E28*E51)</f>
        <v>0.21871058494260656</v>
      </c>
      <c r="F67" s="166">
        <f>F12+(7/0.017)*(F13*F50-F28*F51)</f>
        <v>-0.07952044084070273</v>
      </c>
    </row>
    <row r="68" spans="1:6" ht="12.75">
      <c r="A68" s="166" t="s">
        <v>168</v>
      </c>
      <c r="B68" s="166">
        <f>B13+(8/0.017)*(B14*B50-B29*B51)</f>
        <v>-0.045101859678758016</v>
      </c>
      <c r="C68" s="166">
        <f>C13+(8/0.017)*(C14*C50-C29*C51)</f>
        <v>0.06168785372738967</v>
      </c>
      <c r="D68" s="166">
        <f>D13+(8/0.017)*(D14*D50-D29*D51)</f>
        <v>-0.06015541501598355</v>
      </c>
      <c r="E68" s="166">
        <f>E13+(8/0.017)*(E14*E50-E29*E51)</f>
        <v>-0.14327803162794975</v>
      </c>
      <c r="F68" s="166">
        <f>F13+(8/0.017)*(F14*F50-F29*F51)</f>
        <v>-0.2908918030210725</v>
      </c>
    </row>
    <row r="69" spans="1:6" ht="12.75">
      <c r="A69" s="166" t="s">
        <v>169</v>
      </c>
      <c r="B69" s="166">
        <f>B14+(9/0.017)*(B15*B50-B30*B51)</f>
        <v>0.028628476169951247</v>
      </c>
      <c r="C69" s="166">
        <f>C14+(9/0.017)*(C15*C50-C30*C51)</f>
        <v>-0.004948039410794594</v>
      </c>
      <c r="D69" s="166">
        <f>D14+(9/0.017)*(D15*D50-D30*D51)</f>
        <v>0.03906187157575601</v>
      </c>
      <c r="E69" s="166">
        <f>E14+(9/0.017)*(E15*E50-E30*E51)</f>
        <v>0.09847762109161437</v>
      </c>
      <c r="F69" s="166">
        <f>F14+(9/0.017)*(F15*F50-F30*F51)</f>
        <v>0.09438859679137518</v>
      </c>
    </row>
    <row r="70" spans="1:6" ht="12.75">
      <c r="A70" s="166" t="s">
        <v>170</v>
      </c>
      <c r="B70" s="166">
        <f>B15+(10/0.017)*(B16*B50-B31*B51)</f>
        <v>-0.3410237939492129</v>
      </c>
      <c r="C70" s="166">
        <f>C15+(10/0.017)*(C16*C50-C31*C51)</f>
        <v>0.013543965306397773</v>
      </c>
      <c r="D70" s="166">
        <f>D15+(10/0.017)*(D16*D50-D31*D51)</f>
        <v>0.010712155441305556</v>
      </c>
      <c r="E70" s="166">
        <f>E15+(10/0.017)*(E16*E50-E31*E51)</f>
        <v>-0.03708762164366773</v>
      </c>
      <c r="F70" s="166">
        <f>F15+(10/0.017)*(F16*F50-F31*F51)</f>
        <v>-0.3116114006839419</v>
      </c>
    </row>
    <row r="71" spans="1:6" ht="12.75">
      <c r="A71" s="166" t="s">
        <v>171</v>
      </c>
      <c r="B71" s="166">
        <f>B16+(11/0.017)*(B17*B50-B32*B51)</f>
        <v>0.09628022019152192</v>
      </c>
      <c r="C71" s="166">
        <f>C16+(11/0.017)*(C17*C50-C32*C51)</f>
        <v>0.09598616874026364</v>
      </c>
      <c r="D71" s="166">
        <f>D16+(11/0.017)*(D17*D50-D32*D51)</f>
        <v>-0.04267680258774291</v>
      </c>
      <c r="E71" s="166">
        <f>E16+(11/0.017)*(E17*E50-E32*E51)</f>
        <v>0.0054337907090089375</v>
      </c>
      <c r="F71" s="166">
        <f>F16+(11/0.017)*(F17*F50-F32*F51)</f>
        <v>-0.07512834064156346</v>
      </c>
    </row>
    <row r="72" spans="1:6" ht="12.75">
      <c r="A72" s="166" t="s">
        <v>172</v>
      </c>
      <c r="B72" s="166">
        <f>B17+(12/0.017)*(B18*B50-B33*B51)</f>
        <v>-0.09794590946569764</v>
      </c>
      <c r="C72" s="166">
        <f>C17+(12/0.017)*(C18*C50-C33*C51)</f>
        <v>-0.056735147301312766</v>
      </c>
      <c r="D72" s="166">
        <f>D17+(12/0.017)*(D18*D50-D33*D51)</f>
        <v>-0.08469654084987674</v>
      </c>
      <c r="E72" s="166">
        <f>E17+(12/0.017)*(E18*E50-E33*E51)</f>
        <v>-0.06134649122325239</v>
      </c>
      <c r="F72" s="166">
        <f>F17+(12/0.017)*(F18*F50-F33*F51)</f>
        <v>-0.07034619519578225</v>
      </c>
    </row>
    <row r="73" spans="1:6" ht="12.75">
      <c r="A73" s="166" t="s">
        <v>173</v>
      </c>
      <c r="B73" s="166">
        <f>B18+(13/0.017)*(B19*B50-B34*B51)</f>
        <v>-0.0020330957039195706</v>
      </c>
      <c r="C73" s="166">
        <f>C18+(13/0.017)*(C19*C50-C34*C51)</f>
        <v>-0.03847466665766565</v>
      </c>
      <c r="D73" s="166">
        <f>D18+(13/0.017)*(D19*D50-D34*D51)</f>
        <v>-0.012001993827860796</v>
      </c>
      <c r="E73" s="166">
        <f>E18+(13/0.017)*(E19*E50-E34*E51)</f>
        <v>-0.02415398882064318</v>
      </c>
      <c r="F73" s="166">
        <f>F18+(13/0.017)*(F19*F50-F34*F51)</f>
        <v>-0.011988883483069465</v>
      </c>
    </row>
    <row r="74" spans="1:6" ht="12.75">
      <c r="A74" s="166" t="s">
        <v>174</v>
      </c>
      <c r="B74" s="166">
        <f>B19+(14/0.017)*(B20*B50-B35*B51)</f>
        <v>-0.19515781303748625</v>
      </c>
      <c r="C74" s="166">
        <f>C19+(14/0.017)*(C20*C50-C35*C51)</f>
        <v>-0.16528625585702156</v>
      </c>
      <c r="D74" s="166">
        <f>D19+(14/0.017)*(D20*D50-D35*D51)</f>
        <v>-0.18984600388590295</v>
      </c>
      <c r="E74" s="166">
        <f>E19+(14/0.017)*(E20*E50-E35*E51)</f>
        <v>-0.17974633013118493</v>
      </c>
      <c r="F74" s="166">
        <f>F19+(14/0.017)*(F20*F50-F35*F51)</f>
        <v>-0.14263175090213173</v>
      </c>
    </row>
    <row r="75" spans="1:6" ht="12.75">
      <c r="A75" s="166" t="s">
        <v>175</v>
      </c>
      <c r="B75" s="167">
        <f>B20</f>
        <v>0.00456785</v>
      </c>
      <c r="C75" s="167">
        <f>C20</f>
        <v>-0.003573454</v>
      </c>
      <c r="D75" s="167">
        <f>D20</f>
        <v>0.001192773</v>
      </c>
      <c r="E75" s="167">
        <f>E20</f>
        <v>-0.002480344</v>
      </c>
      <c r="F75" s="167">
        <f>F20</f>
        <v>-0.003820072</v>
      </c>
    </row>
    <row r="78" ht="12.75">
      <c r="A78" s="166" t="s">
        <v>157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176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177</v>
      </c>
      <c r="B82" s="166">
        <f>B22+(2/0.017)*(B8*B51+B23*B50)</f>
        <v>82.00209848435786</v>
      </c>
      <c r="C82" s="166">
        <f>C22+(2/0.017)*(C8*C51+C23*C50)</f>
        <v>44.25019469103366</v>
      </c>
      <c r="D82" s="166">
        <f>D22+(2/0.017)*(D8*D51+D23*D50)</f>
        <v>-9.445080958990328</v>
      </c>
      <c r="E82" s="166">
        <f>E22+(2/0.017)*(E8*E51+E23*E50)</f>
        <v>-39.78124105552791</v>
      </c>
      <c r="F82" s="166">
        <f>F22+(2/0.017)*(F8*F51+F23*F50)</f>
        <v>-83.07017346259447</v>
      </c>
    </row>
    <row r="83" spans="1:6" ht="12.75">
      <c r="A83" s="166" t="s">
        <v>178</v>
      </c>
      <c r="B83" s="166">
        <f>B23+(3/0.017)*(B9*B51+B24*B50)</f>
        <v>-0.8640694624334175</v>
      </c>
      <c r="C83" s="166">
        <f>C23+(3/0.017)*(C9*C51+C24*C50)</f>
        <v>-0.9126567233660254</v>
      </c>
      <c r="D83" s="166">
        <f>D23+(3/0.017)*(D9*D51+D24*D50)</f>
        <v>2.182716411756111</v>
      </c>
      <c r="E83" s="166">
        <f>E23+(3/0.017)*(E9*E51+E24*E50)</f>
        <v>1.5318658689873554</v>
      </c>
      <c r="F83" s="166">
        <f>F23+(3/0.017)*(F9*F51+F24*F50)</f>
        <v>8.355265503839373</v>
      </c>
    </row>
    <row r="84" spans="1:6" ht="12.75">
      <c r="A84" s="166" t="s">
        <v>179</v>
      </c>
      <c r="B84" s="166">
        <f>B24+(4/0.017)*(B10*B51+B25*B50)</f>
        <v>1.1602984946422528</v>
      </c>
      <c r="C84" s="166">
        <f>C24+(4/0.017)*(C10*C51+C25*C50)</f>
        <v>3.6035796839117378</v>
      </c>
      <c r="D84" s="166">
        <f>D24+(4/0.017)*(D10*D51+D25*D50)</f>
        <v>0.9997427399310808</v>
      </c>
      <c r="E84" s="166">
        <f>E24+(4/0.017)*(E10*E51+E25*E50)</f>
        <v>1.2064221250197187</v>
      </c>
      <c r="F84" s="166">
        <f>F24+(4/0.017)*(F10*F51+F25*F50)</f>
        <v>1.1336644402981495</v>
      </c>
    </row>
    <row r="85" spans="1:6" ht="12.75">
      <c r="A85" s="166" t="s">
        <v>180</v>
      </c>
      <c r="B85" s="166">
        <f>B25+(5/0.017)*(B11*B51+B26*B50)</f>
        <v>-0.1848370151298584</v>
      </c>
      <c r="C85" s="166">
        <f>C25+(5/0.017)*(C11*C51+C26*C50)</f>
        <v>-0.6268489607691612</v>
      </c>
      <c r="D85" s="166">
        <f>D25+(5/0.017)*(D11*D51+D26*D50)</f>
        <v>0.7090095013578055</v>
      </c>
      <c r="E85" s="166">
        <f>E25+(5/0.017)*(E11*E51+E26*E50)</f>
        <v>0.4303387167322221</v>
      </c>
      <c r="F85" s="166">
        <f>F25+(5/0.017)*(F11*F51+F26*F50)</f>
        <v>-0.6678899444934903</v>
      </c>
    </row>
    <row r="86" spans="1:6" ht="12.75">
      <c r="A86" s="166" t="s">
        <v>181</v>
      </c>
      <c r="B86" s="166">
        <f>B26+(6/0.017)*(B12*B51+B27*B50)</f>
        <v>0.29309061133771147</v>
      </c>
      <c r="C86" s="166">
        <f>C26+(6/0.017)*(C12*C51+C27*C50)</f>
        <v>0.10884676548334254</v>
      </c>
      <c r="D86" s="166">
        <f>D26+(6/0.017)*(D12*D51+D27*D50)</f>
        <v>-0.04022974828331209</v>
      </c>
      <c r="E86" s="166">
        <f>E26+(6/0.017)*(E12*E51+E27*E50)</f>
        <v>-0.013203805078630448</v>
      </c>
      <c r="F86" s="166">
        <f>F26+(6/0.017)*(F12*F51+F27*F50)</f>
        <v>1.66864601164479</v>
      </c>
    </row>
    <row r="87" spans="1:6" ht="12.75">
      <c r="A87" s="166" t="s">
        <v>182</v>
      </c>
      <c r="B87" s="166">
        <f>B27+(7/0.017)*(B13*B51+B28*B50)</f>
        <v>-0.018340009425094395</v>
      </c>
      <c r="C87" s="166">
        <f>C27+(7/0.017)*(C13*C51+C28*C50)</f>
        <v>0.3501238590838665</v>
      </c>
      <c r="D87" s="166">
        <f>D27+(7/0.017)*(D13*D51+D28*D50)</f>
        <v>0.04873017111703734</v>
      </c>
      <c r="E87" s="166">
        <f>E27+(7/0.017)*(E13*E51+E28*E50)</f>
        <v>0.009677766150283675</v>
      </c>
      <c r="F87" s="166">
        <f>F27+(7/0.017)*(F13*F51+F28*F50)</f>
        <v>0.46501335686550826</v>
      </c>
    </row>
    <row r="88" spans="1:6" ht="12.75">
      <c r="A88" s="166" t="s">
        <v>183</v>
      </c>
      <c r="B88" s="166">
        <f>B28+(8/0.017)*(B14*B51+B29*B50)</f>
        <v>0.1739598094614522</v>
      </c>
      <c r="C88" s="166">
        <f>C28+(8/0.017)*(C14*C51+C29*C50)</f>
        <v>0.017939641328734136</v>
      </c>
      <c r="D88" s="166">
        <f>D28+(8/0.017)*(D14*D51+D29*D50)</f>
        <v>0.10367819244322632</v>
      </c>
      <c r="E88" s="166">
        <f>E28+(8/0.017)*(E14*E51+E29*E50)</f>
        <v>0.15651551314969064</v>
      </c>
      <c r="F88" s="166">
        <f>F28+(8/0.017)*(F14*F51+F29*F50)</f>
        <v>0.009594367251474611</v>
      </c>
    </row>
    <row r="89" spans="1:6" ht="12.75">
      <c r="A89" s="166" t="s">
        <v>184</v>
      </c>
      <c r="B89" s="166">
        <f>B29+(9/0.017)*(B15*B51+B30*B50)</f>
        <v>0.04027415672386886</v>
      </c>
      <c r="C89" s="166">
        <f>C29+(9/0.017)*(C15*C51+C30*C50)</f>
        <v>0.04296794070204098</v>
      </c>
      <c r="D89" s="166">
        <f>D29+(9/0.017)*(D15*D51+D30*D50)</f>
        <v>-0.006356289131506147</v>
      </c>
      <c r="E89" s="166">
        <f>E29+(9/0.017)*(E15*E51+E30*E50)</f>
        <v>0.08569759431137663</v>
      </c>
      <c r="F89" s="166">
        <f>F29+(9/0.017)*(F15*F51+F30*F50)</f>
        <v>0.045087581662603904</v>
      </c>
    </row>
    <row r="90" spans="1:6" ht="12.75">
      <c r="A90" s="166" t="s">
        <v>185</v>
      </c>
      <c r="B90" s="166">
        <f>B30+(10/0.017)*(B16*B51+B31*B50)</f>
        <v>-0.015855278291776534</v>
      </c>
      <c r="C90" s="166">
        <f>C30+(10/0.017)*(C16*C51+C31*C50)</f>
        <v>0.005356880926373986</v>
      </c>
      <c r="D90" s="166">
        <f>D30+(10/0.017)*(D16*D51+D31*D50)</f>
        <v>0.06921825594125304</v>
      </c>
      <c r="E90" s="166">
        <f>E30+(10/0.017)*(E16*E51+E31*E50)</f>
        <v>-0.026387322717026766</v>
      </c>
      <c r="F90" s="166">
        <f>F30+(10/0.017)*(F16*F51+F31*F50)</f>
        <v>0.1884461139869014</v>
      </c>
    </row>
    <row r="91" spans="1:6" ht="12.75">
      <c r="A91" s="166" t="s">
        <v>186</v>
      </c>
      <c r="B91" s="166">
        <f>B31+(11/0.017)*(B17*B51+B32*B50)</f>
        <v>0.14430349991858404</v>
      </c>
      <c r="C91" s="166">
        <f>C31+(11/0.017)*(C17*C51+C32*C50)</f>
        <v>0.11096063143115355</v>
      </c>
      <c r="D91" s="166">
        <f>D31+(11/0.017)*(D17*D51+D32*D50)</f>
        <v>0.10779770455288067</v>
      </c>
      <c r="E91" s="166">
        <f>E31+(11/0.017)*(E17*E51+E32*E50)</f>
        <v>0.11595183089080215</v>
      </c>
      <c r="F91" s="166">
        <f>F31+(11/0.017)*(F17*F51+F32*F50)</f>
        <v>0.12473048364962415</v>
      </c>
    </row>
    <row r="92" spans="1:6" ht="12.75">
      <c r="A92" s="166" t="s">
        <v>187</v>
      </c>
      <c r="B92" s="166">
        <f>B32+(12/0.017)*(B18*B51+B33*B50)</f>
        <v>0.030179079655038375</v>
      </c>
      <c r="C92" s="166">
        <f>C32+(12/0.017)*(C18*C51+C33*C50)</f>
        <v>0.036617376243622324</v>
      </c>
      <c r="D92" s="166">
        <f>D32+(12/0.017)*(D18*D51+D33*D50)</f>
        <v>-0.018642498626055534</v>
      </c>
      <c r="E92" s="166">
        <f>E32+(12/0.017)*(E18*E51+E33*E50)</f>
        <v>0.04256139397792247</v>
      </c>
      <c r="F92" s="166">
        <f>F32+(12/0.017)*(F18*F51+F33*F50)</f>
        <v>-0.05958172984014629</v>
      </c>
    </row>
    <row r="93" spans="1:6" ht="12.75">
      <c r="A93" s="166" t="s">
        <v>188</v>
      </c>
      <c r="B93" s="166">
        <f>B33+(13/0.017)*(B19*B51+B34*B50)</f>
        <v>-0.094791913630973</v>
      </c>
      <c r="C93" s="166">
        <f>C33+(13/0.017)*(C19*C51+C34*C50)</f>
        <v>-0.07448735936784084</v>
      </c>
      <c r="D93" s="166">
        <f>D33+(13/0.017)*(D19*D51+D34*D50)</f>
        <v>-0.10181460965746639</v>
      </c>
      <c r="E93" s="166">
        <f>E33+(13/0.017)*(E19*E51+E34*E50)</f>
        <v>-0.09238144714127933</v>
      </c>
      <c r="F93" s="166">
        <f>F33+(13/0.017)*(F19*F51+F34*F50)</f>
        <v>-0.08743604556510312</v>
      </c>
    </row>
    <row r="94" spans="1:6" ht="12.75">
      <c r="A94" s="166" t="s">
        <v>189</v>
      </c>
      <c r="B94" s="166">
        <f>B34+(14/0.017)*(B20*B51+B35*B50)</f>
        <v>-0.009136492293194359</v>
      </c>
      <c r="C94" s="166">
        <f>C34+(14/0.017)*(C20*C51+C35*C50)</f>
        <v>0.0020813034921630356</v>
      </c>
      <c r="D94" s="166">
        <f>D34+(14/0.017)*(D20*D51+D35*D50)</f>
        <v>0.01214297081739573</v>
      </c>
      <c r="E94" s="166">
        <f>E34+(14/0.017)*(E20*E51+E35*E50)</f>
        <v>0.008476496301032477</v>
      </c>
      <c r="F94" s="166">
        <f>F34+(14/0.017)*(F20*F51+F35*F50)</f>
        <v>-0.018923678740699175</v>
      </c>
    </row>
    <row r="95" spans="1:6" ht="12.75">
      <c r="A95" s="166" t="s">
        <v>190</v>
      </c>
      <c r="B95" s="167">
        <f>B35</f>
        <v>-0.004524979</v>
      </c>
      <c r="C95" s="167">
        <f>C35</f>
        <v>-0.01254727</v>
      </c>
      <c r="D95" s="167">
        <f>D35</f>
        <v>-0.003987088</v>
      </c>
      <c r="E95" s="167">
        <f>E35</f>
        <v>-0.00277814</v>
      </c>
      <c r="F95" s="167">
        <f>F35</f>
        <v>-0.00211786</v>
      </c>
    </row>
    <row r="98" ht="12.75">
      <c r="A98" s="166" t="s">
        <v>158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160</v>
      </c>
      <c r="H100" s="166" t="s">
        <v>161</v>
      </c>
      <c r="I100" s="166" t="s">
        <v>156</v>
      </c>
      <c r="K100" s="166" t="s">
        <v>191</v>
      </c>
    </row>
    <row r="101" spans="1:9" ht="12.75">
      <c r="A101" s="166" t="s">
        <v>159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162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9999.999999999998</v>
      </c>
    </row>
    <row r="103" spans="1:11" ht="12.75">
      <c r="A103" s="166" t="s">
        <v>163</v>
      </c>
      <c r="B103" s="166">
        <f>B63*10000/B62</f>
        <v>-2.72426803905918</v>
      </c>
      <c r="C103" s="166">
        <f>C63*10000/C62</f>
        <v>-2.6069246891590607</v>
      </c>
      <c r="D103" s="166">
        <f>D63*10000/D62</f>
        <v>-1.1860833675888522</v>
      </c>
      <c r="E103" s="166">
        <f>E63*10000/E62</f>
        <v>-1.365820727292434</v>
      </c>
      <c r="F103" s="166">
        <f>F63*10000/F62</f>
        <v>-4.069371731043532</v>
      </c>
      <c r="G103" s="166">
        <f>AVERAGE(C103:E103)</f>
        <v>-1.7196095946801158</v>
      </c>
      <c r="H103" s="166">
        <f>STDEV(C103:E103)</f>
        <v>0.7736746327015892</v>
      </c>
      <c r="I103" s="166">
        <f>(B103*B4+C103*C4+D103*D4+E103*E4+F103*F4)/SUM(B4:F4)</f>
        <v>-2.1787117253121484</v>
      </c>
      <c r="K103" s="166">
        <f>(LN(H103)+LN(H123))/2-LN(K114*K115^3)</f>
        <v>-3.7619360531126986</v>
      </c>
    </row>
    <row r="104" spans="1:11" ht="12.75">
      <c r="A104" s="166" t="s">
        <v>164</v>
      </c>
      <c r="B104" s="166">
        <f>B64*10000/B62</f>
        <v>0.3964183300512795</v>
      </c>
      <c r="C104" s="166">
        <f>C64*10000/C62</f>
        <v>1.0226751556636091</v>
      </c>
      <c r="D104" s="166">
        <f>D64*10000/D62</f>
        <v>0.7035824630452753</v>
      </c>
      <c r="E104" s="166">
        <f>E64*10000/E62</f>
        <v>0.33841033433186213</v>
      </c>
      <c r="F104" s="166">
        <f>F64*10000/F62</f>
        <v>0.31855472850833355</v>
      </c>
      <c r="G104" s="166">
        <f>AVERAGE(C104:E104)</f>
        <v>0.6882226510135823</v>
      </c>
      <c r="H104" s="166">
        <f>STDEV(C104:E104)</f>
        <v>0.3423909013062094</v>
      </c>
      <c r="I104" s="166">
        <f>(B104*B4+C104*C4+D104*D4+E104*E4+F104*F4)/SUM(B4:F4)</f>
        <v>0.5967513171602394</v>
      </c>
      <c r="K104" s="166">
        <f>(LN(H104)+LN(H124))/2-LN(K114*K115^4)</f>
        <v>-3.6382912068968203</v>
      </c>
    </row>
    <row r="105" spans="1:11" ht="12.75">
      <c r="A105" s="166" t="s">
        <v>165</v>
      </c>
      <c r="B105" s="166">
        <f>B65*10000/B62</f>
        <v>0.16563997629565042</v>
      </c>
      <c r="C105" s="166">
        <f>C65*10000/C62</f>
        <v>0.8609034783915533</v>
      </c>
      <c r="D105" s="166">
        <f>D65*10000/D62</f>
        <v>0.4462489446023182</v>
      </c>
      <c r="E105" s="166">
        <f>E65*10000/E62</f>
        <v>1.2376917322877026</v>
      </c>
      <c r="F105" s="166">
        <f>F65*10000/F62</f>
        <v>0.38340594269810246</v>
      </c>
      <c r="G105" s="166">
        <f>AVERAGE(C105:E105)</f>
        <v>0.8482813850938581</v>
      </c>
      <c r="H105" s="166">
        <f>STDEV(C105:E105)</f>
        <v>0.3958723398700834</v>
      </c>
      <c r="I105" s="166">
        <f>(B105*B4+C105*C4+D105*D4+E105*E4+F105*F4)/SUM(B4:F4)</f>
        <v>0.6875363735232062</v>
      </c>
      <c r="K105" s="166">
        <f>(LN(H105)+LN(H125))/2-LN(K114*K115^5)</f>
        <v>-3.33422435664792</v>
      </c>
    </row>
    <row r="106" spans="1:11" ht="12.75">
      <c r="A106" s="166" t="s">
        <v>166</v>
      </c>
      <c r="B106" s="166">
        <f>B66*10000/B62</f>
        <v>3.0444707127612984</v>
      </c>
      <c r="C106" s="166">
        <f>C66*10000/C62</f>
        <v>3.57626729547729</v>
      </c>
      <c r="D106" s="166">
        <f>D66*10000/D62</f>
        <v>4.521517067254445</v>
      </c>
      <c r="E106" s="166">
        <f>E66*10000/E62</f>
        <v>3.9506384432096198</v>
      </c>
      <c r="F106" s="166">
        <f>F66*10000/F62</f>
        <v>13.340685144511273</v>
      </c>
      <c r="G106" s="166">
        <f>AVERAGE(C106:E106)</f>
        <v>4.016140935313785</v>
      </c>
      <c r="H106" s="166">
        <f>STDEV(C106:E106)</f>
        <v>0.47601703237917825</v>
      </c>
      <c r="I106" s="166">
        <f>(B106*B4+C106*C4+D106*D4+E106*E4+F106*F4)/SUM(B4:F4)</f>
        <v>5.120409434047683</v>
      </c>
      <c r="K106" s="166">
        <f>(LN(H106)+LN(H126))/2-LN(K114*K115^6)</f>
        <v>-3.742232229206394</v>
      </c>
    </row>
    <row r="107" spans="1:11" ht="12.75">
      <c r="A107" s="166" t="s">
        <v>167</v>
      </c>
      <c r="B107" s="166">
        <f>B67*10000/B62</f>
        <v>0.13416813201703298</v>
      </c>
      <c r="C107" s="166">
        <f>C67*10000/C62</f>
        <v>0.48497714793514146</v>
      </c>
      <c r="D107" s="166">
        <f>D67*10000/D62</f>
        <v>0.13594058206350576</v>
      </c>
      <c r="E107" s="166">
        <f>E67*10000/E62</f>
        <v>0.2187185988254985</v>
      </c>
      <c r="F107" s="166">
        <f>F67*10000/F62</f>
        <v>-0.07953503768862293</v>
      </c>
      <c r="G107" s="166">
        <f>AVERAGE(C107:E107)</f>
        <v>0.27987877627471525</v>
      </c>
      <c r="H107" s="166">
        <f>STDEV(C107:E107)</f>
        <v>0.18237888188625603</v>
      </c>
      <c r="I107" s="166">
        <f>(B107*B4+C107*C4+D107*D4+E107*E4+F107*F4)/SUM(B4:F4)</f>
        <v>0.2108717148886174</v>
      </c>
      <c r="K107" s="166">
        <f>(LN(H107)+LN(H127))/2-LN(K114*K115^7)</f>
        <v>-3.204318715437344</v>
      </c>
    </row>
    <row r="108" spans="1:9" ht="12.75">
      <c r="A108" s="166" t="s">
        <v>168</v>
      </c>
      <c r="B108" s="166">
        <f>B68*10000/B62</f>
        <v>-0.04510144832414751</v>
      </c>
      <c r="C108" s="166">
        <f>C68*10000/C62</f>
        <v>0.061686741064950916</v>
      </c>
      <c r="D108" s="166">
        <f>D68*10000/D62</f>
        <v>-0.06015815060987514</v>
      </c>
      <c r="E108" s="166">
        <f>E68*10000/E62</f>
        <v>-0.14328328154928646</v>
      </c>
      <c r="F108" s="166">
        <f>F68*10000/F62</f>
        <v>-0.2909451993977153</v>
      </c>
      <c r="G108" s="166">
        <f>AVERAGE(C108:E108)</f>
        <v>-0.04725156369807023</v>
      </c>
      <c r="H108" s="166">
        <f>STDEV(C108:E108)</f>
        <v>0.10309273753230257</v>
      </c>
      <c r="I108" s="166">
        <f>(B108*B4+C108*C4+D108*D4+E108*E4+F108*F4)/SUM(B4:F4)</f>
        <v>-0.07945283933587517</v>
      </c>
    </row>
    <row r="109" spans="1:9" ht="12.75">
      <c r="A109" s="166" t="s">
        <v>169</v>
      </c>
      <c r="B109" s="166">
        <f>B69*10000/B62</f>
        <v>0.02862821506196705</v>
      </c>
      <c r="C109" s="166">
        <f>C69*10000/C62</f>
        <v>-0.0049479501631183465</v>
      </c>
      <c r="D109" s="166">
        <f>D69*10000/D62</f>
        <v>0.039063647931504665</v>
      </c>
      <c r="E109" s="166">
        <f>E69*10000/E62</f>
        <v>0.09848122945891452</v>
      </c>
      <c r="F109" s="166">
        <f>F69*10000/F62</f>
        <v>0.09440592285217413</v>
      </c>
      <c r="G109" s="166">
        <f>AVERAGE(C109:E109)</f>
        <v>0.044198975742433616</v>
      </c>
      <c r="H109" s="166">
        <f>STDEV(C109:E109)</f>
        <v>0.05190546689045345</v>
      </c>
      <c r="I109" s="166">
        <f>(B109*B4+C109*C4+D109*D4+E109*E4+F109*F4)/SUM(B4:F4)</f>
        <v>0.04864115182523649</v>
      </c>
    </row>
    <row r="110" spans="1:11" ht="12.75">
      <c r="A110" s="166" t="s">
        <v>170</v>
      </c>
      <c r="B110" s="166">
        <f>B70*10000/B62</f>
        <v>-0.3410206836182657</v>
      </c>
      <c r="C110" s="166">
        <f>C70*10000/C62</f>
        <v>0.013543721014198297</v>
      </c>
      <c r="D110" s="166">
        <f>D70*10000/D62</f>
        <v>0.010712642581274304</v>
      </c>
      <c r="E110" s="166">
        <f>E70*10000/E62</f>
        <v>-0.037088980589585555</v>
      </c>
      <c r="F110" s="166">
        <f>F70*10000/F62</f>
        <v>-0.31166860036968175</v>
      </c>
      <c r="G110" s="166">
        <f>AVERAGE(C110:E110)</f>
        <v>-0.004277538998037651</v>
      </c>
      <c r="H110" s="166">
        <f>STDEV(C110:E110)</f>
        <v>0.028450778122223856</v>
      </c>
      <c r="I110" s="166">
        <f>(B110*B4+C110*C4+D110*D4+E110*E4+F110*F4)/SUM(B4:F4)</f>
        <v>-0.09399232107085155</v>
      </c>
      <c r="K110" s="166">
        <f>EXP(AVERAGE(K103:K107))</f>
        <v>0.02912377254796534</v>
      </c>
    </row>
    <row r="111" spans="1:9" ht="12.75">
      <c r="A111" s="166" t="s">
        <v>171</v>
      </c>
      <c r="B111" s="166">
        <f>B71*10000/B62</f>
        <v>0.09627934206115749</v>
      </c>
      <c r="C111" s="166">
        <f>C71*10000/C62</f>
        <v>0.09598443743988368</v>
      </c>
      <c r="D111" s="166">
        <f>D71*10000/D62</f>
        <v>-0.04267874333406542</v>
      </c>
      <c r="E111" s="166">
        <f>E71*10000/E62</f>
        <v>0.005433989811226202</v>
      </c>
      <c r="F111" s="166">
        <f>F71*10000/F62</f>
        <v>-0.07514213127138453</v>
      </c>
      <c r="G111" s="166">
        <f>AVERAGE(C111:E111)</f>
        <v>0.01957989463901482</v>
      </c>
      <c r="H111" s="166">
        <f>STDEV(C111:E111)</f>
        <v>0.07040560626210715</v>
      </c>
      <c r="I111" s="166">
        <f>(B111*B4+C111*C4+D111*D4+E111*E4+F111*F4)/SUM(B4:F4)</f>
        <v>0.018037330622347615</v>
      </c>
    </row>
    <row r="112" spans="1:9" ht="12.75">
      <c r="A112" s="166" t="s">
        <v>172</v>
      </c>
      <c r="B112" s="166">
        <f>B72*10000/B62</f>
        <v>-0.09794501614329973</v>
      </c>
      <c r="C112" s="166">
        <f>C72*10000/C62</f>
        <v>-0.05673412397072912</v>
      </c>
      <c r="D112" s="166">
        <f>D72*10000/D62</f>
        <v>-0.08470039246223325</v>
      </c>
      <c r="E112" s="166">
        <f>E72*10000/E62</f>
        <v>-0.06134873905042831</v>
      </c>
      <c r="F112" s="166">
        <f>F72*10000/F62</f>
        <v>-0.07035910801042691</v>
      </c>
      <c r="G112" s="166">
        <f>AVERAGE(C112:E112)</f>
        <v>-0.06759441849446356</v>
      </c>
      <c r="H112" s="166">
        <f>STDEV(C112:E112)</f>
        <v>0.014992812515434124</v>
      </c>
      <c r="I112" s="166">
        <f>(B112*B4+C112*C4+D112*D4+E112*E4+F112*F4)/SUM(B4:F4)</f>
        <v>-0.07234908342266762</v>
      </c>
    </row>
    <row r="113" spans="1:9" ht="12.75">
      <c r="A113" s="166" t="s">
        <v>173</v>
      </c>
      <c r="B113" s="166">
        <f>B73*10000/B62</f>
        <v>-0.0020330771609304928</v>
      </c>
      <c r="C113" s="166">
        <f>C73*10000/C62</f>
        <v>-0.038473972690963185</v>
      </c>
      <c r="D113" s="166">
        <f>D73*10000/D62</f>
        <v>-0.012002539623796101</v>
      </c>
      <c r="E113" s="166">
        <f>E73*10000/E62</f>
        <v>-0.024154873858913423</v>
      </c>
      <c r="F113" s="166">
        <f>F73*10000/F62</f>
        <v>-0.011991084173949512</v>
      </c>
      <c r="G113" s="166">
        <f>AVERAGE(C113:E113)</f>
        <v>-0.02487712872455757</v>
      </c>
      <c r="H113" s="166">
        <f>STDEV(C113:E113)</f>
        <v>0.0132504879617917</v>
      </c>
      <c r="I113" s="166">
        <f>(B113*B4+C113*C4+D113*D4+E113*E4+F113*F4)/SUM(B4:F4)</f>
        <v>-0.01985698281660535</v>
      </c>
    </row>
    <row r="114" spans="1:11" ht="12.75">
      <c r="A114" s="166" t="s">
        <v>174</v>
      </c>
      <c r="B114" s="166">
        <f>B74*10000/B62</f>
        <v>-0.19515603308724158</v>
      </c>
      <c r="C114" s="166">
        <f>C74*10000/C62</f>
        <v>-0.16528327459251935</v>
      </c>
      <c r="D114" s="166">
        <f>D74*10000/D62</f>
        <v>-0.1898546372162263</v>
      </c>
      <c r="E114" s="166">
        <f>E74*10000/E62</f>
        <v>-0.17975291630551346</v>
      </c>
      <c r="F114" s="166">
        <f>F74*10000/F62</f>
        <v>-0.14265793252228498</v>
      </c>
      <c r="G114" s="166">
        <f>AVERAGE(C114:E114)</f>
        <v>-0.17829694270475305</v>
      </c>
      <c r="H114" s="166">
        <f>STDEV(C114:E114)</f>
        <v>0.012350216987608102</v>
      </c>
      <c r="I114" s="166">
        <f>(B114*B4+C114*C4+D114*D4+E114*E4+F114*F4)/SUM(B4:F4)</f>
        <v>-0.1759739009987002</v>
      </c>
      <c r="J114" s="166" t="s">
        <v>192</v>
      </c>
      <c r="K114" s="166">
        <v>285</v>
      </c>
    </row>
    <row r="115" spans="1:11" ht="12.75">
      <c r="A115" s="166" t="s">
        <v>175</v>
      </c>
      <c r="B115" s="166">
        <f>B75*10000/B62</f>
        <v>0.004567808338610181</v>
      </c>
      <c r="C115" s="166">
        <f>C75*10000/C62</f>
        <v>-0.003573389545690081</v>
      </c>
      <c r="D115" s="166">
        <f>D75*10000/D62</f>
        <v>0.0011928272418755149</v>
      </c>
      <c r="E115" s="166">
        <f>E75*10000/E62</f>
        <v>-0.002480434883513265</v>
      </c>
      <c r="F115" s="166">
        <f>F75*10000/F62</f>
        <v>-0.003820773216057641</v>
      </c>
      <c r="G115" s="166">
        <f>AVERAGE(C115:E115)</f>
        <v>-0.0016203323957759436</v>
      </c>
      <c r="H115" s="166">
        <f>STDEV(C115:E115)</f>
        <v>0.002496805525782289</v>
      </c>
      <c r="I115" s="166">
        <f>(B115*B4+C115*C4+D115*D4+E115*E4+F115*F4)/SUM(B4:F4)</f>
        <v>-0.0010198706228382478</v>
      </c>
      <c r="J115" s="166" t="s">
        <v>193</v>
      </c>
      <c r="K115" s="166">
        <v>0.5536</v>
      </c>
    </row>
    <row r="118" ht="12.75">
      <c r="A118" s="166" t="s">
        <v>158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160</v>
      </c>
      <c r="H120" s="166" t="s">
        <v>161</v>
      </c>
      <c r="I120" s="166" t="s">
        <v>156</v>
      </c>
    </row>
    <row r="121" spans="1:9" ht="12.75">
      <c r="A121" s="166" t="s">
        <v>176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177</v>
      </c>
      <c r="B122" s="166">
        <f>B82*10000/B62</f>
        <v>82.00135057858361</v>
      </c>
      <c r="C122" s="166">
        <f>C82*10000/C62</f>
        <v>44.24939655126116</v>
      </c>
      <c r="D122" s="166">
        <f>D82*10000/D62</f>
        <v>-9.445510478191052</v>
      </c>
      <c r="E122" s="166">
        <f>E82*10000/E62</f>
        <v>-39.782698699689014</v>
      </c>
      <c r="F122" s="166">
        <f>F82*10000/F62</f>
        <v>-83.08542190281837</v>
      </c>
      <c r="G122" s="166">
        <f>AVERAGE(C122:E122)</f>
        <v>-1.6596042088729703</v>
      </c>
      <c r="H122" s="166">
        <f>STDEV(C122:E122)</f>
        <v>42.553654489269725</v>
      </c>
      <c r="I122" s="166">
        <f>(B122*B4+C122*C4+D122*D4+E122*E4+F122*F4)/SUM(B4:F4)</f>
        <v>-0.4265841043077377</v>
      </c>
    </row>
    <row r="123" spans="1:9" ht="12.75">
      <c r="A123" s="166" t="s">
        <v>178</v>
      </c>
      <c r="B123" s="166">
        <f>B83*10000/B62</f>
        <v>-0.8640615816285083</v>
      </c>
      <c r="C123" s="166">
        <f>C83*10000/C62</f>
        <v>-0.9126402617971071</v>
      </c>
      <c r="D123" s="166">
        <f>D83*10000/D62</f>
        <v>2.182815671742622</v>
      </c>
      <c r="E123" s="166">
        <f>E83*10000/E62</f>
        <v>1.5319219988435462</v>
      </c>
      <c r="F123" s="166">
        <f>F83*10000/F62</f>
        <v>8.35679920433956</v>
      </c>
      <c r="G123" s="166">
        <f>AVERAGE(C123:E123)</f>
        <v>0.9340324695963537</v>
      </c>
      <c r="H123" s="166">
        <f>STDEV(C123:E123)</f>
        <v>1.6320434356992928</v>
      </c>
      <c r="I123" s="166">
        <f>(B123*B4+C123*C4+D123*D4+E123*E4+F123*F4)/SUM(B4:F4)</f>
        <v>1.6646716048516919</v>
      </c>
    </row>
    <row r="124" spans="1:9" ht="12.75">
      <c r="A124" s="166" t="s">
        <v>179</v>
      </c>
      <c r="B124" s="166">
        <f>B84*10000/B62</f>
        <v>1.160287912060099</v>
      </c>
      <c r="C124" s="166">
        <f>C84*10000/C62</f>
        <v>3.603514686225531</v>
      </c>
      <c r="D124" s="166">
        <f>D84*10000/D62</f>
        <v>0.9997882036708252</v>
      </c>
      <c r="E124" s="166">
        <f>E84*10000/E62</f>
        <v>1.2064663301304621</v>
      </c>
      <c r="F124" s="166">
        <f>F84*10000/F62</f>
        <v>1.1338725368234281</v>
      </c>
      <c r="G124" s="166">
        <f>AVERAGE(C124:E124)</f>
        <v>1.9365897400089398</v>
      </c>
      <c r="H124" s="166">
        <f>STDEV(C124:E124)</f>
        <v>1.4472933511312096</v>
      </c>
      <c r="I124" s="166">
        <f>(B124*B4+C124*C4+D124*D4+E124*E4+F124*F4)/SUM(B4:F4)</f>
        <v>1.717520325349316</v>
      </c>
    </row>
    <row r="125" spans="1:9" ht="12.75">
      <c r="A125" s="166" t="s">
        <v>180</v>
      </c>
      <c r="B125" s="166">
        <f>B85*10000/B62</f>
        <v>-0.18483532931116028</v>
      </c>
      <c r="C125" s="166">
        <f>C85*10000/C62</f>
        <v>-0.6268376543084679</v>
      </c>
      <c r="D125" s="166">
        <f>D85*10000/D62</f>
        <v>0.7090417438759641</v>
      </c>
      <c r="E125" s="166">
        <f>E85*10000/E62</f>
        <v>0.43035448498633133</v>
      </c>
      <c r="F125" s="166">
        <f>F85*10000/F62</f>
        <v>-0.6680125430083392</v>
      </c>
      <c r="G125" s="166">
        <f>AVERAGE(C125:E125)</f>
        <v>0.17085285818460916</v>
      </c>
      <c r="H125" s="166">
        <f>STDEV(C125:E125)</f>
        <v>0.7047334690207038</v>
      </c>
      <c r="I125" s="166">
        <f>(B125*B4+C125*C4+D125*D4+E125*E4+F125*F4)/SUM(B4:F4)</f>
        <v>0.007291131864158742</v>
      </c>
    </row>
    <row r="126" spans="1:9" ht="12.75">
      <c r="A126" s="166" t="s">
        <v>181</v>
      </c>
      <c r="B126" s="166">
        <f>B86*10000/B62</f>
        <v>0.2930879381846502</v>
      </c>
      <c r="C126" s="166">
        <f>C86*10000/C62</f>
        <v>0.10884480221666662</v>
      </c>
      <c r="D126" s="166">
        <f>D86*10000/D62</f>
        <v>-0.040231577748766435</v>
      </c>
      <c r="E126" s="166">
        <f>E86*10000/E62</f>
        <v>-0.01320428888579349</v>
      </c>
      <c r="F126" s="166">
        <f>F86*10000/F62</f>
        <v>1.6689523098972536</v>
      </c>
      <c r="G126" s="166">
        <f>AVERAGE(C126:E126)</f>
        <v>0.01846964519403557</v>
      </c>
      <c r="H126" s="166">
        <f>STDEV(C126:E126)</f>
        <v>0.07942525002144822</v>
      </c>
      <c r="I126" s="166">
        <f>(B126*B4+C126*C4+D126*D4+E126*E4+F126*F4)/SUM(B4:F4)</f>
        <v>0.27852630667074973</v>
      </c>
    </row>
    <row r="127" spans="1:9" ht="12.75">
      <c r="A127" s="166" t="s">
        <v>182</v>
      </c>
      <c r="B127" s="166">
        <f>B87*10000/B62</f>
        <v>-0.018339842153778145</v>
      </c>
      <c r="C127" s="166">
        <f>C87*10000/C62</f>
        <v>0.35011754390764666</v>
      </c>
      <c r="D127" s="166">
        <f>D87*10000/D62</f>
        <v>0.04873238714294969</v>
      </c>
      <c r="E127" s="166">
        <f>E87*10000/E62</f>
        <v>0.009678120758107546</v>
      </c>
      <c r="F127" s="166">
        <f>F87*10000/F62</f>
        <v>0.46509871516054874</v>
      </c>
      <c r="G127" s="166">
        <f>AVERAGE(C127:E127)</f>
        <v>0.13617601726956796</v>
      </c>
      <c r="H127" s="166">
        <f>STDEV(C127:E127)</f>
        <v>0.1863049691926878</v>
      </c>
      <c r="I127" s="166">
        <f>(B127*B4+C127*C4+D127*D4+E127*E4+F127*F4)/SUM(B4:F4)</f>
        <v>0.15779040048338672</v>
      </c>
    </row>
    <row r="128" spans="1:9" ht="12.75">
      <c r="A128" s="166" t="s">
        <v>183</v>
      </c>
      <c r="B128" s="166">
        <f>B88*10000/B62</f>
        <v>0.17395822284905585</v>
      </c>
      <c r="C128" s="166">
        <f>C88*10000/C62</f>
        <v>0.0179393177518245</v>
      </c>
      <c r="D128" s="166">
        <f>D88*10000/D62</f>
        <v>0.10368290725451741</v>
      </c>
      <c r="E128" s="166">
        <f>E88*10000/E62</f>
        <v>0.15652124811214563</v>
      </c>
      <c r="F128" s="166">
        <f>F88*10000/F62</f>
        <v>0.009596128402672715</v>
      </c>
      <c r="G128" s="166">
        <f>AVERAGE(C128:E128)</f>
        <v>0.09271449103949585</v>
      </c>
      <c r="H128" s="166">
        <f>STDEV(C128:E128)</f>
        <v>0.06993902681119953</v>
      </c>
      <c r="I128" s="166">
        <f>(B128*B4+C128*C4+D128*D4+E128*E4+F128*F4)/SUM(B4:F4)</f>
        <v>0.09334894927186921</v>
      </c>
    </row>
    <row r="129" spans="1:9" ht="12.75">
      <c r="A129" s="166" t="s">
        <v>184</v>
      </c>
      <c r="B129" s="166">
        <f>B89*10000/B62</f>
        <v>0.0402737894006549</v>
      </c>
      <c r="C129" s="166">
        <f>C89*10000/C62</f>
        <v>0.042967165690255014</v>
      </c>
      <c r="D129" s="166">
        <f>D89*10000/D62</f>
        <v>-0.006356578186543282</v>
      </c>
      <c r="E129" s="166">
        <f>E89*10000/E62</f>
        <v>0.08570073439938432</v>
      </c>
      <c r="F129" s="166">
        <f>F89*10000/F62</f>
        <v>0.04509585798207171</v>
      </c>
      <c r="G129" s="166">
        <f>AVERAGE(C129:E129)</f>
        <v>0.04077044063436535</v>
      </c>
      <c r="H129" s="166">
        <f>STDEV(C129:E129)</f>
        <v>0.046067954164084345</v>
      </c>
      <c r="I129" s="166">
        <f>(B129*B4+C129*C4+D129*D4+E129*E4+F129*F4)/SUM(B4:F4)</f>
        <v>0.04127650501047008</v>
      </c>
    </row>
    <row r="130" spans="1:9" ht="12.75">
      <c r="A130" s="166" t="s">
        <v>185</v>
      </c>
      <c r="B130" s="166">
        <f>B90*10000/B62</f>
        <v>-0.01585513368262133</v>
      </c>
      <c r="C130" s="166">
        <f>C90*10000/C62</f>
        <v>0.005356784304432461</v>
      </c>
      <c r="D130" s="166">
        <f>D90*10000/D62</f>
        <v>0.0692214036718121</v>
      </c>
      <c r="E130" s="166">
        <f>E90*10000/E62</f>
        <v>-0.0263882895879907</v>
      </c>
      <c r="F130" s="166">
        <f>F90*10000/F62</f>
        <v>0.18848070533521308</v>
      </c>
      <c r="G130" s="166">
        <f>AVERAGE(C130:E130)</f>
        <v>0.01606329946275129</v>
      </c>
      <c r="H130" s="166">
        <f>STDEV(C130:E130)</f>
        <v>0.04869574377124636</v>
      </c>
      <c r="I130" s="166">
        <f>(B130*B4+C130*C4+D130*D4+E130*E4+F130*F4)/SUM(B4:F4)</f>
        <v>0.0344645882494084</v>
      </c>
    </row>
    <row r="131" spans="1:9" ht="12.75">
      <c r="A131" s="166" t="s">
        <v>186</v>
      </c>
      <c r="B131" s="166">
        <f>B91*10000/B62</f>
        <v>0.1443021837885968</v>
      </c>
      <c r="C131" s="166">
        <f>C91*10000/C62</f>
        <v>0.11095863003672476</v>
      </c>
      <c r="D131" s="166">
        <f>D91*10000/D62</f>
        <v>0.10780260670079242</v>
      </c>
      <c r="E131" s="166">
        <f>E91*10000/E62</f>
        <v>0.11595607953928026</v>
      </c>
      <c r="F131" s="166">
        <f>F91*10000/F62</f>
        <v>0.12475337929609691</v>
      </c>
      <c r="G131" s="166">
        <f>AVERAGE(C131:E131)</f>
        <v>0.11157243875893248</v>
      </c>
      <c r="H131" s="166">
        <f>STDEV(C131:E131)</f>
        <v>0.004111246853763686</v>
      </c>
      <c r="I131" s="166">
        <f>(B131*B4+C131*C4+D131*D4+E131*E4+F131*F4)/SUM(B4:F4)</f>
        <v>0.1180635796302903</v>
      </c>
    </row>
    <row r="132" spans="1:9" ht="12.75">
      <c r="A132" s="166" t="s">
        <v>187</v>
      </c>
      <c r="B132" s="166">
        <f>B92*10000/B62</f>
        <v>0.030178804404668535</v>
      </c>
      <c r="C132" s="166">
        <f>C92*10000/C62</f>
        <v>0.036616715776825536</v>
      </c>
      <c r="D132" s="166">
        <f>D92*10000/D62</f>
        <v>-0.018643346401860116</v>
      </c>
      <c r="E132" s="166">
        <f>E92*10000/E62</f>
        <v>0.042562953491044095</v>
      </c>
      <c r="F132" s="166">
        <f>F92*10000/F62</f>
        <v>-0.05959266671926951</v>
      </c>
      <c r="G132" s="166">
        <f>AVERAGE(C132:E132)</f>
        <v>0.020178774288669838</v>
      </c>
      <c r="H132" s="166">
        <f>STDEV(C132:E132)</f>
        <v>0.033752144034432156</v>
      </c>
      <c r="I132" s="166">
        <f>(B132*B4+C132*C4+D132*D4+E132*E4+F132*F4)/SUM(B4:F4)</f>
        <v>0.010978133624885028</v>
      </c>
    </row>
    <row r="133" spans="1:9" ht="12.75">
      <c r="A133" s="166" t="s">
        <v>188</v>
      </c>
      <c r="B133" s="166">
        <f>B93*10000/B62</f>
        <v>-0.09479104907481083</v>
      </c>
      <c r="C133" s="166">
        <f>C93*10000/C62</f>
        <v>-0.07448601584100498</v>
      </c>
      <c r="D133" s="166">
        <f>D93*10000/D62</f>
        <v>-0.10181923972151263</v>
      </c>
      <c r="E133" s="166">
        <f>E93*10000/E62</f>
        <v>-0.09238483213564973</v>
      </c>
      <c r="F133" s="166">
        <f>F93*10000/F62</f>
        <v>-0.08745209540897175</v>
      </c>
      <c r="G133" s="166">
        <f>AVERAGE(C133:E133)</f>
        <v>-0.08956336256605578</v>
      </c>
      <c r="H133" s="166">
        <f>STDEV(C133:E133)</f>
        <v>0.013883328124934516</v>
      </c>
      <c r="I133" s="166">
        <f>(B133*B4+C133*C4+D133*D4+E133*E4+F133*F4)/SUM(B4:F4)</f>
        <v>-0.09003436140906589</v>
      </c>
    </row>
    <row r="134" spans="1:9" ht="12.75">
      <c r="A134" s="166" t="s">
        <v>189</v>
      </c>
      <c r="B134" s="166">
        <f>B94*10000/B62</f>
        <v>-0.009136408963188559</v>
      </c>
      <c r="C134" s="166">
        <f>C94*10000/C62</f>
        <v>0.0020812659517384716</v>
      </c>
      <c r="D134" s="166">
        <f>D94*10000/D62</f>
        <v>0.012143523024321489</v>
      </c>
      <c r="E134" s="166">
        <f>E94*10000/E62</f>
        <v>0.008476806892532692</v>
      </c>
      <c r="F134" s="166">
        <f>F94*10000/F62</f>
        <v>-0.01892715238920701</v>
      </c>
      <c r="G134" s="166">
        <f>AVERAGE(C134:E134)</f>
        <v>0.007567198622864218</v>
      </c>
      <c r="H134" s="166">
        <f>STDEV(C134:E134)</f>
        <v>0.005092425232821164</v>
      </c>
      <c r="I134" s="166">
        <f>(B134*B4+C134*C4+D134*D4+E134*E4+F134*F4)/SUM(B4:F4)</f>
        <v>0.0016143858866852813</v>
      </c>
    </row>
    <row r="135" spans="1:9" ht="12.75">
      <c r="A135" s="166" t="s">
        <v>190</v>
      </c>
      <c r="B135" s="166">
        <f>B95*10000/B62</f>
        <v>-0.0045249377296180835</v>
      </c>
      <c r="C135" s="166">
        <f>C95*10000/C62</f>
        <v>-0.012547043685171483</v>
      </c>
      <c r="D135" s="166">
        <f>D95*10000/D62</f>
        <v>-0.0039872693145761706</v>
      </c>
      <c r="E135" s="166">
        <f>E95*10000/E62</f>
        <v>-0.0027782417952040284</v>
      </c>
      <c r="F135" s="166">
        <f>F95*10000/F62</f>
        <v>-0.00211824875640036</v>
      </c>
      <c r="G135" s="166">
        <f>AVERAGE(C135:E135)</f>
        <v>-0.006437518264983895</v>
      </c>
      <c r="H135" s="166">
        <f>STDEV(C135:E135)</f>
        <v>0.005325426042166816</v>
      </c>
      <c r="I135" s="166">
        <f>(B135*B4+C135*C4+D135*D4+E135*E4+F135*F4)/SUM(B4:F4)</f>
        <v>-0.005585575650125581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2003-07-30T13:30:53Z</cp:lastPrinted>
  <dcterms:created xsi:type="dcterms:W3CDTF">1999-06-17T15:15:05Z</dcterms:created>
  <dcterms:modified xsi:type="dcterms:W3CDTF">2003-09-26T12:53:49Z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1294825665</vt:i4>
  </property>
  <property fmtid="{D5CDD505-2E9C-101B-9397-08002B2CF9AE}" pid="3" name="_EmailSubject">
    <vt:lpwstr>WFM result of aperture 66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