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67_pos5ap2" sheetId="2" r:id="rId2"/>
    <sheet name="HCMQAP067_pos1ap2" sheetId="3" r:id="rId3"/>
    <sheet name="HCMQAP067_pos2ap2" sheetId="4" r:id="rId4"/>
    <sheet name="HCMQAP067_pos3ap2" sheetId="5" r:id="rId5"/>
    <sheet name="HCMQAP067_pos4ap2" sheetId="6" r:id="rId6"/>
    <sheet name="Lmag_hcmqap" sheetId="7" r:id="rId7"/>
    <sheet name="Result_HCMQAP" sheetId="8" r:id="rId8"/>
  </sheets>
  <definedNames>
    <definedName name="_xlnm.Print_Area" localSheetId="2">'HCMQAP067_pos1ap2'!$A$1:$N$28</definedName>
    <definedName name="_xlnm.Print_Area" localSheetId="3">'HCMQAP067_pos2ap2'!$A$1:$N$28</definedName>
    <definedName name="_xlnm.Print_Area" localSheetId="4">'HCMQAP067_pos3ap2'!$A$1:$N$28</definedName>
    <definedName name="_xlnm.Print_Area" localSheetId="5">'HCMQAP067_pos4ap2'!$A$1:$N$28</definedName>
    <definedName name="_xlnm.Print_Area" localSheetId="1">'HCMQAP067_pos5ap2'!$A$1:$N$28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<sst xmlns="http://schemas.openxmlformats.org/spreadsheetml/2006/main" count="505" uniqueCount="191">
  <si>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</si>
  <si>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</si>
  <si>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</si>
  <si>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</si>
  <si>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</si>
  <si>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</si>
  <si>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</si>
  <si>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</si>
  <si>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</si>
  <si>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</si>
  <si>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</si>
  <si>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</si>
  <si>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</si>
  <si>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</si>
  <si>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</si>
  <si>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hcmqap067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</si>
  <si>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</si>
  <si>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</si>
  <si>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</si>
  <si>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</si>
  <si>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</si>
  <si>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</si>
  <si>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</si>
  <si>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</si>
  <si>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</si>
  <si>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</si>
  <si>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</si>
  <si>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</si>
  <si>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</si>
  <si>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</si>
  <si>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</si>
  <si>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</si>
  <si>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</si>
  <si>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</si>
  <si>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</si>
  <si>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</si>
  <si>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</si>
  <si>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</si>
  <si>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</si>
  <si>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</si>
  <si>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</si>
  <si>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</si>
  <si>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</si>
  <si>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</si>
  <si>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</si>
  <si>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</si>
  <si>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</si>
  <si>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</si>
  <si>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</si>
  <si>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</si>
  <si>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</si>
  <si>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</si>
  <si>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</si>
  <si>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</si>
  <si>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</si>
  <si>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-2.089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</si>
  <si>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</si>
  <si>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</si>
  <si>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</si>
  <si>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</si>
  <si>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</si>
  <si>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</si>
  <si>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</si>
  <si>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</si>
  <si>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</si>
  <si>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</si>
  <si>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</si>
  <si>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</si>
  <si>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HCMQAP067_pos5ap2</t>
  </si>
  <si>
    <t>±12.5</t>
  </si>
  <si>
    <t>THCMQAP067_pos5ap2.xls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</si>
  <si>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</si>
  <si>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t>HCMQAP067_pos1ap2</t>
  </si>
  <si>
    <t>THCMQAP067_pos1ap2.xls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</si>
  <si>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-3.765 mT)</t>
    </r>
  </si>
  <si>
    <t>HCMQAP067_pos2ap2</t>
  </si>
  <si>
    <t>THCMQAP067_pos2ap2.xls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</si>
  <si>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-3.764 mT)</t>
    </r>
  </si>
  <si>
    <t>HCMQAP067_pos3ap2</t>
  </si>
  <si>
    <t>THCMQAP067_pos3ap2.xls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</si>
  <si>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-3.766 mT)</t>
    </r>
  </si>
  <si>
    <t>HCMQAP067_pos4ap2</t>
  </si>
  <si>
    <t>THCMQAP067_pos4ap2.xls</t>
  </si>
  <si>
    <t>Sommaire : Valeurs intégrales calculées avec les fichiers: HCMQAP067_pos5ap2+HCMQAP067_pos1ap2+HCMQAP067_pos2ap2+HCMQAP067_pos3ap2+HCMQAP067_pos4ap2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</si>
  <si>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</si>
  <si>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</si>
  <si>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</si>
  <si>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</si>
  <si>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</si>
  <si>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</si>
  <si>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</si>
  <si>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</si>
  <si>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</si>
  <si>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</si>
  <si>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</si>
  <si>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</si>
  <si>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</si>
  <si>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</si>
  <si>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</si>
  <si>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</si>
  <si>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</si>
  <si>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</si>
  <si>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</si>
  <si>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</si>
  <si>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</si>
  <si>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</si>
  <si>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</si>
  <si>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</si>
  <si>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</si>
  <si>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</si>
  <si>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</si>
  <si>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</si>
  <si>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</si>
  <si>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</si>
  <si>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</si>
  <si>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</si>
  <si>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</si>
  <si>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</si>
  <si>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</si>
  <si>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</si>
  <si>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</si>
  <si>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</si>
  <si>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</si>
  <si>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</si>
  <si>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</si>
  <si>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</si>
  <si>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</si>
  <si>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=-3.765</t>
    </r>
  </si>
  <si>
    <t>Gradient (T/m)</t>
  </si>
  <si>
    <t xml:space="preserve"> Fri 01/08/2003       09:39:19</t>
  </si>
  <si>
    <t>LISSNER</t>
  </si>
  <si>
    <t>HCMQAP067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</si>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</sst>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4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6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4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67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428164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35</xdr:row>
      <xdr:rowOff>142875</xdr:rowOff>
    </xdr:from>
    <xdr:to>
      <xdr:col>6</xdr:col>
      <xdr:colOff>800100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52400" y="5962650"/>
        <a:ext cx="53340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37629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1998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37629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1998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37629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1998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37629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1998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37629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81</v>
      </c>
      <c r="H6" s="25">
        <v>1998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4.1724113400000005E-05</v>
      </c>
      <c r="L2" s="54">
        <v>4.940766373523543E-07</v>
      </c>
      <c r="M2" s="54">
        <v>0.000108167952</v>
      </c>
      <c r="N2" s="55">
        <v>3.3321819816317183E-07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-3.15634786E-05</v>
      </c>
      <c r="L3" s="54">
        <v>1.8044804524347256E-07</v>
      </c>
      <c r="M3" s="54">
        <v>1.0276048E-05</v>
      </c>
      <c r="N3" s="55">
        <v>1.146750565119233E-07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-0.0020890800519515963</v>
      </c>
      <c r="L4" s="54">
        <v>3.709686437253509E-05</v>
      </c>
      <c r="M4" s="54">
        <v>4.5571268056728706E-08</v>
      </c>
      <c r="N4" s="55">
        <v>-8.877823000000001</v>
      </c>
    </row>
    <row r="5" spans="1:14" ht="15" customHeight="1" thickBot="1">
      <c r="A5" t="s">
        <v>18</v>
      </c>
      <c r="B5" s="58">
        <v>37834.39877314815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-4.0299568</v>
      </c>
      <c r="E8" s="77">
        <v>0.017101455115172026</v>
      </c>
      <c r="F8" s="77">
        <v>4.092793599999999</v>
      </c>
      <c r="G8" s="77">
        <v>0.029376371444446825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-3.0521445</v>
      </c>
      <c r="E9" s="79">
        <v>0.0467248979827728</v>
      </c>
      <c r="F9" s="83">
        <v>3.379119</v>
      </c>
      <c r="G9" s="79">
        <v>0.04674910178066621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4">
        <v>-1.8693104000000003</v>
      </c>
      <c r="E10" s="79">
        <v>0.025326475379469894</v>
      </c>
      <c r="F10" s="83">
        <v>-8.4119266</v>
      </c>
      <c r="G10" s="79">
        <v>0.027253203858519297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85">
        <v>13.714502000000001</v>
      </c>
      <c r="E11" s="77">
        <v>0.011859535233030308</v>
      </c>
      <c r="F11" s="77">
        <v>1.547137</v>
      </c>
      <c r="G11" s="77">
        <v>0.006619127314083348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4">
        <v>-0.125364424</v>
      </c>
      <c r="E12" s="79">
        <v>0.008855617134367371</v>
      </c>
      <c r="F12" s="79">
        <v>0.24757179</v>
      </c>
      <c r="G12" s="79">
        <v>0.005956164018173707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26.147462</v>
      </c>
      <c r="D13" s="84">
        <v>-0.097594999</v>
      </c>
      <c r="E13" s="79">
        <v>0.006180445555873216</v>
      </c>
      <c r="F13" s="79">
        <v>-0.36023894</v>
      </c>
      <c r="G13" s="79">
        <v>0.004086651521523082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7">
        <v>12.5</v>
      </c>
      <c r="D14" s="82">
        <v>0.5027552</v>
      </c>
      <c r="E14" s="79">
        <v>0.00495359868135591</v>
      </c>
      <c r="F14" s="79">
        <v>0.26468809000000004</v>
      </c>
      <c r="G14" s="79">
        <v>0.004347623425203674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-0.29158359999999994</v>
      </c>
      <c r="E15" s="77">
        <v>0.005703687692452002</v>
      </c>
      <c r="F15" s="77">
        <v>0.34810258000000005</v>
      </c>
      <c r="G15" s="77">
        <v>0.004032330111805186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4">
        <v>-0.096911597</v>
      </c>
      <c r="E16" s="79">
        <v>0.0018307421392170264</v>
      </c>
      <c r="F16" s="79">
        <v>0.047775552</v>
      </c>
      <c r="G16" s="79">
        <v>0.0037353903736685656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0.4230000078678131</v>
      </c>
      <c r="D17" s="84">
        <v>0.080334324</v>
      </c>
      <c r="E17" s="79">
        <v>0.0016661658007035434</v>
      </c>
      <c r="F17" s="79">
        <v>-0.06383022799999999</v>
      </c>
      <c r="G17" s="79">
        <v>0.004224783531754899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26.957000732421875</v>
      </c>
      <c r="D18" s="84">
        <v>0.018575288800000003</v>
      </c>
      <c r="E18" s="79">
        <v>0.0021416524185347216</v>
      </c>
      <c r="F18" s="79">
        <v>0.12621688</v>
      </c>
      <c r="G18" s="79">
        <v>0.0028684366359741616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0.15199999511241913</v>
      </c>
      <c r="D19" s="84">
        <v>-0.14028122</v>
      </c>
      <c r="E19" s="79">
        <v>0.0009690937945300538</v>
      </c>
      <c r="F19" s="79">
        <v>-0.017125658</v>
      </c>
      <c r="G19" s="79">
        <v>0.0015018246854064036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0.32376520000000003</v>
      </c>
      <c r="D20" s="89">
        <v>-0.0015948792009999996</v>
      </c>
      <c r="E20" s="90">
        <v>0.0020805730330757687</v>
      </c>
      <c r="F20" s="90">
        <v>0.002719886629</v>
      </c>
      <c r="G20" s="90">
        <v>0.001956681113773443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0.8859589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-0.5086622188127669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-2.0894093999999996</v>
      </c>
      <c r="I25" s="102" t="s">
        <v>65</v>
      </c>
      <c r="J25" s="103"/>
      <c r="K25" s="102"/>
      <c r="L25" s="105">
        <v>13.801492600612915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5.743823749216822</v>
      </c>
      <c r="I26" s="107" t="s">
        <v>67</v>
      </c>
      <c r="J26" s="108"/>
      <c r="K26" s="107"/>
      <c r="L26" s="110">
        <v>0.45408853981532765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HCMQAP067_pos5ap2res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6.5319744E-05</v>
      </c>
      <c r="L2" s="54">
        <v>1.232923828731027E-07</v>
      </c>
      <c r="M2" s="54">
        <v>0.000111309141</v>
      </c>
      <c r="N2" s="55">
        <v>3.241303494220585E-07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-3.2153889999999996E-05</v>
      </c>
      <c r="L3" s="54">
        <v>1.5275465482214483E-07</v>
      </c>
      <c r="M3" s="54">
        <v>1.3927499000000002E-05</v>
      </c>
      <c r="N3" s="55">
        <v>9.362006352284643E-08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-0.002260401389654346</v>
      </c>
      <c r="L4" s="54">
        <v>1.7274956192740754E-05</v>
      </c>
      <c r="M4" s="54">
        <v>8.475163356960423E-08</v>
      </c>
      <c r="N4" s="55">
        <v>-3.8211399</v>
      </c>
    </row>
    <row r="5" spans="1:14" ht="15" customHeight="1" thickBot="1">
      <c r="A5" t="s">
        <v>18</v>
      </c>
      <c r="B5" s="58">
        <v>37834.380625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-1.4137088</v>
      </c>
      <c r="E8" s="77">
        <v>0.012227508464919162</v>
      </c>
      <c r="F8" s="77">
        <v>2.8820761</v>
      </c>
      <c r="G8" s="77">
        <v>0.027573552608235345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4">
        <v>0.26042392999999997</v>
      </c>
      <c r="E9" s="79">
        <v>0.04121716731521716</v>
      </c>
      <c r="F9" s="79">
        <v>-0.28657211400000004</v>
      </c>
      <c r="G9" s="79">
        <v>0.0679491641604675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4">
        <v>-0.35527411000000003</v>
      </c>
      <c r="E10" s="79">
        <v>0.013684662211885143</v>
      </c>
      <c r="F10" s="79">
        <v>-1.1881716</v>
      </c>
      <c r="G10" s="79">
        <v>0.008137023788828258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3.0125728</v>
      </c>
      <c r="E11" s="77">
        <v>0.006594679647962846</v>
      </c>
      <c r="F11" s="77">
        <v>0.8755078099999999</v>
      </c>
      <c r="G11" s="77">
        <v>0.008413936794545366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4">
        <v>-0.15182902199999998</v>
      </c>
      <c r="E12" s="79">
        <v>0.007281776996197034</v>
      </c>
      <c r="F12" s="79">
        <v>-0.13174484300000003</v>
      </c>
      <c r="G12" s="79">
        <v>0.008032676673471522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25.146485</v>
      </c>
      <c r="D13" s="84">
        <v>0.106496067</v>
      </c>
      <c r="E13" s="79">
        <v>0.0034753247880915956</v>
      </c>
      <c r="F13" s="79">
        <v>-0.11414484</v>
      </c>
      <c r="G13" s="79">
        <v>0.007869669741825057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7">
        <v>12.5</v>
      </c>
      <c r="D14" s="84">
        <v>0.29433889</v>
      </c>
      <c r="E14" s="79">
        <v>0.0027704681341566666</v>
      </c>
      <c r="F14" s="79">
        <v>0.31468216</v>
      </c>
      <c r="G14" s="79">
        <v>0.003010776873732214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-0.46421827000000004</v>
      </c>
      <c r="E15" s="77">
        <v>0.004733496224418478</v>
      </c>
      <c r="F15" s="77">
        <v>0.13003861</v>
      </c>
      <c r="G15" s="77">
        <v>0.0024185960178158194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4">
        <v>-0.028666726000000003</v>
      </c>
      <c r="E16" s="79">
        <v>0.0036265053757817242</v>
      </c>
      <c r="F16" s="79">
        <v>-0.01948476464</v>
      </c>
      <c r="G16" s="79">
        <v>0.0018813865434554218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0.0010000000474974513</v>
      </c>
      <c r="D17" s="84">
        <v>0.07091815399999998</v>
      </c>
      <c r="E17" s="79">
        <v>0.00390644355628558</v>
      </c>
      <c r="F17" s="79">
        <v>-0.104708047</v>
      </c>
      <c r="G17" s="79">
        <v>0.0033127028271495423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29.5</v>
      </c>
      <c r="D18" s="84">
        <v>0.08173327999999999</v>
      </c>
      <c r="E18" s="79">
        <v>0.002093971318296878</v>
      </c>
      <c r="F18" s="79">
        <v>0.14222926</v>
      </c>
      <c r="G18" s="79">
        <v>0.002857849842346594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-0.11900000274181366</v>
      </c>
      <c r="D19" s="82">
        <v>-0.18206619</v>
      </c>
      <c r="E19" s="79">
        <v>0.001461753703399107</v>
      </c>
      <c r="F19" s="79">
        <v>0.0019136303</v>
      </c>
      <c r="G19" s="79">
        <v>0.0011064938797919583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0.48482450000000005</v>
      </c>
      <c r="D20" s="89">
        <v>-0.00178469468</v>
      </c>
      <c r="E20" s="90">
        <v>0.002933838873802839</v>
      </c>
      <c r="F20" s="90">
        <v>0.00083336159</v>
      </c>
      <c r="G20" s="90">
        <v>0.0009618386818259458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0.8408228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-0.21893537412584074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-2.2604674</v>
      </c>
      <c r="I25" s="102" t="s">
        <v>65</v>
      </c>
      <c r="J25" s="103"/>
      <c r="K25" s="102"/>
      <c r="L25" s="105">
        <v>3.1372135408146566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3.2101300935302683</v>
      </c>
      <c r="I26" s="107" t="s">
        <v>67</v>
      </c>
      <c r="J26" s="108"/>
      <c r="K26" s="107"/>
      <c r="L26" s="110">
        <v>0.48208779521216366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HCMQAP067_pos1ap2res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-7.3647437E-05</v>
      </c>
      <c r="L2" s="54">
        <v>3.5817126021848654E-07</v>
      </c>
      <c r="M2" s="54">
        <v>0.00017167231000000003</v>
      </c>
      <c r="N2" s="55">
        <v>1.4170694897486524E-07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-2.9907543000000002E-05</v>
      </c>
      <c r="L3" s="54">
        <v>2.1800206826074314E-07</v>
      </c>
      <c r="M3" s="54">
        <v>1.2893110000000004E-05</v>
      </c>
      <c r="N3" s="55">
        <v>2.0897310688216455E-07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-0.003764396965380937</v>
      </c>
      <c r="L4" s="54">
        <v>4.4922703122108464E-05</v>
      </c>
      <c r="M4" s="54">
        <v>4.6927569277377204E-08</v>
      </c>
      <c r="N4" s="55">
        <v>-5.9665029</v>
      </c>
    </row>
    <row r="5" spans="1:14" ht="15" customHeight="1" thickBot="1">
      <c r="A5" t="s">
        <v>18</v>
      </c>
      <c r="B5" s="58">
        <v>37834.38512731482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-2.3961835999999996</v>
      </c>
      <c r="E8" s="77">
        <v>0.0144371928968518</v>
      </c>
      <c r="F8" s="77">
        <v>1.5338181</v>
      </c>
      <c r="G8" s="77">
        <v>0.00895999706138703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4">
        <v>-0.30922301599999996</v>
      </c>
      <c r="E9" s="79">
        <v>0.01773238310829827</v>
      </c>
      <c r="F9" s="79">
        <v>0.5303065</v>
      </c>
      <c r="G9" s="79">
        <v>0.028486004522080548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4">
        <v>1.6001041</v>
      </c>
      <c r="E10" s="79">
        <v>0.009135561725460347</v>
      </c>
      <c r="F10" s="79">
        <v>-0.4545828800000001</v>
      </c>
      <c r="G10" s="79">
        <v>0.009595399108663017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3.9298298000000003</v>
      </c>
      <c r="E11" s="77">
        <v>0.0029415713592508726</v>
      </c>
      <c r="F11" s="77">
        <v>0.15822185000000002</v>
      </c>
      <c r="G11" s="77">
        <v>0.004638559656509073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4">
        <v>-0.24731608</v>
      </c>
      <c r="E12" s="79">
        <v>0.003770343929086437</v>
      </c>
      <c r="F12" s="79">
        <v>-0.122320999</v>
      </c>
      <c r="G12" s="79">
        <v>0.006849987218286958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25.390626</v>
      </c>
      <c r="D13" s="84">
        <v>0.05619915200000001</v>
      </c>
      <c r="E13" s="79">
        <v>0.00289965695770292</v>
      </c>
      <c r="F13" s="79">
        <v>0.0206470021</v>
      </c>
      <c r="G13" s="79">
        <v>0.0032106574713319526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7">
        <v>12.5</v>
      </c>
      <c r="D14" s="84">
        <v>-0.05299807599999999</v>
      </c>
      <c r="E14" s="79">
        <v>0.0027741004232840756</v>
      </c>
      <c r="F14" s="79">
        <v>0.047850487</v>
      </c>
      <c r="G14" s="79">
        <v>0.002919897377430607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-0.12875861</v>
      </c>
      <c r="E15" s="77">
        <v>0.0016813886060045703</v>
      </c>
      <c r="F15" s="77">
        <v>0.032287897999999995</v>
      </c>
      <c r="G15" s="77">
        <v>0.0032778520963393787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4">
        <v>0.016831726499999998</v>
      </c>
      <c r="E16" s="79">
        <v>0.001803591789489532</v>
      </c>
      <c r="F16" s="79">
        <v>-0.06650757399999999</v>
      </c>
      <c r="G16" s="79">
        <v>0.004341265598644572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-0.1420000046491623</v>
      </c>
      <c r="D17" s="84">
        <v>0.054152079000000006</v>
      </c>
      <c r="E17" s="79">
        <v>0.0023061070717148805</v>
      </c>
      <c r="F17" s="79">
        <v>0.057665297000000004</v>
      </c>
      <c r="G17" s="79">
        <v>0.0025065218562633582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128.6820068359375</v>
      </c>
      <c r="D18" s="84">
        <v>-0.052568621999999995</v>
      </c>
      <c r="E18" s="79">
        <v>0.0016580439695514408</v>
      </c>
      <c r="F18" s="79">
        <v>0.12101006</v>
      </c>
      <c r="G18" s="79">
        <v>0.001384990201552735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-0.36000001430511475</v>
      </c>
      <c r="D19" s="82">
        <v>-0.17562842</v>
      </c>
      <c r="E19" s="79">
        <v>0.0006714189531109145</v>
      </c>
      <c r="F19" s="79">
        <v>0.00575210134</v>
      </c>
      <c r="G19" s="79">
        <v>0.0010432628409869974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-0.3417905</v>
      </c>
      <c r="D20" s="89">
        <v>0.0024519480740000004</v>
      </c>
      <c r="E20" s="90">
        <v>0.0011133895459809922</v>
      </c>
      <c r="F20" s="90">
        <v>-0.0003903126799999999</v>
      </c>
      <c r="G20" s="90">
        <v>0.001468058059308167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0.7711962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-0.3418557233757429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-3.7646650000000004</v>
      </c>
      <c r="I25" s="102" t="s">
        <v>65</v>
      </c>
      <c r="J25" s="103"/>
      <c r="K25" s="102"/>
      <c r="L25" s="105">
        <v>3.9330136550469112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2.8450472419270243</v>
      </c>
      <c r="I26" s="107" t="s">
        <v>67</v>
      </c>
      <c r="J26" s="108"/>
      <c r="K26" s="107"/>
      <c r="L26" s="110">
        <v>0.1327451995606263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HCMQAP067_pos2ap2res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-2.6676439999999996E-06</v>
      </c>
      <c r="L2" s="54">
        <v>2.3274159495887554E-07</v>
      </c>
      <c r="M2" s="54">
        <v>0.00021735918000000002</v>
      </c>
      <c r="N2" s="55">
        <v>1.0737417097398998E-07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-2.8686806E-05</v>
      </c>
      <c r="L3" s="54">
        <v>1.2594053161650072E-07</v>
      </c>
      <c r="M3" s="54">
        <v>1.120154E-05</v>
      </c>
      <c r="N3" s="55">
        <v>9.723080478946329E-08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-0.0037636581959731887</v>
      </c>
      <c r="L4" s="54">
        <v>6.573461341398213E-05</v>
      </c>
      <c r="M4" s="54">
        <v>3.684095983035232E-08</v>
      </c>
      <c r="N4" s="55">
        <v>-8.731920800000001</v>
      </c>
    </row>
    <row r="5" spans="1:14" ht="15" customHeight="1" thickBot="1">
      <c r="A5" t="s">
        <v>18</v>
      </c>
      <c r="B5" s="58">
        <v>37834.38967592592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-3.6529539</v>
      </c>
      <c r="E8" s="77">
        <v>0.020704373732145426</v>
      </c>
      <c r="F8" s="77">
        <v>0.54824066</v>
      </c>
      <c r="G8" s="77">
        <v>0.022023477038250958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4">
        <v>-0.96223748</v>
      </c>
      <c r="E9" s="79">
        <v>0.03039938640122259</v>
      </c>
      <c r="F9" s="115">
        <v>-2.5720096999999997</v>
      </c>
      <c r="G9" s="79">
        <v>0.029816902328364238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4">
        <v>1.09200766</v>
      </c>
      <c r="E10" s="79">
        <v>0.005830274035376959</v>
      </c>
      <c r="F10" s="79">
        <v>-1.493204</v>
      </c>
      <c r="G10" s="79">
        <v>0.0062004841423624404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4.162470999999999</v>
      </c>
      <c r="E11" s="77">
        <v>0.003412651477259131</v>
      </c>
      <c r="F11" s="77">
        <v>-0.00030516199999999874</v>
      </c>
      <c r="G11" s="77">
        <v>0.0041670337917739525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4">
        <v>-0.42268458999999997</v>
      </c>
      <c r="E12" s="79">
        <v>0.0031087964535176983</v>
      </c>
      <c r="F12" s="79">
        <v>-0.10956274499999999</v>
      </c>
      <c r="G12" s="79">
        <v>0.005269957692495481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25.646973</v>
      </c>
      <c r="D13" s="84">
        <v>-0.048469874</v>
      </c>
      <c r="E13" s="79">
        <v>0.0048961501152001265</v>
      </c>
      <c r="F13" s="79">
        <v>-0.371612</v>
      </c>
      <c r="G13" s="79">
        <v>0.002153010595889368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7">
        <v>12.5</v>
      </c>
      <c r="D14" s="84">
        <v>0.09002890100000001</v>
      </c>
      <c r="E14" s="79">
        <v>0.0020819891742229254</v>
      </c>
      <c r="F14" s="79">
        <v>0.098233991</v>
      </c>
      <c r="G14" s="79">
        <v>0.0022523267662958213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-0.080256158</v>
      </c>
      <c r="E15" s="77">
        <v>0.0015629778021062455</v>
      </c>
      <c r="F15" s="77">
        <v>0.039294959</v>
      </c>
      <c r="G15" s="77">
        <v>0.00420491133692545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4">
        <v>-0.039072462999999995</v>
      </c>
      <c r="E16" s="79">
        <v>0.004254609039146403</v>
      </c>
      <c r="F16" s="79">
        <v>-0.106395135</v>
      </c>
      <c r="G16" s="79">
        <v>0.003269371642976852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0.41999998688697815</v>
      </c>
      <c r="D17" s="82">
        <v>0.15552205000000002</v>
      </c>
      <c r="E17" s="79">
        <v>0.0012866040645775738</v>
      </c>
      <c r="F17" s="79">
        <v>-0.030795463000000002</v>
      </c>
      <c r="G17" s="79">
        <v>0.0034687201396316125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-7.629000186920166</v>
      </c>
      <c r="D18" s="84">
        <v>-0.00865659015</v>
      </c>
      <c r="E18" s="79">
        <v>0.0013870307023376954</v>
      </c>
      <c r="F18" s="83">
        <v>0.16623167</v>
      </c>
      <c r="G18" s="79">
        <v>0.0007012042966213509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0.09700000286102295</v>
      </c>
      <c r="D19" s="82">
        <v>-0.17699616999999998</v>
      </c>
      <c r="E19" s="79">
        <v>0.00169998365568692</v>
      </c>
      <c r="F19" s="79">
        <v>0.00200887677</v>
      </c>
      <c r="G19" s="79">
        <v>0.0013898058716916926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-0.029206299999999998</v>
      </c>
      <c r="D20" s="89">
        <v>-0.005303925879999999</v>
      </c>
      <c r="E20" s="90">
        <v>0.0017841969158689237</v>
      </c>
      <c r="F20" s="90">
        <v>-0.003991252648999999</v>
      </c>
      <c r="G20" s="90">
        <v>0.0010671858849085817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0.9812698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-0.5003026314700518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-3.764232200000001</v>
      </c>
      <c r="I25" s="102" t="s">
        <v>65</v>
      </c>
      <c r="J25" s="103"/>
      <c r="K25" s="102"/>
      <c r="L25" s="105">
        <v>4.162471011186125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3.6938651866036536</v>
      </c>
      <c r="I26" s="107" t="s">
        <v>67</v>
      </c>
      <c r="J26" s="108"/>
      <c r="K26" s="107"/>
      <c r="L26" s="110">
        <v>0.0893596368598969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HCMQAP067_pos3ap2res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-2.62355534E-05</v>
      </c>
      <c r="L2" s="54">
        <v>7.828011196031409E-08</v>
      </c>
      <c r="M2" s="54">
        <v>0.00017218418</v>
      </c>
      <c r="N2" s="55">
        <v>1.6254940667230876E-07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-2.92596086E-05</v>
      </c>
      <c r="L3" s="54">
        <v>1.1747219462669679E-07</v>
      </c>
      <c r="M3" s="54">
        <v>1.0556919999999999E-05</v>
      </c>
      <c r="N3" s="55">
        <v>1.2801805185215676E-07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-0.0037658521920363726</v>
      </c>
      <c r="L4" s="54">
        <v>6.090703533203078E-05</v>
      </c>
      <c r="M4" s="54">
        <v>5.8493211802658914E-08</v>
      </c>
      <c r="N4" s="55">
        <v>-8.0860483</v>
      </c>
    </row>
    <row r="5" spans="1:14" ht="15" customHeight="1" thickBot="1">
      <c r="A5" t="s">
        <v>18</v>
      </c>
      <c r="B5" s="58">
        <v>37834.394212962965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1998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71" t="s">
        <v>24</v>
      </c>
      <c r="J7" s="172"/>
      <c r="K7" s="171" t="s">
        <v>25</v>
      </c>
      <c r="L7" s="172"/>
      <c r="M7" s="171" t="s">
        <v>26</v>
      </c>
      <c r="N7" s="173"/>
    </row>
    <row r="8" spans="1:14" ht="15" customHeight="1">
      <c r="A8" s="56" t="s">
        <v>27</v>
      </c>
      <c r="B8" s="71" t="s">
        <v>28</v>
      </c>
      <c r="D8" s="76">
        <v>-3.3821512000000005</v>
      </c>
      <c r="E8" s="77">
        <v>0.011026439205622256</v>
      </c>
      <c r="F8" s="116">
        <v>5.2984817</v>
      </c>
      <c r="G8" s="77">
        <v>0.005878486868345004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4">
        <v>-0.44583705</v>
      </c>
      <c r="E9" s="79">
        <v>0.041636134786180355</v>
      </c>
      <c r="F9" s="83">
        <v>-3.2552651000000004</v>
      </c>
      <c r="G9" s="79">
        <v>0.02422921856845577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4">
        <v>1.7088981</v>
      </c>
      <c r="E10" s="79">
        <v>0.0062193303127836465</v>
      </c>
      <c r="F10" s="79">
        <v>1.3723835000000002</v>
      </c>
      <c r="G10" s="79">
        <v>0.003297511258424347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2.6375728</v>
      </c>
      <c r="E11" s="77">
        <v>0.006565267203957784</v>
      </c>
      <c r="F11" s="77">
        <v>0.33054346</v>
      </c>
      <c r="G11" s="77">
        <v>0.005061040904537058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6">
        <v>0.7499</v>
      </c>
      <c r="D12" s="84">
        <v>0.056095082000000004</v>
      </c>
      <c r="E12" s="79">
        <v>0.004088206390847368</v>
      </c>
      <c r="F12" s="83">
        <v>-0.6196225500000001</v>
      </c>
      <c r="G12" s="79">
        <v>0.0030494152401720756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25.906373</v>
      </c>
      <c r="D13" s="84">
        <v>0.033313928</v>
      </c>
      <c r="E13" s="79">
        <v>0.0032019357806748997</v>
      </c>
      <c r="F13" s="83">
        <v>-0.47076748</v>
      </c>
      <c r="G13" s="79">
        <v>0.0017956663970669193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7">
        <v>12.5</v>
      </c>
      <c r="D14" s="84">
        <v>0.18024829</v>
      </c>
      <c r="E14" s="79">
        <v>0.0006113119485133373</v>
      </c>
      <c r="F14" s="79">
        <v>0.059419293</v>
      </c>
      <c r="G14" s="79">
        <v>0.0016644436636295012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-0.16737282999999997</v>
      </c>
      <c r="E15" s="77">
        <v>0.00199861049747143</v>
      </c>
      <c r="F15" s="77">
        <v>0.21722885</v>
      </c>
      <c r="G15" s="77">
        <v>0.0016311600479414659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12.506</v>
      </c>
      <c r="D16" s="84">
        <v>-0.0182948765</v>
      </c>
      <c r="E16" s="79">
        <v>0.0011664181230314173</v>
      </c>
      <c r="F16" s="83">
        <v>-0.18908281999999998</v>
      </c>
      <c r="G16" s="79">
        <v>0.00030694571442946105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-0.2329999953508377</v>
      </c>
      <c r="D17" s="84">
        <v>0.097691928</v>
      </c>
      <c r="E17" s="79">
        <v>0.0014095269941428166</v>
      </c>
      <c r="F17" s="79">
        <v>0.0029764927</v>
      </c>
      <c r="G17" s="79">
        <v>0.0016489090979325874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95.62200164794922</v>
      </c>
      <c r="D18" s="84">
        <v>-0.051172467</v>
      </c>
      <c r="E18" s="79">
        <v>0.0011944019481464647</v>
      </c>
      <c r="F18" s="79">
        <v>0.09433535700000001</v>
      </c>
      <c r="G18" s="79">
        <v>0.0011040413439782296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-0.39800000190734863</v>
      </c>
      <c r="D19" s="84">
        <v>-0.14513538</v>
      </c>
      <c r="E19" s="79">
        <v>0.0007054807301377629</v>
      </c>
      <c r="F19" s="79">
        <v>0.00389642625</v>
      </c>
      <c r="G19" s="79">
        <v>0.0011171753571051406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8">
        <v>-0.13098179999999998</v>
      </c>
      <c r="D20" s="89">
        <v>-0.0048087337400000004</v>
      </c>
      <c r="E20" s="90">
        <v>0.0011036960982015837</v>
      </c>
      <c r="F20" s="90">
        <v>0.0099380011</v>
      </c>
      <c r="G20" s="90">
        <v>0.0016457728191897705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0.7751597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-0.4632968318590268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-3.7663447000000003</v>
      </c>
      <c r="I25" s="102" t="s">
        <v>65</v>
      </c>
      <c r="J25" s="103"/>
      <c r="K25" s="102"/>
      <c r="L25" s="105">
        <v>2.658204140815489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6.285925155845902</v>
      </c>
      <c r="I26" s="107" t="s">
        <v>67</v>
      </c>
      <c r="J26" s="108"/>
      <c r="K26" s="107"/>
      <c r="L26" s="110">
        <v>0.2742298989799095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HCMQAP067_pos4ap2res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2" t="s">
        <v>120</v>
      </c>
      <c r="B1" s="134" t="s">
        <v>72</v>
      </c>
      <c r="C1" s="124" t="s">
        <v>75</v>
      </c>
      <c r="D1" s="124" t="s">
        <v>78</v>
      </c>
      <c r="E1" s="124" t="s">
        <v>81</v>
      </c>
      <c r="F1" s="131" t="s">
        <v>68</v>
      </c>
      <c r="G1" s="166" t="s">
        <v>121</v>
      </c>
    </row>
    <row r="2" spans="1:7" ht="13.5" thickBot="1">
      <c r="A2" s="143" t="s">
        <v>90</v>
      </c>
      <c r="B2" s="135">
        <v>-2.2604674</v>
      </c>
      <c r="C2" s="126">
        <v>-3.7646650000000004</v>
      </c>
      <c r="D2" s="126">
        <v>-3.764232200000001</v>
      </c>
      <c r="E2" s="126">
        <v>-3.7663447000000003</v>
      </c>
      <c r="F2" s="132">
        <v>-2.0894093999999996</v>
      </c>
      <c r="G2" s="167">
        <v>3.1160752333591013</v>
      </c>
    </row>
    <row r="3" spans="1:7" ht="14.25" thickBot="1" thickTop="1">
      <c r="A3" s="151" t="s">
        <v>89</v>
      </c>
      <c r="B3" s="152" t="s">
        <v>84</v>
      </c>
      <c r="C3" s="153" t="s">
        <v>85</v>
      </c>
      <c r="D3" s="153" t="s">
        <v>86</v>
      </c>
      <c r="E3" s="153" t="s">
        <v>87</v>
      </c>
      <c r="F3" s="154" t="s">
        <v>88</v>
      </c>
      <c r="G3" s="161" t="s">
        <v>122</v>
      </c>
    </row>
    <row r="4" spans="1:7" ht="12.75">
      <c r="A4" s="148" t="s">
        <v>91</v>
      </c>
      <c r="B4" s="149">
        <v>-1.4137088</v>
      </c>
      <c r="C4" s="150">
        <v>-2.3961835999999996</v>
      </c>
      <c r="D4" s="150">
        <v>-3.6529539</v>
      </c>
      <c r="E4" s="150">
        <v>-3.3821512000000005</v>
      </c>
      <c r="F4" s="155">
        <v>-4.0299568</v>
      </c>
      <c r="G4" s="162">
        <v>-3.012160895251965</v>
      </c>
    </row>
    <row r="5" spans="1:7" ht="12.75">
      <c r="A5" s="143" t="s">
        <v>93</v>
      </c>
      <c r="B5" s="137">
        <v>0.26042392999999997</v>
      </c>
      <c r="C5" s="120">
        <v>-0.30922301599999996</v>
      </c>
      <c r="D5" s="120">
        <v>-0.96223748</v>
      </c>
      <c r="E5" s="120">
        <v>-0.44583705</v>
      </c>
      <c r="F5" s="156">
        <v>-3.0521445</v>
      </c>
      <c r="G5" s="163">
        <v>-0.7832399498916583</v>
      </c>
    </row>
    <row r="6" spans="1:7" ht="12.75">
      <c r="A6" s="143" t="s">
        <v>95</v>
      </c>
      <c r="B6" s="137">
        <v>-0.35527411000000003</v>
      </c>
      <c r="C6" s="120">
        <v>1.6001041</v>
      </c>
      <c r="D6" s="120">
        <v>1.09200766</v>
      </c>
      <c r="E6" s="120">
        <v>1.7088981</v>
      </c>
      <c r="F6" s="157">
        <v>-1.8693104000000003</v>
      </c>
      <c r="G6" s="163">
        <v>0.7581844255885032</v>
      </c>
    </row>
    <row r="7" spans="1:7" ht="12.75">
      <c r="A7" s="143" t="s">
        <v>97</v>
      </c>
      <c r="B7" s="136">
        <v>3.0125728</v>
      </c>
      <c r="C7" s="118">
        <v>3.9298298000000003</v>
      </c>
      <c r="D7" s="118">
        <v>4.162470999999999</v>
      </c>
      <c r="E7" s="118">
        <v>2.6375728</v>
      </c>
      <c r="F7" s="158">
        <v>13.714502000000001</v>
      </c>
      <c r="G7" s="163">
        <v>4.848927123165443</v>
      </c>
    </row>
    <row r="8" spans="1:7" ht="12.75">
      <c r="A8" s="143" t="s">
        <v>99</v>
      </c>
      <c r="B8" s="137">
        <v>-0.15182902199999998</v>
      </c>
      <c r="C8" s="120">
        <v>-0.24731608</v>
      </c>
      <c r="D8" s="120">
        <v>-0.42268458999999997</v>
      </c>
      <c r="E8" s="120">
        <v>0.056095082000000004</v>
      </c>
      <c r="F8" s="157">
        <v>-0.125364424</v>
      </c>
      <c r="G8" s="163">
        <v>-0.18638489973133288</v>
      </c>
    </row>
    <row r="9" spans="1:7" ht="12.75">
      <c r="A9" s="143" t="s">
        <v>101</v>
      </c>
      <c r="B9" s="137">
        <v>0.106496067</v>
      </c>
      <c r="C9" s="120">
        <v>0.05619915200000001</v>
      </c>
      <c r="D9" s="120">
        <v>-0.048469874</v>
      </c>
      <c r="E9" s="120">
        <v>0.033313928</v>
      </c>
      <c r="F9" s="157">
        <v>-0.097594999</v>
      </c>
      <c r="G9" s="163">
        <v>0.012234220738794653</v>
      </c>
    </row>
    <row r="10" spans="1:7" ht="12.75">
      <c r="A10" s="143" t="s">
        <v>103</v>
      </c>
      <c r="B10" s="137">
        <v>0.29433889</v>
      </c>
      <c r="C10" s="120">
        <v>-0.05299807599999999</v>
      </c>
      <c r="D10" s="120">
        <v>0.09002890100000001</v>
      </c>
      <c r="E10" s="120">
        <v>0.18024829</v>
      </c>
      <c r="F10" s="156">
        <v>0.5027552</v>
      </c>
      <c r="G10" s="163">
        <v>0.16197076115452555</v>
      </c>
    </row>
    <row r="11" spans="1:7" ht="12.75">
      <c r="A11" s="143" t="s">
        <v>105</v>
      </c>
      <c r="B11" s="136">
        <v>-0.46421827000000004</v>
      </c>
      <c r="C11" s="118">
        <v>-0.12875861</v>
      </c>
      <c r="D11" s="118">
        <v>-0.080256158</v>
      </c>
      <c r="E11" s="118">
        <v>-0.16737282999999997</v>
      </c>
      <c r="F11" s="159">
        <v>-0.29158359999999994</v>
      </c>
      <c r="G11" s="163">
        <v>-0.196598533857546</v>
      </c>
    </row>
    <row r="12" spans="1:7" ht="12.75">
      <c r="A12" s="143" t="s">
        <v>107</v>
      </c>
      <c r="B12" s="137">
        <v>-0.028666726000000003</v>
      </c>
      <c r="C12" s="120">
        <v>0.016831726499999998</v>
      </c>
      <c r="D12" s="120">
        <v>-0.039072462999999995</v>
      </c>
      <c r="E12" s="120">
        <v>-0.0182948765</v>
      </c>
      <c r="F12" s="157">
        <v>-0.096911597</v>
      </c>
      <c r="G12" s="163">
        <v>-0.02683936326959666</v>
      </c>
    </row>
    <row r="13" spans="1:7" ht="12.75">
      <c r="A13" s="143" t="s">
        <v>109</v>
      </c>
      <c r="B13" s="137">
        <v>0.07091815399999998</v>
      </c>
      <c r="C13" s="120">
        <v>0.054152079000000006</v>
      </c>
      <c r="D13" s="122">
        <v>0.15552205000000002</v>
      </c>
      <c r="E13" s="120">
        <v>0.097691928</v>
      </c>
      <c r="F13" s="157">
        <v>0.080334324</v>
      </c>
      <c r="G13" s="163">
        <v>0.09494248752855751</v>
      </c>
    </row>
    <row r="14" spans="1:7" ht="12.75">
      <c r="A14" s="143" t="s">
        <v>111</v>
      </c>
      <c r="B14" s="137">
        <v>0.08173327999999999</v>
      </c>
      <c r="C14" s="120">
        <v>-0.052568621999999995</v>
      </c>
      <c r="D14" s="120">
        <v>-0.00865659015</v>
      </c>
      <c r="E14" s="120">
        <v>-0.051172467</v>
      </c>
      <c r="F14" s="157">
        <v>0.018575288800000003</v>
      </c>
      <c r="G14" s="163">
        <v>-0.012761489539630725</v>
      </c>
    </row>
    <row r="15" spans="1:7" ht="12.75">
      <c r="A15" s="143" t="s">
        <v>113</v>
      </c>
      <c r="B15" s="138">
        <v>-0.18206619</v>
      </c>
      <c r="C15" s="122">
        <v>-0.17562842</v>
      </c>
      <c r="D15" s="122">
        <v>-0.17699616999999998</v>
      </c>
      <c r="E15" s="120">
        <v>-0.14513538</v>
      </c>
      <c r="F15" s="157">
        <v>-0.14028122</v>
      </c>
      <c r="G15" s="163">
        <v>-0.1648262537160638</v>
      </c>
    </row>
    <row r="16" spans="1:7" ht="12.75">
      <c r="A16" s="143" t="s">
        <v>115</v>
      </c>
      <c r="B16" s="137">
        <v>-0.00178469468</v>
      </c>
      <c r="C16" s="120">
        <v>0.0024519480740000004</v>
      </c>
      <c r="D16" s="120">
        <v>-0.005303925879999999</v>
      </c>
      <c r="E16" s="120">
        <v>-0.0048087337400000004</v>
      </c>
      <c r="F16" s="157">
        <v>-0.0015948792009999996</v>
      </c>
      <c r="G16" s="163">
        <v>-0.0023146129316865853</v>
      </c>
    </row>
    <row r="17" spans="1:7" ht="12.75">
      <c r="A17" s="143" t="s">
        <v>92</v>
      </c>
      <c r="B17" s="136">
        <v>2.8820761</v>
      </c>
      <c r="C17" s="118">
        <v>1.5338181</v>
      </c>
      <c r="D17" s="118">
        <v>0.54824066</v>
      </c>
      <c r="E17" s="119">
        <v>5.2984817</v>
      </c>
      <c r="F17" s="159">
        <v>4.092793599999999</v>
      </c>
      <c r="G17" s="163">
        <v>2.7395308557466374</v>
      </c>
    </row>
    <row r="18" spans="1:7" ht="12.75">
      <c r="A18" s="143" t="s">
        <v>94</v>
      </c>
      <c r="B18" s="137">
        <v>-0.28657211400000004</v>
      </c>
      <c r="C18" s="120">
        <v>0.5303065</v>
      </c>
      <c r="D18" s="121">
        <v>-2.5720096999999997</v>
      </c>
      <c r="E18" s="122">
        <v>-3.2552651000000004</v>
      </c>
      <c r="F18" s="156">
        <v>3.379119</v>
      </c>
      <c r="G18" s="163">
        <v>-0.865003970039377</v>
      </c>
    </row>
    <row r="19" spans="1:7" ht="12.75">
      <c r="A19" s="143" t="s">
        <v>96</v>
      </c>
      <c r="B19" s="137">
        <v>-1.1881716</v>
      </c>
      <c r="C19" s="120">
        <v>-0.4545828800000001</v>
      </c>
      <c r="D19" s="120">
        <v>-1.493204</v>
      </c>
      <c r="E19" s="120">
        <v>1.3723835000000002</v>
      </c>
      <c r="F19" s="156">
        <v>-8.4119266</v>
      </c>
      <c r="G19" s="163">
        <v>-1.4333564111512573</v>
      </c>
    </row>
    <row r="20" spans="1:7" ht="12.75">
      <c r="A20" s="143" t="s">
        <v>98</v>
      </c>
      <c r="B20" s="136">
        <v>0.8755078099999999</v>
      </c>
      <c r="C20" s="118">
        <v>0.15822185000000002</v>
      </c>
      <c r="D20" s="118">
        <v>-0.00030516199999999874</v>
      </c>
      <c r="E20" s="118">
        <v>0.33054346</v>
      </c>
      <c r="F20" s="159">
        <v>1.547137</v>
      </c>
      <c r="G20" s="163">
        <v>0.4506903244417371</v>
      </c>
    </row>
    <row r="21" spans="1:7" ht="12.75">
      <c r="A21" s="143" t="s">
        <v>100</v>
      </c>
      <c r="B21" s="137">
        <v>-0.13174484300000003</v>
      </c>
      <c r="C21" s="120">
        <v>-0.122320999</v>
      </c>
      <c r="D21" s="120">
        <v>-0.10956274499999999</v>
      </c>
      <c r="E21" s="122">
        <v>-0.6196225500000001</v>
      </c>
      <c r="F21" s="157">
        <v>0.24757179</v>
      </c>
      <c r="G21" s="163">
        <v>-0.1909321021042494</v>
      </c>
    </row>
    <row r="22" spans="1:7" ht="12.75">
      <c r="A22" s="143" t="s">
        <v>102</v>
      </c>
      <c r="B22" s="137">
        <v>-0.11414484</v>
      </c>
      <c r="C22" s="120">
        <v>0.0206470021</v>
      </c>
      <c r="D22" s="120">
        <v>-0.371612</v>
      </c>
      <c r="E22" s="122">
        <v>-0.47076748</v>
      </c>
      <c r="F22" s="157">
        <v>-0.36023894</v>
      </c>
      <c r="G22" s="163">
        <v>-0.26237478981583</v>
      </c>
    </row>
    <row r="23" spans="1:7" ht="12.75">
      <c r="A23" s="143" t="s">
        <v>104</v>
      </c>
      <c r="B23" s="137">
        <v>0.31468216</v>
      </c>
      <c r="C23" s="120">
        <v>0.047850487</v>
      </c>
      <c r="D23" s="120">
        <v>0.098233991</v>
      </c>
      <c r="E23" s="120">
        <v>0.059419293</v>
      </c>
      <c r="F23" s="157">
        <v>0.26468809000000004</v>
      </c>
      <c r="G23" s="163">
        <v>0.13026942980768133</v>
      </c>
    </row>
    <row r="24" spans="1:7" ht="12.75">
      <c r="A24" s="143" t="s">
        <v>106</v>
      </c>
      <c r="B24" s="136">
        <v>0.13003861</v>
      </c>
      <c r="C24" s="118">
        <v>0.032287897999999995</v>
      </c>
      <c r="D24" s="118">
        <v>0.039294959</v>
      </c>
      <c r="E24" s="118">
        <v>0.21722885</v>
      </c>
      <c r="F24" s="159">
        <v>0.34810258000000005</v>
      </c>
      <c r="G24" s="163">
        <v>0.13479629520719524</v>
      </c>
    </row>
    <row r="25" spans="1:7" ht="12.75">
      <c r="A25" s="143" t="s">
        <v>108</v>
      </c>
      <c r="B25" s="137">
        <v>-0.01948476464</v>
      </c>
      <c r="C25" s="120">
        <v>-0.06650757399999999</v>
      </c>
      <c r="D25" s="120">
        <v>-0.106395135</v>
      </c>
      <c r="E25" s="122">
        <v>-0.18908281999999998</v>
      </c>
      <c r="F25" s="157">
        <v>0.047775552</v>
      </c>
      <c r="G25" s="163">
        <v>-0.08355627202480191</v>
      </c>
    </row>
    <row r="26" spans="1:7" ht="12.75">
      <c r="A26" s="143" t="s">
        <v>110</v>
      </c>
      <c r="B26" s="137">
        <v>-0.104708047</v>
      </c>
      <c r="C26" s="120">
        <v>0.057665297000000004</v>
      </c>
      <c r="D26" s="120">
        <v>-0.030795463000000002</v>
      </c>
      <c r="E26" s="120">
        <v>0.0029764927</v>
      </c>
      <c r="F26" s="157">
        <v>-0.06383022799999999</v>
      </c>
      <c r="G26" s="163">
        <v>-0.016470111904697844</v>
      </c>
    </row>
    <row r="27" spans="1:7" ht="12.75">
      <c r="A27" s="143" t="s">
        <v>112</v>
      </c>
      <c r="B27" s="137">
        <v>0.14222926</v>
      </c>
      <c r="C27" s="120">
        <v>0.12101006</v>
      </c>
      <c r="D27" s="122">
        <v>0.16623167</v>
      </c>
      <c r="E27" s="120">
        <v>0.09433535700000001</v>
      </c>
      <c r="F27" s="157">
        <v>0.12621688</v>
      </c>
      <c r="G27" s="164">
        <v>0.12923006811894805</v>
      </c>
    </row>
    <row r="28" spans="1:7" ht="12.75">
      <c r="A28" s="143" t="s">
        <v>114</v>
      </c>
      <c r="B28" s="137">
        <v>0.0019136303</v>
      </c>
      <c r="C28" s="120">
        <v>0.00575210134</v>
      </c>
      <c r="D28" s="120">
        <v>0.00200887677</v>
      </c>
      <c r="E28" s="120">
        <v>0.00389642625</v>
      </c>
      <c r="F28" s="157">
        <v>-0.017125658</v>
      </c>
      <c r="G28" s="163">
        <v>0.0007948220726930315</v>
      </c>
    </row>
    <row r="29" spans="1:7" ht="13.5" thickBot="1">
      <c r="A29" s="144" t="s">
        <v>116</v>
      </c>
      <c r="B29" s="139">
        <v>0.00083336159</v>
      </c>
      <c r="C29" s="123">
        <v>-0.0003903126799999999</v>
      </c>
      <c r="D29" s="123">
        <v>-0.003991252648999999</v>
      </c>
      <c r="E29" s="123">
        <v>0.0099380011</v>
      </c>
      <c r="F29" s="160">
        <v>0.002719886629</v>
      </c>
      <c r="G29" s="165">
        <v>0.0018218642817072364</v>
      </c>
    </row>
    <row r="30" spans="1:7" ht="13.5" thickTop="1">
      <c r="A30" s="145" t="s">
        <v>117</v>
      </c>
      <c r="B30" s="140">
        <v>-0.21893537412584074</v>
      </c>
      <c r="C30" s="129">
        <v>-0.3418557233757429</v>
      </c>
      <c r="D30" s="129">
        <v>-0.5003026314700518</v>
      </c>
      <c r="E30" s="129">
        <v>-0.4632968318590268</v>
      </c>
      <c r="F30" s="125">
        <v>-0.5086622188127669</v>
      </c>
      <c r="G30" s="166" t="s">
        <v>128</v>
      </c>
    </row>
    <row r="31" spans="1:7" ht="13.5" thickBot="1">
      <c r="A31" s="146" t="s">
        <v>118</v>
      </c>
      <c r="B31" s="135">
        <v>25.146485</v>
      </c>
      <c r="C31" s="126">
        <v>25.390626</v>
      </c>
      <c r="D31" s="126">
        <v>25.646973</v>
      </c>
      <c r="E31" s="126">
        <v>25.906373</v>
      </c>
      <c r="F31" s="127">
        <v>26.147462</v>
      </c>
      <c r="G31" s="168">
        <v>-210.31</v>
      </c>
    </row>
    <row r="32" spans="1:7" ht="15.75" thickBot="1" thickTop="1">
      <c r="A32" s="147" t="s">
        <v>119</v>
      </c>
      <c r="B32" s="141">
        <v>-0.059000001347158104</v>
      </c>
      <c r="C32" s="130">
        <v>-0.2510000094771385</v>
      </c>
      <c r="D32" s="130">
        <v>0.25849999487400055</v>
      </c>
      <c r="E32" s="130">
        <v>-0.31549999862909317</v>
      </c>
      <c r="F32" s="128">
        <v>0.2875000014901161</v>
      </c>
      <c r="G32" s="133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9" bestFit="1" customWidth="1"/>
    <col min="2" max="2" width="15.66015625" style="169" bestFit="1" customWidth="1"/>
    <col min="3" max="3" width="14.83203125" style="169" bestFit="1" customWidth="1"/>
    <col min="4" max="4" width="16" style="169" bestFit="1" customWidth="1"/>
    <col min="5" max="5" width="21.33203125" style="169" bestFit="1" customWidth="1"/>
    <col min="6" max="7" width="14.83203125" style="169" bestFit="1" customWidth="1"/>
    <col min="8" max="8" width="14.16015625" style="169" bestFit="1" customWidth="1"/>
    <col min="9" max="9" width="14.83203125" style="169" bestFit="1" customWidth="1"/>
    <col min="10" max="10" width="6.33203125" style="169" bestFit="1" customWidth="1"/>
    <col min="11" max="11" width="15" style="169" bestFit="1" customWidth="1"/>
    <col min="12" max="16384" width="10.66015625" style="169" customWidth="1"/>
  </cols>
  <sheetData>
    <row r="1" spans="1:5" ht="12.75">
      <c r="A1" s="169" t="s">
        <v>129</v>
      </c>
      <c r="B1" s="169" t="s">
        <v>130</v>
      </c>
      <c r="C1" s="169" t="s">
        <v>131</v>
      </c>
      <c r="D1" s="169" t="s">
        <v>132</v>
      </c>
      <c r="E1" s="169" t="s">
        <v>133</v>
      </c>
    </row>
    <row r="3" spans="1:7" ht="12.75">
      <c r="A3" s="169" t="s">
        <v>134</v>
      </c>
      <c r="B3" s="169" t="s">
        <v>84</v>
      </c>
      <c r="C3" s="169" t="s">
        <v>85</v>
      </c>
      <c r="D3" s="169" t="s">
        <v>86</v>
      </c>
      <c r="E3" s="169" t="s">
        <v>87</v>
      </c>
      <c r="F3" s="169" t="s">
        <v>88</v>
      </c>
      <c r="G3" s="169" t="s">
        <v>135</v>
      </c>
    </row>
    <row r="4" spans="1:7" ht="12.75">
      <c r="A4" s="169" t="s">
        <v>136</v>
      </c>
      <c r="B4" s="169">
        <v>0.002259</v>
      </c>
      <c r="C4" s="169">
        <v>0.003763</v>
      </c>
      <c r="D4" s="169">
        <v>0.003762</v>
      </c>
      <c r="E4" s="169">
        <v>0.003764</v>
      </c>
      <c r="F4" s="169">
        <v>0.002088</v>
      </c>
      <c r="G4" s="169">
        <v>0.011726</v>
      </c>
    </row>
    <row r="5" spans="1:7" ht="12.75">
      <c r="A5" s="169" t="s">
        <v>137</v>
      </c>
      <c r="B5" s="169">
        <v>3.158385</v>
      </c>
      <c r="C5" s="169">
        <v>1.315198</v>
      </c>
      <c r="D5" s="169">
        <v>-1.355855</v>
      </c>
      <c r="E5" s="169">
        <v>-1.048377</v>
      </c>
      <c r="F5" s="169">
        <v>-1.418741</v>
      </c>
      <c r="G5" s="169">
        <v>-7.202861</v>
      </c>
    </row>
    <row r="6" spans="1:7" ht="12.75">
      <c r="A6" s="169" t="s">
        <v>138</v>
      </c>
      <c r="B6" s="170">
        <v>-285.9793</v>
      </c>
      <c r="C6" s="170">
        <v>196.6587</v>
      </c>
      <c r="D6" s="170">
        <v>6.390673</v>
      </c>
      <c r="E6" s="170">
        <v>68.22374</v>
      </c>
      <c r="F6" s="170">
        <v>-200.8526</v>
      </c>
      <c r="G6" s="170">
        <v>997.9865</v>
      </c>
    </row>
    <row r="7" spans="1:7" ht="12.75">
      <c r="A7" s="169" t="s">
        <v>139</v>
      </c>
      <c r="B7" s="170">
        <v>10000</v>
      </c>
      <c r="C7" s="170">
        <v>10000</v>
      </c>
      <c r="D7" s="170">
        <v>10000</v>
      </c>
      <c r="E7" s="170">
        <v>10000</v>
      </c>
      <c r="F7" s="170">
        <v>10000</v>
      </c>
      <c r="G7" s="170">
        <v>10000</v>
      </c>
    </row>
    <row r="8" spans="1:7" ht="12.75">
      <c r="A8" s="169" t="s">
        <v>91</v>
      </c>
      <c r="B8" s="170">
        <v>-1.42372</v>
      </c>
      <c r="C8" s="170">
        <v>-2.375605</v>
      </c>
      <c r="D8" s="170">
        <v>-3.588696</v>
      </c>
      <c r="E8" s="170">
        <v>-3.4</v>
      </c>
      <c r="F8" s="170">
        <v>-4.201249</v>
      </c>
      <c r="G8" s="170">
        <v>2.775879</v>
      </c>
    </row>
    <row r="9" spans="1:7" ht="12.75">
      <c r="A9" s="169" t="s">
        <v>93</v>
      </c>
      <c r="B9" s="170">
        <v>0.2469603</v>
      </c>
      <c r="C9" s="170">
        <v>-0.4362306</v>
      </c>
      <c r="D9" s="170">
        <v>-0.9391571</v>
      </c>
      <c r="E9" s="170">
        <v>-0.4904062</v>
      </c>
      <c r="F9" s="170">
        <v>-3.093945</v>
      </c>
      <c r="G9" s="170">
        <v>0.8265276</v>
      </c>
    </row>
    <row r="10" spans="1:7" ht="12.75">
      <c r="A10" s="169" t="s">
        <v>95</v>
      </c>
      <c r="B10" s="170">
        <v>0.08925475</v>
      </c>
      <c r="C10" s="170">
        <v>1.211039</v>
      </c>
      <c r="D10" s="170">
        <v>1.048747</v>
      </c>
      <c r="E10" s="170">
        <v>1.621774</v>
      </c>
      <c r="F10" s="170">
        <v>-0.6356523</v>
      </c>
      <c r="G10" s="170">
        <v>1.37878</v>
      </c>
    </row>
    <row r="11" spans="1:7" ht="12.75">
      <c r="A11" s="169" t="s">
        <v>97</v>
      </c>
      <c r="B11" s="170">
        <v>2.967465</v>
      </c>
      <c r="C11" s="170">
        <v>3.954407</v>
      </c>
      <c r="D11" s="170">
        <v>4.169838</v>
      </c>
      <c r="E11" s="170">
        <v>2.622235</v>
      </c>
      <c r="F11" s="170">
        <v>13.70941</v>
      </c>
      <c r="G11" s="170">
        <v>4.845746</v>
      </c>
    </row>
    <row r="12" spans="1:7" ht="12.75">
      <c r="A12" s="169" t="s">
        <v>99</v>
      </c>
      <c r="B12" s="170">
        <v>-0.1175621</v>
      </c>
      <c r="C12" s="170">
        <v>-0.252356</v>
      </c>
      <c r="D12" s="170">
        <v>-0.4010451</v>
      </c>
      <c r="E12" s="170">
        <v>0.03720467</v>
      </c>
      <c r="F12" s="170">
        <v>-0.1281006</v>
      </c>
      <c r="G12" s="170">
        <v>-0.1949729</v>
      </c>
    </row>
    <row r="13" spans="1:7" ht="12.75">
      <c r="A13" s="169" t="s">
        <v>101</v>
      </c>
      <c r="B13" s="170">
        <v>0.1596887</v>
      </c>
      <c r="C13" s="170">
        <v>0.06345858</v>
      </c>
      <c r="D13" s="170">
        <v>-0.06062128</v>
      </c>
      <c r="E13" s="170">
        <v>0.01917696</v>
      </c>
      <c r="F13" s="170">
        <v>-0.03304981</v>
      </c>
      <c r="G13" s="170">
        <v>-0.02395033</v>
      </c>
    </row>
    <row r="14" spans="1:7" ht="12.75">
      <c r="A14" s="169" t="s">
        <v>103</v>
      </c>
      <c r="B14" s="170">
        <v>0.1656167</v>
      </c>
      <c r="C14" s="170">
        <v>-0.0284558</v>
      </c>
      <c r="D14" s="170">
        <v>0.08938883</v>
      </c>
      <c r="E14" s="170">
        <v>0.2008591</v>
      </c>
      <c r="F14" s="170">
        <v>0.4490291</v>
      </c>
      <c r="G14" s="170">
        <v>-0.13744</v>
      </c>
    </row>
    <row r="15" spans="1:7" ht="12.75">
      <c r="A15" s="169" t="s">
        <v>105</v>
      </c>
      <c r="B15" s="170">
        <v>-0.4727895</v>
      </c>
      <c r="C15" s="170">
        <v>-0.1349774</v>
      </c>
      <c r="D15" s="170">
        <v>-0.07183414</v>
      </c>
      <c r="E15" s="170">
        <v>-0.1719624</v>
      </c>
      <c r="F15" s="170">
        <v>-0.3056216</v>
      </c>
      <c r="G15" s="170">
        <v>-0.2002806</v>
      </c>
    </row>
    <row r="16" spans="1:7" ht="12.75">
      <c r="A16" s="169" t="s">
        <v>107</v>
      </c>
      <c r="B16" s="170">
        <v>-0.004293595</v>
      </c>
      <c r="C16" s="170">
        <v>0.005954778</v>
      </c>
      <c r="D16" s="170">
        <v>-0.04126054</v>
      </c>
      <c r="E16" s="170">
        <v>-0.029855</v>
      </c>
      <c r="F16" s="170">
        <v>-0.08053642</v>
      </c>
      <c r="G16" s="170">
        <v>-0.08942924</v>
      </c>
    </row>
    <row r="17" spans="1:7" ht="12.75">
      <c r="A17" s="169" t="s">
        <v>140</v>
      </c>
      <c r="B17" s="170">
        <v>0.09979314</v>
      </c>
      <c r="C17" s="170">
        <v>0.07152262</v>
      </c>
      <c r="D17" s="170">
        <v>0.1406357</v>
      </c>
      <c r="E17" s="170">
        <v>0.1067859</v>
      </c>
      <c r="F17" s="170">
        <v>0.08022959</v>
      </c>
      <c r="G17" s="170">
        <v>-0.1018869</v>
      </c>
    </row>
    <row r="18" spans="1:7" ht="12.75">
      <c r="A18" s="169" t="s">
        <v>141</v>
      </c>
      <c r="B18" s="170">
        <v>0.055224</v>
      </c>
      <c r="C18" s="170">
        <v>-0.04028771</v>
      </c>
      <c r="D18" s="170">
        <v>-0.00451382</v>
      </c>
      <c r="E18" s="170">
        <v>-0.04504294</v>
      </c>
      <c r="F18" s="170">
        <v>0.01058513</v>
      </c>
      <c r="G18" s="170">
        <v>-0.1292501</v>
      </c>
    </row>
    <row r="19" spans="1:7" ht="12.75">
      <c r="A19" s="169" t="s">
        <v>113</v>
      </c>
      <c r="B19" s="170">
        <v>-0.1818274</v>
      </c>
      <c r="C19" s="170">
        <v>-0.1756751</v>
      </c>
      <c r="D19" s="170">
        <v>-0.1769721</v>
      </c>
      <c r="E19" s="170">
        <v>-0.1448863</v>
      </c>
      <c r="F19" s="170">
        <v>-0.1403318</v>
      </c>
      <c r="G19" s="170">
        <v>-0.1647436</v>
      </c>
    </row>
    <row r="20" spans="1:7" ht="12.75">
      <c r="A20" s="169" t="s">
        <v>115</v>
      </c>
      <c r="B20" s="170">
        <v>-0.001956699</v>
      </c>
      <c r="C20" s="170">
        <v>0.00243166</v>
      </c>
      <c r="D20" s="170">
        <v>-0.005369199</v>
      </c>
      <c r="E20" s="170">
        <v>-0.004499376</v>
      </c>
      <c r="F20" s="170">
        <v>-0.001729733</v>
      </c>
      <c r="G20" s="170">
        <v>0.001867644</v>
      </c>
    </row>
    <row r="21" spans="1:7" ht="12.75">
      <c r="A21" s="169" t="s">
        <v>142</v>
      </c>
      <c r="B21" s="170">
        <v>-993.4349</v>
      </c>
      <c r="C21" s="170">
        <v>-953.5722</v>
      </c>
      <c r="D21" s="170">
        <v>-1076.354</v>
      </c>
      <c r="E21" s="170">
        <v>-955.6183</v>
      </c>
      <c r="F21" s="170">
        <v>-1018.127</v>
      </c>
      <c r="G21" s="170">
        <v>-2.864922</v>
      </c>
    </row>
    <row r="22" spans="1:7" ht="12.75">
      <c r="A22" s="169" t="s">
        <v>143</v>
      </c>
      <c r="B22" s="170">
        <v>63.16854</v>
      </c>
      <c r="C22" s="170">
        <v>26.30401</v>
      </c>
      <c r="D22" s="170">
        <v>-27.11716</v>
      </c>
      <c r="E22" s="170">
        <v>-20.96756</v>
      </c>
      <c r="F22" s="170">
        <v>-28.3749</v>
      </c>
      <c r="G22" s="170">
        <v>0</v>
      </c>
    </row>
    <row r="23" spans="1:7" ht="12.75">
      <c r="A23" s="169" t="s">
        <v>92</v>
      </c>
      <c r="B23" s="170">
        <v>2.843292</v>
      </c>
      <c r="C23" s="170">
        <v>1.500368</v>
      </c>
      <c r="D23" s="170">
        <v>0.5567889</v>
      </c>
      <c r="E23" s="170">
        <v>5.393632</v>
      </c>
      <c r="F23" s="170">
        <v>4.279684</v>
      </c>
      <c r="G23" s="170">
        <v>3.020334</v>
      </c>
    </row>
    <row r="24" spans="1:7" ht="12.75">
      <c r="A24" s="169" t="s">
        <v>94</v>
      </c>
      <c r="B24" s="170">
        <v>-0.4125363</v>
      </c>
      <c r="C24" s="170">
        <v>0.5455686</v>
      </c>
      <c r="D24" s="170">
        <v>-2.522346</v>
      </c>
      <c r="E24" s="170">
        <v>-3.322613</v>
      </c>
      <c r="F24" s="170">
        <v>2.771248</v>
      </c>
      <c r="G24" s="170">
        <v>0.9649662</v>
      </c>
    </row>
    <row r="25" spans="1:7" ht="12.75">
      <c r="A25" s="169" t="s">
        <v>96</v>
      </c>
      <c r="B25" s="170">
        <v>-1.061681</v>
      </c>
      <c r="C25" s="170">
        <v>-0.5486242</v>
      </c>
      <c r="D25" s="170">
        <v>-1.334632</v>
      </c>
      <c r="E25" s="170">
        <v>1.296034</v>
      </c>
      <c r="F25" s="170">
        <v>-8.11859</v>
      </c>
      <c r="G25" s="170">
        <v>0.8621332</v>
      </c>
    </row>
    <row r="26" spans="1:7" ht="12.75">
      <c r="A26" s="169" t="s">
        <v>98</v>
      </c>
      <c r="B26" s="170">
        <v>0.9047711</v>
      </c>
      <c r="C26" s="170">
        <v>0.2097711</v>
      </c>
      <c r="D26" s="170">
        <v>-0.05389972</v>
      </c>
      <c r="E26" s="170">
        <v>0.3406877</v>
      </c>
      <c r="F26" s="170">
        <v>1.454072</v>
      </c>
      <c r="G26" s="170">
        <v>0.4443074</v>
      </c>
    </row>
    <row r="27" spans="1:7" ht="12.75">
      <c r="A27" s="169" t="s">
        <v>100</v>
      </c>
      <c r="B27" s="170">
        <v>-0.1522158</v>
      </c>
      <c r="C27" s="170">
        <v>-0.130006</v>
      </c>
      <c r="D27" s="170">
        <v>-0.1053248</v>
      </c>
      <c r="E27" s="170">
        <v>-0.5956504</v>
      </c>
      <c r="F27" s="170">
        <v>0.2024364</v>
      </c>
      <c r="G27" s="170">
        <v>0.1823567</v>
      </c>
    </row>
    <row r="28" spans="1:7" ht="12.75">
      <c r="A28" s="169" t="s">
        <v>102</v>
      </c>
      <c r="B28" s="170">
        <v>-0.03725112</v>
      </c>
      <c r="C28" s="170">
        <v>0.01552413</v>
      </c>
      <c r="D28" s="170">
        <v>-0.3661668</v>
      </c>
      <c r="E28" s="170">
        <v>-0.4808497</v>
      </c>
      <c r="F28" s="170">
        <v>-0.3102434</v>
      </c>
      <c r="G28" s="170">
        <v>0.2469407</v>
      </c>
    </row>
    <row r="29" spans="1:7" ht="12.75">
      <c r="A29" s="169" t="s">
        <v>104</v>
      </c>
      <c r="B29" s="170">
        <v>0.3519564</v>
      </c>
      <c r="C29" s="170">
        <v>0.04514031</v>
      </c>
      <c r="D29" s="170">
        <v>0.0910937</v>
      </c>
      <c r="E29" s="170">
        <v>0.04910813</v>
      </c>
      <c r="F29" s="170">
        <v>0.314435</v>
      </c>
      <c r="G29" s="170">
        <v>0.1469182</v>
      </c>
    </row>
    <row r="30" spans="1:7" ht="12.75">
      <c r="A30" s="169" t="s">
        <v>106</v>
      </c>
      <c r="B30" s="170">
        <v>0.1059451</v>
      </c>
      <c r="C30" s="170">
        <v>0.04458256</v>
      </c>
      <c r="D30" s="170">
        <v>0.03911882</v>
      </c>
      <c r="E30" s="170">
        <v>0.2347176</v>
      </c>
      <c r="F30" s="170">
        <v>0.3594989</v>
      </c>
      <c r="G30" s="170">
        <v>0.1399748</v>
      </c>
    </row>
    <row r="31" spans="1:7" ht="12.75">
      <c r="A31" s="169" t="s">
        <v>108</v>
      </c>
      <c r="B31" s="170">
        <v>-0.04604036</v>
      </c>
      <c r="C31" s="170">
        <v>-0.07944073</v>
      </c>
      <c r="D31" s="170">
        <v>-0.09310905</v>
      </c>
      <c r="E31" s="170">
        <v>-0.1935357</v>
      </c>
      <c r="F31" s="170">
        <v>0.03991645</v>
      </c>
      <c r="G31" s="170">
        <v>0.02706244</v>
      </c>
    </row>
    <row r="32" spans="1:7" ht="12.75">
      <c r="A32" s="169" t="s">
        <v>110</v>
      </c>
      <c r="B32" s="170">
        <v>-0.05417252</v>
      </c>
      <c r="C32" s="170">
        <v>0.03123757</v>
      </c>
      <c r="D32" s="170">
        <v>-0.03761464</v>
      </c>
      <c r="E32" s="170">
        <v>-0.005385014</v>
      </c>
      <c r="F32" s="170">
        <v>-0.03751036</v>
      </c>
      <c r="G32" s="170">
        <v>0.01567212</v>
      </c>
    </row>
    <row r="33" spans="1:7" ht="12.75">
      <c r="A33" s="169" t="s">
        <v>112</v>
      </c>
      <c r="B33" s="170">
        <v>0.1455057</v>
      </c>
      <c r="C33" s="170">
        <v>0.1231183</v>
      </c>
      <c r="D33" s="170">
        <v>0.1608389</v>
      </c>
      <c r="E33" s="170">
        <v>0.0973029</v>
      </c>
      <c r="F33" s="170">
        <v>0.1233871</v>
      </c>
      <c r="G33" s="170">
        <v>-0.01222353</v>
      </c>
    </row>
    <row r="34" spans="1:7" ht="12.75">
      <c r="A34" s="169" t="s">
        <v>114</v>
      </c>
      <c r="B34" s="170">
        <v>-0.006069776</v>
      </c>
      <c r="C34" s="170">
        <v>0.002545529</v>
      </c>
      <c r="D34" s="170">
        <v>0.005350459</v>
      </c>
      <c r="E34" s="170">
        <v>0.006010465</v>
      </c>
      <c r="F34" s="170">
        <v>-0.01424055</v>
      </c>
      <c r="G34" s="170">
        <v>0.0005788706</v>
      </c>
    </row>
    <row r="35" spans="1:7" ht="12.75">
      <c r="A35" s="169" t="s">
        <v>116</v>
      </c>
      <c r="B35" s="170">
        <v>0.0007289983</v>
      </c>
      <c r="C35" s="170">
        <v>-0.0003451</v>
      </c>
      <c r="D35" s="170">
        <v>-0.00388147</v>
      </c>
      <c r="E35" s="170">
        <v>0.01002832</v>
      </c>
      <c r="F35" s="170">
        <v>0.002731607</v>
      </c>
      <c r="G35" s="170">
        <v>0.002303466</v>
      </c>
    </row>
    <row r="36" spans="1:6" ht="12.75">
      <c r="A36" s="169" t="s">
        <v>144</v>
      </c>
      <c r="B36" s="170">
        <v>26.14746</v>
      </c>
      <c r="C36" s="170">
        <v>26.15662</v>
      </c>
      <c r="D36" s="170">
        <v>26.17188</v>
      </c>
      <c r="E36" s="170">
        <v>26.17798</v>
      </c>
      <c r="F36" s="170">
        <v>26.19934</v>
      </c>
    </row>
    <row r="37" spans="1:6" ht="12.75">
      <c r="A37" s="169" t="s">
        <v>145</v>
      </c>
      <c r="B37" s="170">
        <v>0.3031413</v>
      </c>
      <c r="C37" s="170">
        <v>0.2593994</v>
      </c>
      <c r="D37" s="170">
        <v>0.2466838</v>
      </c>
      <c r="E37" s="170">
        <v>0.2268473</v>
      </c>
      <c r="F37" s="170">
        <v>0.2207438</v>
      </c>
    </row>
    <row r="38" spans="1:7" ht="12.75">
      <c r="A38" s="169" t="s">
        <v>146</v>
      </c>
      <c r="B38" s="170">
        <v>0.0004968131</v>
      </c>
      <c r="C38" s="170">
        <v>-0.0003300535</v>
      </c>
      <c r="D38" s="170">
        <v>-1.582593E-05</v>
      </c>
      <c r="E38" s="170">
        <v>-0.0001193861</v>
      </c>
      <c r="F38" s="170">
        <v>0.0003365356</v>
      </c>
      <c r="G38" s="170">
        <v>0</v>
      </c>
    </row>
    <row r="39" spans="1:7" ht="12.75">
      <c r="A39" s="169" t="s">
        <v>147</v>
      </c>
      <c r="B39" s="170">
        <v>0.001685701</v>
      </c>
      <c r="C39" s="170">
        <v>0.001621941</v>
      </c>
      <c r="D39" s="170">
        <v>0.001829759</v>
      </c>
      <c r="E39" s="170">
        <v>0.001624301</v>
      </c>
      <c r="F39" s="170">
        <v>0.001731771</v>
      </c>
      <c r="G39" s="170">
        <v>0.0008482784</v>
      </c>
    </row>
    <row r="40" spans="2:5" ht="12.75">
      <c r="B40" s="169" t="s">
        <v>148</v>
      </c>
      <c r="C40" s="169">
        <v>0.003763</v>
      </c>
      <c r="D40" s="169" t="s">
        <v>149</v>
      </c>
      <c r="E40" s="169">
        <v>3.116079</v>
      </c>
    </row>
    <row r="42" ht="12.75">
      <c r="A42" s="169" t="s">
        <v>150</v>
      </c>
    </row>
    <row r="50" spans="1:7" ht="12.75">
      <c r="A50" s="169" t="s">
        <v>151</v>
      </c>
      <c r="B50" s="169">
        <f>-0.017/(B7*B7+B22*B22)*(B21*B22+B6*B7)</f>
        <v>0.0004968131373190877</v>
      </c>
      <c r="C50" s="169">
        <f>-0.017/(C7*C7+C22*C22)*(C21*C22+C6*C7)</f>
        <v>-0.00033005343500080514</v>
      </c>
      <c r="D50" s="169">
        <f>-0.017/(D7*D7+D22*D22)*(D21*D22+D6*D7)</f>
        <v>-1.5825930543433146E-05</v>
      </c>
      <c r="E50" s="169">
        <f>-0.017/(E7*E7+E22*E22)*(E21*E22+E6*E7)</f>
        <v>-0.00011938612041976377</v>
      </c>
      <c r="F50" s="169">
        <f>-0.017/(F7*F7+F22*F22)*(F21*F22+F6*F7)</f>
        <v>0.0003365355376266764</v>
      </c>
      <c r="G50" s="169">
        <f>(B50*B$4+C50*C$4+D50*D$4+E50*E$4+F50*F$4)/SUM(B$4:F$4)</f>
        <v>4.738391909433578E-06</v>
      </c>
    </row>
    <row r="51" spans="1:7" ht="12.75">
      <c r="A51" s="169" t="s">
        <v>152</v>
      </c>
      <c r="B51" s="169">
        <f>-0.017/(B7*B7+B22*B22)*(B21*B7-B6*B22)</f>
        <v>0.0016857010339462733</v>
      </c>
      <c r="C51" s="169">
        <f>-0.017/(C7*C7+C22*C22)*(C21*C7-C6*C22)</f>
        <v>0.0016219409128854795</v>
      </c>
      <c r="D51" s="169">
        <f>-0.017/(D7*D7+D22*D22)*(D21*D7-D6*D22)</f>
        <v>0.0018297588845709305</v>
      </c>
      <c r="E51" s="169">
        <f>-0.017/(E7*E7+E22*E22)*(E21*E7-E6*E22)</f>
        <v>0.0016243007864356934</v>
      </c>
      <c r="F51" s="169">
        <f>-0.017/(F7*F7+F22*F22)*(F21*F7-F6*F22)</f>
        <v>0.0017317708162226603</v>
      </c>
      <c r="G51" s="169">
        <f>(B51*B$4+C51*C$4+D51*D$4+E51*E$4+F51*F$4)/SUM(B$4:F$4)</f>
        <v>0.0016963878766337553</v>
      </c>
    </row>
    <row r="58" ht="12.75">
      <c r="A58" s="169" t="s">
        <v>154</v>
      </c>
    </row>
    <row r="60" spans="2:6" ht="12.75">
      <c r="B60" s="169" t="s">
        <v>84</v>
      </c>
      <c r="C60" s="169" t="s">
        <v>85</v>
      </c>
      <c r="D60" s="169" t="s">
        <v>86</v>
      </c>
      <c r="E60" s="169" t="s">
        <v>87</v>
      </c>
      <c r="F60" s="169" t="s">
        <v>88</v>
      </c>
    </row>
    <row r="61" spans="1:6" ht="12.75">
      <c r="A61" s="169" t="s">
        <v>156</v>
      </c>
      <c r="B61" s="169">
        <f>B6+(1/0.017)*(B7*B50-B22*B51)</f>
        <v>0</v>
      </c>
      <c r="C61" s="169">
        <f>C6+(1/0.017)*(C7*C50-C22*C51)</f>
        <v>0</v>
      </c>
      <c r="D61" s="169">
        <f>D6+(1/0.017)*(D7*D50-D22*D51)</f>
        <v>0</v>
      </c>
      <c r="E61" s="169">
        <f>E6+(1/0.017)*(E7*E50-E22*E51)</f>
        <v>0</v>
      </c>
      <c r="F61" s="169">
        <f>F6+(1/0.017)*(F7*F50-F22*F51)</f>
        <v>0</v>
      </c>
    </row>
    <row r="62" spans="1:6" ht="12.75">
      <c r="A62" s="169" t="s">
        <v>159</v>
      </c>
      <c r="B62" s="169">
        <f>B7+(2/0.017)*(B8*B50-B23*B51)</f>
        <v>9999.352910227755</v>
      </c>
      <c r="C62" s="169">
        <f>C7+(2/0.017)*(C8*C50-C23*C51)</f>
        <v>9999.80594921728</v>
      </c>
      <c r="D62" s="169">
        <f>D7+(2/0.017)*(D8*D50-D23*D51)</f>
        <v>9999.88682411965</v>
      </c>
      <c r="E62" s="169">
        <f>E7+(2/0.017)*(E8*E50-E23*E51)</f>
        <v>9999.017062601186</v>
      </c>
      <c r="F62" s="169">
        <f>F7+(2/0.017)*(F8*F50-F23*F51)</f>
        <v>9998.961729241792</v>
      </c>
    </row>
    <row r="63" spans="1:6" ht="12.75">
      <c r="A63" s="169" t="s">
        <v>160</v>
      </c>
      <c r="B63" s="169">
        <f>B8+(3/0.017)*(B9*B50-B24*B51)</f>
        <v>-1.279348354902359</v>
      </c>
      <c r="C63" s="169">
        <f>C8+(3/0.017)*(C9*C50-C24*C51)</f>
        <v>-2.5063521691429163</v>
      </c>
      <c r="D63" s="169">
        <f>D8+(3/0.017)*(D9*D50-D24*D51)</f>
        <v>-2.771611052030132</v>
      </c>
      <c r="E63" s="169">
        <f>E8+(3/0.017)*(E9*E50-E24*E51)</f>
        <v>-2.4372698936642485</v>
      </c>
      <c r="F63" s="169">
        <f>F8+(3/0.017)*(F9*F50-F24*F51)</f>
        <v>-5.231905856743138</v>
      </c>
    </row>
    <row r="64" spans="1:6" ht="12.75">
      <c r="A64" s="169" t="s">
        <v>161</v>
      </c>
      <c r="B64" s="169">
        <f>B9+(4/0.017)*(B10*B50-B25*B51)</f>
        <v>0.678494345126881</v>
      </c>
      <c r="C64" s="169">
        <f>C9+(4/0.017)*(C10*C50-C25*C51)</f>
        <v>-0.3209062579037351</v>
      </c>
      <c r="D64" s="169">
        <f>D9+(4/0.017)*(D10*D50-D25*D51)</f>
        <v>-0.36846125001105035</v>
      </c>
      <c r="E64" s="169">
        <f>E9+(4/0.017)*(E10*E50-E25*E51)</f>
        <v>-1.0312924003541268</v>
      </c>
      <c r="F64" s="169">
        <f>F9+(4/0.017)*(F10*F50-F25*F51)</f>
        <v>0.16384738643599794</v>
      </c>
    </row>
    <row r="65" spans="1:6" ht="12.75">
      <c r="A65" s="169" t="s">
        <v>162</v>
      </c>
      <c r="B65" s="169">
        <f>B10+(5/0.017)*(B11*B50-B26*B51)</f>
        <v>0.07428475522937629</v>
      </c>
      <c r="C65" s="169">
        <f>C10+(5/0.017)*(C11*C50-C26*C51)</f>
        <v>0.7270972520081704</v>
      </c>
      <c r="D65" s="169">
        <f>D10+(5/0.017)*(D11*D50-D26*D51)</f>
        <v>1.0583446249942698</v>
      </c>
      <c r="E65" s="169">
        <f>E10+(5/0.017)*(E11*E50-E26*E51)</f>
        <v>1.3669393639653276</v>
      </c>
      <c r="F65" s="169">
        <f>F10+(5/0.017)*(F11*F50-F26*F51)</f>
        <v>-0.019304002762347672</v>
      </c>
    </row>
    <row r="66" spans="1:6" ht="12.75">
      <c r="A66" s="169" t="s">
        <v>163</v>
      </c>
      <c r="B66" s="169">
        <f>B11+(6/0.017)*(B12*B50-B27*B51)</f>
        <v>3.0374122714278133</v>
      </c>
      <c r="C66" s="169">
        <f>C11+(6/0.017)*(C12*C50-C27*C51)</f>
        <v>4.058225711163642</v>
      </c>
      <c r="D66" s="169">
        <f>D11+(6/0.017)*(D12*D50-D27*D51)</f>
        <v>4.240096553104603</v>
      </c>
      <c r="E66" s="169">
        <f>E11+(6/0.017)*(E12*E50-E27*E51)</f>
        <v>2.962143361863978</v>
      </c>
      <c r="F66" s="169">
        <f>F11+(6/0.017)*(F12*F50-F27*F51)</f>
        <v>13.570462757428539</v>
      </c>
    </row>
    <row r="67" spans="1:6" ht="12.75">
      <c r="A67" s="169" t="s">
        <v>164</v>
      </c>
      <c r="B67" s="169">
        <f>B12+(7/0.017)*(B13*B50-B28*B51)</f>
        <v>-0.05903810771838571</v>
      </c>
      <c r="C67" s="169">
        <f>C12+(7/0.017)*(C13*C50-C28*C51)</f>
        <v>-0.2713482121913285</v>
      </c>
      <c r="D67" s="169">
        <f>D12+(7/0.017)*(D13*D50-D28*D51)</f>
        <v>-0.12476895847579483</v>
      </c>
      <c r="E67" s="169">
        <f>E12+(7/0.017)*(E13*E50-E28*E51)</f>
        <v>0.35786852771062677</v>
      </c>
      <c r="F67" s="169">
        <f>F12+(7/0.017)*(F13*F50-F28*F51)</f>
        <v>0.08854858901659918</v>
      </c>
    </row>
    <row r="68" spans="1:6" ht="12.75">
      <c r="A68" s="169" t="s">
        <v>165</v>
      </c>
      <c r="B68" s="169">
        <f>B13+(8/0.017)*(B14*B50-B29*B51)</f>
        <v>-0.08078787179509364</v>
      </c>
      <c r="C68" s="169">
        <f>C13+(8/0.017)*(C14*C50-C29*C51)</f>
        <v>0.03342423596534699</v>
      </c>
      <c r="D68" s="169">
        <f>D13+(8/0.017)*(D14*D50-D29*D51)</f>
        <v>-0.13972441803217775</v>
      </c>
      <c r="E68" s="169">
        <f>E13+(8/0.017)*(E14*E50-E29*E51)</f>
        <v>-0.02964476370794901</v>
      </c>
      <c r="F68" s="169">
        <f>F13+(8/0.017)*(F14*F50-F29*F51)</f>
        <v>-0.2181863309507998</v>
      </c>
    </row>
    <row r="69" spans="1:6" ht="12.75">
      <c r="A69" s="169" t="s">
        <v>166</v>
      </c>
      <c r="B69" s="169">
        <f>B14+(9/0.017)*(B15*B50-B30*B51)</f>
        <v>-0.053284370269563314</v>
      </c>
      <c r="C69" s="169">
        <f>C14+(9/0.017)*(C15*C50-C30*C51)</f>
        <v>-0.04315254776054388</v>
      </c>
      <c r="D69" s="169">
        <f>D14+(9/0.017)*(D15*D50-D30*D51)</f>
        <v>0.05209644782071802</v>
      </c>
      <c r="E69" s="169">
        <f>E14+(9/0.017)*(E15*E50-E30*E51)</f>
        <v>0.009888598453762248</v>
      </c>
      <c r="F69" s="169">
        <f>F14+(9/0.017)*(F15*F50-F30*F51)</f>
        <v>0.06498203549680814</v>
      </c>
    </row>
    <row r="70" spans="1:6" ht="12.75">
      <c r="A70" s="169" t="s">
        <v>167</v>
      </c>
      <c r="B70" s="169">
        <f>B15+(10/0.017)*(B16*B50-B31*B51)</f>
        <v>-0.42839116585121695</v>
      </c>
      <c r="C70" s="169">
        <f>C15+(10/0.017)*(C16*C50-C31*C51)</f>
        <v>-0.06034047341004607</v>
      </c>
      <c r="D70" s="169">
        <f>D15+(10/0.017)*(D16*D50-D31*D51)</f>
        <v>0.02876591759510798</v>
      </c>
      <c r="E70" s="169">
        <f>E15+(10/0.017)*(E16*E50-E31*E51)</f>
        <v>0.015051989610890909</v>
      </c>
      <c r="F70" s="169">
        <f>F15+(10/0.017)*(F16*F50-F31*F51)</f>
        <v>-0.36222719447084634</v>
      </c>
    </row>
    <row r="71" spans="1:6" ht="12.75">
      <c r="A71" s="169" t="s">
        <v>168</v>
      </c>
      <c r="B71" s="169">
        <f>B16+(11/0.017)*(B17*B50-B32*B51)</f>
        <v>0.08687519178586937</v>
      </c>
      <c r="C71" s="169">
        <f>C16+(11/0.017)*(C17*C50-C32*C51)</f>
        <v>-0.04210343207924675</v>
      </c>
      <c r="D71" s="169">
        <f>D16+(11/0.017)*(D17*D50-D32*D51)</f>
        <v>0.001833597647524124</v>
      </c>
      <c r="E71" s="169">
        <f>E16+(11/0.017)*(E17*E50-E32*E51)</f>
        <v>-0.03244444648558953</v>
      </c>
      <c r="F71" s="169">
        <f>F16+(11/0.017)*(F17*F50-F32*F51)</f>
        <v>-0.021033243262325876</v>
      </c>
    </row>
    <row r="72" spans="1:6" ht="12.75">
      <c r="A72" s="169" t="s">
        <v>169</v>
      </c>
      <c r="B72" s="169">
        <f>B17+(12/0.017)*(B18*B50-B33*B51)</f>
        <v>-0.05397846016924723</v>
      </c>
      <c r="C72" s="169">
        <f>C17+(12/0.017)*(C18*C50-C33*C51)</f>
        <v>-0.06004926999135911</v>
      </c>
      <c r="D72" s="169">
        <f>D17+(12/0.017)*(D18*D50-D33*D51)</f>
        <v>-0.0670525147231599</v>
      </c>
      <c r="E72" s="169">
        <f>E17+(12/0.017)*(E18*E50-E33*E51)</f>
        <v>-0.0009823412707577334</v>
      </c>
      <c r="F72" s="169">
        <f>F17+(12/0.017)*(F18*F50-F33*F51)</f>
        <v>-0.0680875204444344</v>
      </c>
    </row>
    <row r="73" spans="1:6" ht="12.75">
      <c r="A73" s="169" t="s">
        <v>170</v>
      </c>
      <c r="B73" s="169">
        <f>B18+(13/0.017)*(B19*B50-B34*B51)</f>
        <v>-0.006030786691303247</v>
      </c>
      <c r="C73" s="169">
        <f>C18+(13/0.017)*(C19*C50-C34*C51)</f>
        <v>0.0008943572587032517</v>
      </c>
      <c r="D73" s="169">
        <f>D18+(13/0.017)*(D19*D50-D34*D51)</f>
        <v>-0.009858580145749463</v>
      </c>
      <c r="E73" s="169">
        <f>E18+(13/0.017)*(E19*E50-E34*E51)</f>
        <v>-0.039281179233871324</v>
      </c>
      <c r="F73" s="169">
        <f>F18+(13/0.017)*(F19*F50-F34*F51)</f>
        <v>-0.006670663835769123</v>
      </c>
    </row>
    <row r="74" spans="1:6" ht="12.75">
      <c r="A74" s="169" t="s">
        <v>171</v>
      </c>
      <c r="B74" s="169">
        <f>B19+(14/0.017)*(B20*B50-B35*B51)</f>
        <v>-0.18363997749402816</v>
      </c>
      <c r="C74" s="169">
        <f>C19+(14/0.017)*(C20*C50-C35*C51)</f>
        <v>-0.17587509076317895</v>
      </c>
      <c r="D74" s="169">
        <f>D19+(14/0.017)*(D20*D50-D35*D51)</f>
        <v>-0.1710532897038819</v>
      </c>
      <c r="E74" s="169">
        <f>E19+(14/0.017)*(E20*E50-E35*E51)</f>
        <v>-0.157858407661618</v>
      </c>
      <c r="F74" s="169">
        <f>F19+(14/0.017)*(F20*F50-F35*F51)</f>
        <v>-0.14470691027807836</v>
      </c>
    </row>
    <row r="75" spans="1:6" ht="12.75">
      <c r="A75" s="169" t="s">
        <v>172</v>
      </c>
      <c r="B75" s="170">
        <f>B20</f>
        <v>-0.001956699</v>
      </c>
      <c r="C75" s="170">
        <f>C20</f>
        <v>0.00243166</v>
      </c>
      <c r="D75" s="170">
        <f>D20</f>
        <v>-0.005369199</v>
      </c>
      <c r="E75" s="170">
        <f>E20</f>
        <v>-0.004499376</v>
      </c>
      <c r="F75" s="170">
        <f>F20</f>
        <v>-0.001729733</v>
      </c>
    </row>
    <row r="78" ht="12.75">
      <c r="A78" s="169" t="s">
        <v>154</v>
      </c>
    </row>
    <row r="80" spans="2:6" ht="12.75">
      <c r="B80" s="169" t="s">
        <v>84</v>
      </c>
      <c r="C80" s="169" t="s">
        <v>85</v>
      </c>
      <c r="D80" s="169" t="s">
        <v>86</v>
      </c>
      <c r="E80" s="169" t="s">
        <v>87</v>
      </c>
      <c r="F80" s="169" t="s">
        <v>88</v>
      </c>
    </row>
    <row r="81" spans="1:6" ht="12.75">
      <c r="A81" s="169" t="s">
        <v>173</v>
      </c>
      <c r="B81" s="169">
        <f>B21+(1/0.017)*(B7*B51+B22*B50)</f>
        <v>0</v>
      </c>
      <c r="C81" s="169">
        <f>C21+(1/0.017)*(C7*C51+C22*C50)</f>
        <v>0</v>
      </c>
      <c r="D81" s="169">
        <f>D21+(1/0.017)*(D7*D51+D22*D50)</f>
        <v>0</v>
      </c>
      <c r="E81" s="169">
        <f>E21+(1/0.017)*(E7*E51+E22*E50)</f>
        <v>0</v>
      </c>
      <c r="F81" s="169">
        <f>F21+(1/0.017)*(F7*F51+F22*F50)</f>
        <v>0</v>
      </c>
    </row>
    <row r="82" spans="1:6" ht="12.75">
      <c r="A82" s="169" t="s">
        <v>174</v>
      </c>
      <c r="B82" s="169">
        <f>B22+(2/0.017)*(B8*B51+B23*B50)</f>
        <v>63.05237747562168</v>
      </c>
      <c r="C82" s="169">
        <f>C22+(2/0.017)*(C8*C51+C23*C50)</f>
        <v>25.7924461700564</v>
      </c>
      <c r="D82" s="169">
        <f>D22+(2/0.017)*(D8*D51+D23*D50)</f>
        <v>-27.89072001088034</v>
      </c>
      <c r="E82" s="169">
        <f>E22+(2/0.017)*(E8*E51+E23*E50)</f>
        <v>-21.693036173333322</v>
      </c>
      <c r="F82" s="169">
        <f>F22+(2/0.017)*(F8*F51+F23*F50)</f>
        <v>-29.06140995930263</v>
      </c>
    </row>
    <row r="83" spans="1:6" ht="12.75">
      <c r="A83" s="169" t="s">
        <v>175</v>
      </c>
      <c r="B83" s="169">
        <f>B23+(3/0.017)*(B9*B51+B24*B50)</f>
        <v>2.8805886669869425</v>
      </c>
      <c r="C83" s="169">
        <f>C23+(3/0.017)*(C9*C51+C24*C50)</f>
        <v>1.3437314621086185</v>
      </c>
      <c r="D83" s="169">
        <f>D23+(3/0.017)*(D9*D51+D24*D50)</f>
        <v>0.26058079850640653</v>
      </c>
      <c r="E83" s="169">
        <f>E23+(3/0.017)*(E9*E51+E24*E50)</f>
        <v>5.3230625940105885</v>
      </c>
      <c r="F83" s="169">
        <f>F23+(3/0.017)*(F9*F51+F24*F50)</f>
        <v>3.4987345489844994</v>
      </c>
    </row>
    <row r="84" spans="1:6" ht="12.75">
      <c r="A84" s="169" t="s">
        <v>176</v>
      </c>
      <c r="B84" s="169">
        <f>B24+(4/0.017)*(B10*B51+B25*B50)</f>
        <v>-0.501242239784106</v>
      </c>
      <c r="C84" s="169">
        <f>C24+(4/0.017)*(C10*C51+C25*C50)</f>
        <v>1.0503471889257616</v>
      </c>
      <c r="D84" s="169">
        <f>D24+(4/0.017)*(D10*D51+D25*D50)</f>
        <v>-2.0658575448823173</v>
      </c>
      <c r="E84" s="169">
        <f>E24+(4/0.017)*(E10*E51+E25*E50)</f>
        <v>-2.7391964558990938</v>
      </c>
      <c r="F84" s="169">
        <f>F24+(4/0.017)*(F10*F51+F25*F50)</f>
        <v>1.869366081688148</v>
      </c>
    </row>
    <row r="85" spans="1:6" ht="12.75">
      <c r="A85" s="169" t="s">
        <v>177</v>
      </c>
      <c r="B85" s="169">
        <f>B25+(5/0.017)*(B11*B51+B26*B50)</f>
        <v>0.5417781139547113</v>
      </c>
      <c r="C85" s="169">
        <f>C25+(5/0.017)*(C11*C51+C26*C50)</f>
        <v>1.3174283962887747</v>
      </c>
      <c r="D85" s="169">
        <f>D25+(5/0.017)*(D11*D51+D26*D50)</f>
        <v>0.909677159101915</v>
      </c>
      <c r="E85" s="169">
        <f>E25+(5/0.017)*(E11*E51+E26*E50)</f>
        <v>2.5368060558651377</v>
      </c>
      <c r="F85" s="169">
        <f>F25+(5/0.017)*(F11*F51+F26*F50)</f>
        <v>-0.9918538094414702</v>
      </c>
    </row>
    <row r="86" spans="1:6" ht="12.75">
      <c r="A86" s="169" t="s">
        <v>178</v>
      </c>
      <c r="B86" s="169">
        <f>B26+(6/0.017)*(B12*B51+B27*B50)</f>
        <v>0.8081367367045542</v>
      </c>
      <c r="C86" s="169">
        <f>C26+(6/0.017)*(C12*C51+C27*C50)</f>
        <v>0.08045430206773643</v>
      </c>
      <c r="D86" s="169">
        <f>D26+(6/0.017)*(D12*D51+D27*D50)</f>
        <v>-0.3123052394832952</v>
      </c>
      <c r="E86" s="169">
        <f>E26+(6/0.017)*(E12*E51+E27*E50)</f>
        <v>0.38711498180796267</v>
      </c>
      <c r="F86" s="169">
        <f>F26+(6/0.017)*(F12*F51+F27*F50)</f>
        <v>1.39982005720774</v>
      </c>
    </row>
    <row r="87" spans="1:6" ht="12.75">
      <c r="A87" s="169" t="s">
        <v>179</v>
      </c>
      <c r="B87" s="169">
        <f>B27+(7/0.017)*(B13*B51+B28*B50)</f>
        <v>-0.0489943925690703</v>
      </c>
      <c r="C87" s="169">
        <f>C27+(7/0.017)*(C13*C51+C28*C50)</f>
        <v>-0.08973447510552823</v>
      </c>
      <c r="D87" s="169">
        <f>D27+(7/0.017)*(D13*D51+D28*D50)</f>
        <v>-0.14861255101821508</v>
      </c>
      <c r="E87" s="169">
        <f>E27+(7/0.017)*(E13*E51+E28*E50)</f>
        <v>-0.5591861929539899</v>
      </c>
      <c r="F87" s="169">
        <f>F27+(7/0.017)*(F13*F51+F28*F50)</f>
        <v>0.13587767170724568</v>
      </c>
    </row>
    <row r="88" spans="1:6" ht="12.75">
      <c r="A88" s="169" t="s">
        <v>180</v>
      </c>
      <c r="B88" s="169">
        <f>B28+(8/0.017)*(B14*B51+B29*B50)</f>
        <v>0.17641325915873013</v>
      </c>
      <c r="C88" s="169">
        <f>C28+(8/0.017)*(C14*C51+C29*C50)</f>
        <v>-0.013206383224182508</v>
      </c>
      <c r="D88" s="169">
        <f>D28+(8/0.017)*(D14*D51+D29*D50)</f>
        <v>-0.28987580550364417</v>
      </c>
      <c r="E88" s="169">
        <f>E28+(8/0.017)*(E14*E51+E29*E50)</f>
        <v>-0.33007663413129595</v>
      </c>
      <c r="F88" s="169">
        <f>F28+(8/0.017)*(F14*F51+F29*F50)</f>
        <v>0.10549026719452725</v>
      </c>
    </row>
    <row r="89" spans="1:6" ht="12.75">
      <c r="A89" s="169" t="s">
        <v>181</v>
      </c>
      <c r="B89" s="169">
        <f>B29+(9/0.017)*(B15*B51+B30*B50)</f>
        <v>-0.04210956960407136</v>
      </c>
      <c r="C89" s="169">
        <f>C29+(9/0.017)*(C15*C51+C30*C50)</f>
        <v>-0.07855145176449069</v>
      </c>
      <c r="D89" s="169">
        <f>D29+(9/0.017)*(D15*D51+D30*D50)</f>
        <v>0.021180510089473054</v>
      </c>
      <c r="E89" s="169">
        <f>E29+(9/0.017)*(E15*E51+E30*E50)</f>
        <v>-0.1136016445259097</v>
      </c>
      <c r="F89" s="169">
        <f>F29+(9/0.017)*(F15*F51+F30*F50)</f>
        <v>0.09828548771198892</v>
      </c>
    </row>
    <row r="90" spans="1:6" ht="12.75">
      <c r="A90" s="169" t="s">
        <v>182</v>
      </c>
      <c r="B90" s="169">
        <f>B30+(10/0.017)*(B16*B51+B31*B50)</f>
        <v>0.08823264516132542</v>
      </c>
      <c r="C90" s="169">
        <f>C30+(10/0.017)*(C16*C51+C31*C50)</f>
        <v>0.06568725640048347</v>
      </c>
      <c r="D90" s="169">
        <f>D30+(10/0.017)*(D16*D51+D31*D50)</f>
        <v>-0.004424298993487778</v>
      </c>
      <c r="E90" s="169">
        <f>E30+(10/0.017)*(E16*E51+E31*E50)</f>
        <v>0.21978346847452096</v>
      </c>
      <c r="F90" s="169">
        <f>F30+(10/0.017)*(F16*F51+F31*F50)</f>
        <v>0.2853593012716749</v>
      </c>
    </row>
    <row r="91" spans="1:6" ht="12.75">
      <c r="A91" s="169" t="s">
        <v>183</v>
      </c>
      <c r="B91" s="169">
        <f>B31+(11/0.017)*(B17*B51+B32*B50)</f>
        <v>0.045394085663041525</v>
      </c>
      <c r="C91" s="169">
        <f>C31+(11/0.017)*(C17*C51+C32*C50)</f>
        <v>-0.01104959122076385</v>
      </c>
      <c r="D91" s="169">
        <f>D31+(11/0.017)*(D17*D51+D32*D50)</f>
        <v>0.07378340827482296</v>
      </c>
      <c r="E91" s="169">
        <f>E31+(11/0.017)*(E17*E51+E32*E50)</f>
        <v>-0.08088578881875275</v>
      </c>
      <c r="F91" s="169">
        <f>F31+(11/0.017)*(F17*F51+F32*F50)</f>
        <v>0.12165013395845478</v>
      </c>
    </row>
    <row r="92" spans="1:6" ht="12.75">
      <c r="A92" s="169" t="s">
        <v>184</v>
      </c>
      <c r="B92" s="169">
        <f>B32+(12/0.017)*(B18*B51+B33*B50)</f>
        <v>0.06256651332714751</v>
      </c>
      <c r="C92" s="169">
        <f>C32+(12/0.017)*(C18*C51+C33*C50)</f>
        <v>-0.043571773267241244</v>
      </c>
      <c r="D92" s="169">
        <f>D32+(12/0.017)*(D18*D51+D33*D50)</f>
        <v>-0.04524143588830787</v>
      </c>
      <c r="E92" s="169">
        <f>E32+(12/0.017)*(E18*E51+E33*E50)</f>
        <v>-0.06522964830727151</v>
      </c>
      <c r="F92" s="169">
        <f>F32+(12/0.017)*(F18*F51+F33*F50)</f>
        <v>0.0047403434738490235</v>
      </c>
    </row>
    <row r="93" spans="1:6" ht="12.75">
      <c r="A93" s="169" t="s">
        <v>185</v>
      </c>
      <c r="B93" s="169">
        <f>B33+(13/0.017)*(B19*B51+B34*B50)</f>
        <v>-0.09118773225193574</v>
      </c>
      <c r="C93" s="169">
        <f>C33+(13/0.017)*(C19*C51+C34*C50)</f>
        <v>-0.09541536497192334</v>
      </c>
      <c r="D93" s="169">
        <f>D33+(13/0.017)*(D19*D51+D34*D50)</f>
        <v>-0.08685006045605295</v>
      </c>
      <c r="E93" s="169">
        <f>E33+(13/0.017)*(E19*E51+E34*E50)</f>
        <v>-0.08321089192449088</v>
      </c>
      <c r="F93" s="169">
        <f>F33+(13/0.017)*(F19*F51+F34*F50)</f>
        <v>-0.06611846298344004</v>
      </c>
    </row>
    <row r="94" spans="1:6" ht="12.75">
      <c r="A94" s="169" t="s">
        <v>186</v>
      </c>
      <c r="B94" s="169">
        <f>B34+(14/0.017)*(B20*B51+B35*B50)</f>
        <v>-0.008487850725210412</v>
      </c>
      <c r="C94" s="169">
        <f>C34+(14/0.017)*(C20*C51+C35*C50)</f>
        <v>0.005887337466414257</v>
      </c>
      <c r="D94" s="169">
        <f>D34+(14/0.017)*(D20*D51+D35*D50)</f>
        <v>-0.002689585928302419</v>
      </c>
      <c r="E94" s="169">
        <f>E34+(14/0.017)*(E20*E51+E35*E50)</f>
        <v>-0.0009941321012687842</v>
      </c>
      <c r="F94" s="169">
        <f>F34+(14/0.017)*(F20*F51+F35*F50)</f>
        <v>-0.015950376834410862</v>
      </c>
    </row>
    <row r="95" spans="1:6" ht="12.75">
      <c r="A95" s="169" t="s">
        <v>187</v>
      </c>
      <c r="B95" s="170">
        <f>B35</f>
        <v>0.0007289983</v>
      </c>
      <c r="C95" s="170">
        <f>C35</f>
        <v>-0.0003451</v>
      </c>
      <c r="D95" s="170">
        <f>D35</f>
        <v>-0.00388147</v>
      </c>
      <c r="E95" s="170">
        <f>E35</f>
        <v>0.01002832</v>
      </c>
      <c r="F95" s="170">
        <f>F35</f>
        <v>0.002731607</v>
      </c>
    </row>
    <row r="98" ht="12.75">
      <c r="A98" s="169" t="s">
        <v>155</v>
      </c>
    </row>
    <row r="100" spans="2:11" ht="12.75">
      <c r="B100" s="169" t="s">
        <v>84</v>
      </c>
      <c r="C100" s="169" t="s">
        <v>85</v>
      </c>
      <c r="D100" s="169" t="s">
        <v>86</v>
      </c>
      <c r="E100" s="169" t="s">
        <v>87</v>
      </c>
      <c r="F100" s="169" t="s">
        <v>88</v>
      </c>
      <c r="G100" s="169" t="s">
        <v>157</v>
      </c>
      <c r="H100" s="169" t="s">
        <v>158</v>
      </c>
      <c r="I100" s="169" t="s">
        <v>153</v>
      </c>
      <c r="K100" s="169" t="s">
        <v>188</v>
      </c>
    </row>
    <row r="101" spans="1:9" ht="12.75">
      <c r="A101" s="169" t="s">
        <v>156</v>
      </c>
      <c r="B101" s="169">
        <f>B61*10000/B62</f>
        <v>0</v>
      </c>
      <c r="C101" s="169">
        <f>C61*10000/C62</f>
        <v>0</v>
      </c>
      <c r="D101" s="169">
        <f>D61*10000/D62</f>
        <v>0</v>
      </c>
      <c r="E101" s="169">
        <f>E61*10000/E62</f>
        <v>0</v>
      </c>
      <c r="F101" s="169">
        <f>F61*10000/F62</f>
        <v>0</v>
      </c>
      <c r="G101" s="169">
        <f>AVERAGE(C101:E101)</f>
        <v>0</v>
      </c>
      <c r="H101" s="169">
        <f>STDEV(C101:E101)</f>
        <v>0</v>
      </c>
      <c r="I101" s="169">
        <f>(B101*B4+C101*C4+D101*D4+E101*E4+F101*F4)/SUM(B4:F4)</f>
        <v>0</v>
      </c>
    </row>
    <row r="102" spans="1:9" ht="12.75">
      <c r="A102" s="169" t="s">
        <v>159</v>
      </c>
      <c r="B102" s="169">
        <f>B62*10000/B62</f>
        <v>10000</v>
      </c>
      <c r="C102" s="169">
        <f>C62*10000/C62</f>
        <v>10000</v>
      </c>
      <c r="D102" s="169">
        <f>D62*10000/D62</f>
        <v>10000</v>
      </c>
      <c r="E102" s="169">
        <f>E62*10000/E62</f>
        <v>10000</v>
      </c>
      <c r="F102" s="169">
        <f>F62*10000/F62</f>
        <v>10000</v>
      </c>
      <c r="G102" s="169">
        <f>AVERAGE(C102:E102)</f>
        <v>10000</v>
      </c>
      <c r="H102" s="169">
        <f>STDEV(C102:E102)</f>
        <v>0</v>
      </c>
      <c r="I102" s="169">
        <f>(B102*B4+C102*C4+D102*D4+E102*E4+F102*F4)/SUM(B4:F4)</f>
        <v>10000</v>
      </c>
    </row>
    <row r="103" spans="1:11" ht="12.75">
      <c r="A103" s="169" t="s">
        <v>160</v>
      </c>
      <c r="B103" s="169">
        <f>B63*10000/B62</f>
        <v>-1.2794311455832188</v>
      </c>
      <c r="C103" s="169">
        <f>C63*10000/C62</f>
        <v>-2.506400806046739</v>
      </c>
      <c r="D103" s="169">
        <f>D63*10000/D62</f>
        <v>-2.7716424203372254</v>
      </c>
      <c r="E103" s="169">
        <f>E63*10000/E62</f>
        <v>-2.4375094855875834</v>
      </c>
      <c r="F103" s="169">
        <f>F63*10000/F62</f>
        <v>-5.232449126635338</v>
      </c>
      <c r="G103" s="169">
        <f>AVERAGE(C103:E103)</f>
        <v>-2.5718509039905157</v>
      </c>
      <c r="H103" s="169">
        <f>STDEV(C103:E103)</f>
        <v>0.17641992804595835</v>
      </c>
      <c r="I103" s="169">
        <f>(B103*B4+C103*C4+D103*D4+E103*E4+F103*F4)/SUM(B4:F4)</f>
        <v>-2.740399044288901</v>
      </c>
      <c r="K103" s="169">
        <f>(LN(H103)+LN(H123))/2-LN(K114*K115^3)</f>
        <v>-4.255699441277713</v>
      </c>
    </row>
    <row r="104" spans="1:11" ht="12.75">
      <c r="A104" s="169" t="s">
        <v>161</v>
      </c>
      <c r="B104" s="169">
        <f>B64*10000/B62</f>
        <v>0.6785382526432172</v>
      </c>
      <c r="C104" s="169">
        <f>C64*10000/C62</f>
        <v>-0.3209124852356296</v>
      </c>
      <c r="D104" s="169">
        <f>D64*10000/D62</f>
        <v>-0.36846542015088074</v>
      </c>
      <c r="E104" s="169">
        <f>E64*10000/E62</f>
        <v>-1.0313937799060442</v>
      </c>
      <c r="F104" s="169">
        <f>F64*10000/F62</f>
        <v>0.16386439999748081</v>
      </c>
      <c r="G104" s="169">
        <f>AVERAGE(C104:E104)</f>
        <v>-0.5735905617641849</v>
      </c>
      <c r="H104" s="169">
        <f>STDEV(C104:E104)</f>
        <v>0.3971815206055609</v>
      </c>
      <c r="I104" s="169">
        <f>(B104*B4+C104*C4+D104*D4+E104*E4+F104*F4)/SUM(B4:F4)</f>
        <v>-0.29425428499615436</v>
      </c>
      <c r="K104" s="169">
        <f>(LN(H104)+LN(H124))/2-LN(K114*K115^4)</f>
        <v>-3.396909163315985</v>
      </c>
    </row>
    <row r="105" spans="1:11" ht="12.75">
      <c r="A105" s="169" t="s">
        <v>162</v>
      </c>
      <c r="B105" s="169">
        <f>B65*10000/B62</f>
        <v>0.07428956243097964</v>
      </c>
      <c r="C105" s="169">
        <f>C65*10000/C62</f>
        <v>0.7271113616610559</v>
      </c>
      <c r="D105" s="169">
        <f>D65*10000/D62</f>
        <v>1.0583566030382972</v>
      </c>
      <c r="E105" s="169">
        <f>E65*10000/E62</f>
        <v>1.3670737387558034</v>
      </c>
      <c r="F105" s="169">
        <f>F65*10000/F62</f>
        <v>-0.01930600724862607</v>
      </c>
      <c r="G105" s="169">
        <f>AVERAGE(C105:E105)</f>
        <v>1.0508472344850521</v>
      </c>
      <c r="H105" s="169">
        <f>STDEV(C105:E105)</f>
        <v>0.3200472683624111</v>
      </c>
      <c r="I105" s="169">
        <f>(B105*B4+C105*C4+D105*D4+E105*E4+F105*F4)/SUM(B4:F4)</f>
        <v>0.7668733899740294</v>
      </c>
      <c r="K105" s="169">
        <f>(LN(H105)+LN(H125))/2-LN(K114*K115^5)</f>
        <v>-3.348736340723079</v>
      </c>
    </row>
    <row r="106" spans="1:11" ht="12.75">
      <c r="A106" s="169" t="s">
        <v>163</v>
      </c>
      <c r="B106" s="169">
        <f>B66*10000/B62</f>
        <v>3.037608831988539</v>
      </c>
      <c r="C106" s="169">
        <f>C66*10000/C62</f>
        <v>4.058304462879396</v>
      </c>
      <c r="D106" s="169">
        <f>D66*10000/D62</f>
        <v>4.240144541313731</v>
      </c>
      <c r="E106" s="169">
        <f>E66*10000/E62</f>
        <v>2.962434550635114</v>
      </c>
      <c r="F106" s="169">
        <f>F66*10000/F62</f>
        <v>13.571871885199792</v>
      </c>
      <c r="G106" s="169">
        <f>AVERAGE(C106:E106)</f>
        <v>3.753627851609414</v>
      </c>
      <c r="H106" s="169">
        <f>STDEV(C106:E106)</f>
        <v>0.6911993801799899</v>
      </c>
      <c r="I106" s="169">
        <f>(B106*B4+C106*C4+D106*D4+E106*E4+F106*F4)/SUM(B4:F4)</f>
        <v>4.96120836240645</v>
      </c>
      <c r="K106" s="169">
        <f>(LN(H106)+LN(H126))/2-LN(K114*K115^6)</f>
        <v>-2.813312478952582</v>
      </c>
    </row>
    <row r="107" spans="1:11" ht="12.75">
      <c r="A107" s="169" t="s">
        <v>164</v>
      </c>
      <c r="B107" s="169">
        <f>B67*10000/B62</f>
        <v>-0.05904192826117685</v>
      </c>
      <c r="C107" s="169">
        <f>C67*10000/C62</f>
        <v>-0.27135347782680513</v>
      </c>
      <c r="D107" s="169">
        <f>D67*10000/D62</f>
        <v>-0.12477037057544797</v>
      </c>
      <c r="E107" s="169">
        <f>E67*10000/E62</f>
        <v>0.35790370740454497</v>
      </c>
      <c r="F107" s="169">
        <f>F67*10000/F62</f>
        <v>0.0885577837123232</v>
      </c>
      <c r="G107" s="169">
        <f>AVERAGE(C107:E107)</f>
        <v>-0.012740046999236051</v>
      </c>
      <c r="H107" s="169">
        <f>STDEV(C107:E107)</f>
        <v>0.32924800127223774</v>
      </c>
      <c r="I107" s="169">
        <f>(B107*B4+C107*C4+D107*D4+E107*E4+F107*F4)/SUM(B4:F4)</f>
        <v>-0.005871500386739789</v>
      </c>
      <c r="K107" s="169">
        <f>(LN(H107)+LN(H127))/2-LN(K114*K115^7)</f>
        <v>-2.750505429528871</v>
      </c>
    </row>
    <row r="108" spans="1:9" ht="12.75">
      <c r="A108" s="169" t="s">
        <v>165</v>
      </c>
      <c r="B108" s="169">
        <f>B68*10000/B62</f>
        <v>-0.0807930998339507</v>
      </c>
      <c r="C108" s="169">
        <f>C68*10000/C62</f>
        <v>0.03342488457784846</v>
      </c>
      <c r="D108" s="169">
        <f>D68*10000/D62</f>
        <v>-0.13972599939347666</v>
      </c>
      <c r="E108" s="169">
        <f>E68*10000/E62</f>
        <v>-0.02964767788908753</v>
      </c>
      <c r="F108" s="169">
        <f>F68*10000/F62</f>
        <v>-0.21820898695183286</v>
      </c>
      <c r="G108" s="169">
        <f>AVERAGE(C108:E108)</f>
        <v>-0.04531626423490525</v>
      </c>
      <c r="H108" s="169">
        <f>STDEV(C108:E108)</f>
        <v>0.08763238900982948</v>
      </c>
      <c r="I108" s="169">
        <f>(B108*B4+C108*C4+D108*D4+E108*E4+F108*F4)/SUM(B4:F4)</f>
        <v>-0.07352246136522529</v>
      </c>
    </row>
    <row r="109" spans="1:9" ht="12.75">
      <c r="A109" s="169" t="s">
        <v>166</v>
      </c>
      <c r="B109" s="169">
        <f>B69*10000/B62</f>
        <v>-0.05328781846979502</v>
      </c>
      <c r="C109" s="169">
        <f>C69*10000/C62</f>
        <v>-0.04315338515536052</v>
      </c>
      <c r="D109" s="169">
        <f>D69*10000/D62</f>
        <v>0.05209703743352553</v>
      </c>
      <c r="E109" s="169">
        <f>E69*10000/E62</f>
        <v>0.009889570536636116</v>
      </c>
      <c r="F109" s="169">
        <f>F69*10000/F62</f>
        <v>0.06498878309211775</v>
      </c>
      <c r="G109" s="169">
        <f>AVERAGE(C109:E109)</f>
        <v>0.006277740938267042</v>
      </c>
      <c r="H109" s="169">
        <f>STDEV(C109:E109)</f>
        <v>0.047727819305160846</v>
      </c>
      <c r="I109" s="169">
        <f>(B109*B4+C109*C4+D109*D4+E109*E4+F109*F4)/SUM(B4:F4)</f>
        <v>0.005509504167195873</v>
      </c>
    </row>
    <row r="110" spans="1:11" ht="12.75">
      <c r="A110" s="169" t="s">
        <v>167</v>
      </c>
      <c r="B110" s="169">
        <f>B70*10000/B62</f>
        <v>-0.42841888839930886</v>
      </c>
      <c r="C110" s="169">
        <f>C70*10000/C62</f>
        <v>-0.06034164434437764</v>
      </c>
      <c r="D110" s="169">
        <f>D70*10000/D62</f>
        <v>0.02876624315959737</v>
      </c>
      <c r="E110" s="169">
        <f>E70*10000/E62</f>
        <v>0.01505346927268391</v>
      </c>
      <c r="F110" s="169">
        <f>F70*10000/F62</f>
        <v>-0.362264807366468</v>
      </c>
      <c r="G110" s="169">
        <f>AVERAGE(C110:E110)</f>
        <v>-0.005507310637365451</v>
      </c>
      <c r="H110" s="169">
        <f>STDEV(C110:E110)</f>
        <v>0.04798034135703271</v>
      </c>
      <c r="I110" s="169">
        <f>(B110*B4+C110*C4+D110*D4+E110*E4+F110*F4)/SUM(B4:F4)</f>
        <v>-0.11424871637466932</v>
      </c>
      <c r="K110" s="169">
        <f>EXP(AVERAGE(K103:K107))</f>
        <v>0.03640560361358565</v>
      </c>
    </row>
    <row r="111" spans="1:9" ht="12.75">
      <c r="A111" s="169" t="s">
        <v>168</v>
      </c>
      <c r="B111" s="169">
        <f>B71*10000/B62</f>
        <v>0.08688081375446786</v>
      </c>
      <c r="C111" s="169">
        <f>C71*10000/C62</f>
        <v>-0.04210424911549642</v>
      </c>
      <c r="D111" s="169">
        <f>D71*10000/D62</f>
        <v>0.0018336183996617845</v>
      </c>
      <c r="E111" s="169">
        <f>E71*10000/E62</f>
        <v>-0.03244763588507098</v>
      </c>
      <c r="F111" s="169">
        <f>F71*10000/F62</f>
        <v>-0.021035427309232035</v>
      </c>
      <c r="G111" s="169">
        <f>AVERAGE(C111:E111)</f>
        <v>-0.02423942220030187</v>
      </c>
      <c r="H111" s="169">
        <f>STDEV(C111:E111)</f>
        <v>0.02309036875768817</v>
      </c>
      <c r="I111" s="169">
        <f>(B111*B4+C111*C4+D111*D4+E111*E4+F111*F4)/SUM(B4:F4)</f>
        <v>-0.00775974241646368</v>
      </c>
    </row>
    <row r="112" spans="1:9" ht="12.75">
      <c r="A112" s="169" t="s">
        <v>169</v>
      </c>
      <c r="B112" s="169">
        <f>B72*10000/B62</f>
        <v>-0.05398195328623296</v>
      </c>
      <c r="C112" s="169">
        <f>C72*10000/C62</f>
        <v>-0.060050435274755884</v>
      </c>
      <c r="D112" s="169">
        <f>D72*10000/D62</f>
        <v>-0.06705327360448696</v>
      </c>
      <c r="E112" s="169">
        <f>E72*10000/E62</f>
        <v>-0.0009824378382470556</v>
      </c>
      <c r="F112" s="169">
        <f>F72*10000/F62</f>
        <v>-0.06809459050664593</v>
      </c>
      <c r="G112" s="169">
        <f>AVERAGE(C112:E112)</f>
        <v>-0.0426953822391633</v>
      </c>
      <c r="H112" s="169">
        <f>STDEV(C112:E112)</f>
        <v>0.0362937630194712</v>
      </c>
      <c r="I112" s="169">
        <f>(B112*B4+C112*C4+D112*D4+E112*E4+F112*F4)/SUM(B4:F4)</f>
        <v>-0.04771353522087652</v>
      </c>
    </row>
    <row r="113" spans="1:9" ht="12.75">
      <c r="A113" s="169" t="s">
        <v>170</v>
      </c>
      <c r="B113" s="169">
        <f>B73*10000/B62</f>
        <v>-0.006031176962595956</v>
      </c>
      <c r="C113" s="169">
        <f>C73*10000/C62</f>
        <v>0.000894374614112643</v>
      </c>
      <c r="D113" s="169">
        <f>D73*10000/D62</f>
        <v>-0.009858691722360941</v>
      </c>
      <c r="E113" s="169">
        <f>E73*10000/E62</f>
        <v>-0.039285040707443854</v>
      </c>
      <c r="F113" s="169">
        <f>F73*10000/F62</f>
        <v>-0.00667135650320661</v>
      </c>
      <c r="G113" s="169">
        <f>AVERAGE(C113:E113)</f>
        <v>-0.016083119271897383</v>
      </c>
      <c r="H113" s="169">
        <f>STDEV(C113:E113)</f>
        <v>0.02080033599813002</v>
      </c>
      <c r="I113" s="169">
        <f>(B113*B4+C113*C4+D113*D4+E113*E4+F113*F4)/SUM(B4:F4)</f>
        <v>-0.013375926128590067</v>
      </c>
    </row>
    <row r="114" spans="1:11" ht="12.75">
      <c r="A114" s="169" t="s">
        <v>171</v>
      </c>
      <c r="B114" s="169">
        <f>B74*10000/B62</f>
        <v>-0.18365186141814588</v>
      </c>
      <c r="C114" s="169">
        <f>C74*10000/C62</f>
        <v>-0.1758785036993096</v>
      </c>
      <c r="D114" s="169">
        <f>D74*10000/D62</f>
        <v>-0.17105522563645686</v>
      </c>
      <c r="E114" s="169">
        <f>E74*10000/E62</f>
        <v>-0.15787392568020284</v>
      </c>
      <c r="F114" s="169">
        <f>F74*10000/F62</f>
        <v>-0.144721936333535</v>
      </c>
      <c r="G114" s="169">
        <f>AVERAGE(C114:E114)</f>
        <v>-0.16826921833865646</v>
      </c>
      <c r="H114" s="169">
        <f>STDEV(C114:E114)</f>
        <v>0.009320009920009345</v>
      </c>
      <c r="I114" s="169">
        <f>(B114*B4+C114*C4+D114*D4+E114*E4+F114*F4)/SUM(B4:F4)</f>
        <v>-0.16734631507630782</v>
      </c>
      <c r="J114" s="169" t="s">
        <v>189</v>
      </c>
      <c r="K114" s="169">
        <v>285</v>
      </c>
    </row>
    <row r="115" spans="1:11" ht="12.75">
      <c r="A115" s="169" t="s">
        <v>172</v>
      </c>
      <c r="B115" s="169">
        <f>B75*10000/B62</f>
        <v>-0.001956825624184748</v>
      </c>
      <c r="C115" s="169">
        <f>C75*10000/C62</f>
        <v>0.0024317071874683078</v>
      </c>
      <c r="D115" s="169">
        <f>D75*10000/D62</f>
        <v>-0.005369259767070096</v>
      </c>
      <c r="E115" s="169">
        <f>E75*10000/E62</f>
        <v>-0.004499818303969884</v>
      </c>
      <c r="F115" s="169">
        <f>F75*10000/F62</f>
        <v>-0.0017299126117679053</v>
      </c>
      <c r="G115" s="169">
        <f>AVERAGE(C115:E115)</f>
        <v>-0.0024791236278572243</v>
      </c>
      <c r="H115" s="169">
        <f>STDEV(C115:E115)</f>
        <v>0.004275064512612947</v>
      </c>
      <c r="I115" s="169">
        <f>(B115*B4+C115*C4+D115*D4+E115*E4+F115*F4)/SUM(B4:F4)</f>
        <v>-0.0023035612568317876</v>
      </c>
      <c r="J115" s="169" t="s">
        <v>190</v>
      </c>
      <c r="K115" s="169">
        <v>0.5536</v>
      </c>
    </row>
    <row r="118" ht="12.75">
      <c r="A118" s="169" t="s">
        <v>155</v>
      </c>
    </row>
    <row r="120" spans="2:9" ht="12.75">
      <c r="B120" s="169" t="s">
        <v>84</v>
      </c>
      <c r="C120" s="169" t="s">
        <v>85</v>
      </c>
      <c r="D120" s="169" t="s">
        <v>86</v>
      </c>
      <c r="E120" s="169" t="s">
        <v>87</v>
      </c>
      <c r="F120" s="169" t="s">
        <v>88</v>
      </c>
      <c r="G120" s="169" t="s">
        <v>157</v>
      </c>
      <c r="H120" s="169" t="s">
        <v>158</v>
      </c>
      <c r="I120" s="169" t="s">
        <v>153</v>
      </c>
    </row>
    <row r="121" spans="1:9" ht="12.75">
      <c r="A121" s="169" t="s">
        <v>173</v>
      </c>
      <c r="B121" s="169">
        <f>B81*10000/B62</f>
        <v>0</v>
      </c>
      <c r="C121" s="169">
        <f>C81*10000/C62</f>
        <v>0</v>
      </c>
      <c r="D121" s="169">
        <f>D81*10000/D62</f>
        <v>0</v>
      </c>
      <c r="E121" s="169">
        <f>E81*10000/E62</f>
        <v>0</v>
      </c>
      <c r="F121" s="169">
        <f>F81*10000/F62</f>
        <v>0</v>
      </c>
      <c r="G121" s="169">
        <f>AVERAGE(C121:E121)</f>
        <v>0</v>
      </c>
      <c r="H121" s="169">
        <f>STDEV(C121:E121)</f>
        <v>0</v>
      </c>
      <c r="I121" s="169">
        <f>(B121*B4+C121*C4+D121*D4+E121*E4+F121*F4)/SUM(B4:F4)</f>
        <v>0</v>
      </c>
    </row>
    <row r="122" spans="1:9" ht="12.75">
      <c r="A122" s="169" t="s">
        <v>174</v>
      </c>
      <c r="B122" s="169">
        <f>B82*10000/B62</f>
        <v>63.05645779451296</v>
      </c>
      <c r="C122" s="169">
        <f>C82*10000/C62</f>
        <v>25.792946684205674</v>
      </c>
      <c r="D122" s="169">
        <f>D82*10000/D62</f>
        <v>-27.891035670131924</v>
      </c>
      <c r="E122" s="169">
        <f>E82*10000/E62</f>
        <v>-21.695168672599507</v>
      </c>
      <c r="F122" s="169">
        <f>F82*10000/F62</f>
        <v>-29.064427633834256</v>
      </c>
      <c r="G122" s="169">
        <f>AVERAGE(C122:E122)</f>
        <v>-7.931085886175253</v>
      </c>
      <c r="H122" s="169">
        <f>STDEV(C122:E122)</f>
        <v>29.369711806023275</v>
      </c>
      <c r="I122" s="169">
        <f>(B122*B4+C122*C4+D122*D4+E122*E4+F122*F4)/SUM(B4:F4)</f>
        <v>-0.49691861369122864</v>
      </c>
    </row>
    <row r="123" spans="1:9" ht="12.75">
      <c r="A123" s="169" t="s">
        <v>175</v>
      </c>
      <c r="B123" s="169">
        <f>B83*10000/B62</f>
        <v>2.880775078995918</v>
      </c>
      <c r="C123" s="169">
        <f>C83*10000/C62</f>
        <v>1.3437575378288187</v>
      </c>
      <c r="D123" s="169">
        <f>D83*10000/D62</f>
        <v>0.2605837476859114</v>
      </c>
      <c r="E123" s="169">
        <f>E83*10000/E62</f>
        <v>5.32358586917525</v>
      </c>
      <c r="F123" s="169">
        <f>F83*10000/F62</f>
        <v>3.4990978500822845</v>
      </c>
      <c r="G123" s="169">
        <f>AVERAGE(C123:E123)</f>
        <v>2.3093090515633263</v>
      </c>
      <c r="H123" s="169">
        <f>STDEV(C123:E123)</f>
        <v>2.6660298038108343</v>
      </c>
      <c r="I123" s="169">
        <f>(B123*B4+C123*C4+D123*D4+E123*E4+F123*F4)/SUM(B4:F4)</f>
        <v>2.5510770081634355</v>
      </c>
    </row>
    <row r="124" spans="1:9" ht="12.75">
      <c r="A124" s="169" t="s">
        <v>176</v>
      </c>
      <c r="B124" s="169">
        <f>B84*10000/B62</f>
        <v>-0.5012746767557474</v>
      </c>
      <c r="C124" s="169">
        <f>C84*10000/C62</f>
        <v>1.0503675713906988</v>
      </c>
      <c r="D124" s="169">
        <f>D84*10000/D62</f>
        <v>-2.0658809256715633</v>
      </c>
      <c r="E124" s="169">
        <f>E84*10000/E62</f>
        <v>-2.7394657282307984</v>
      </c>
      <c r="F124" s="169">
        <f>F84*10000/F62</f>
        <v>1.8695601926560228</v>
      </c>
      <c r="G124" s="169">
        <f>AVERAGE(C124:E124)</f>
        <v>-1.2516596941705542</v>
      </c>
      <c r="H124" s="169">
        <f>STDEV(C124:E124)</f>
        <v>2.0218620798907763</v>
      </c>
      <c r="I124" s="169">
        <f>(B124*B4+C124*C4+D124*D4+E124*E4+F124*F4)/SUM(B4:F4)</f>
        <v>-0.726490002866424</v>
      </c>
    </row>
    <row r="125" spans="1:9" ht="12.75">
      <c r="A125" s="169" t="s">
        <v>177</v>
      </c>
      <c r="B125" s="169">
        <f>B85*10000/B62</f>
        <v>0.5418131741310561</v>
      </c>
      <c r="C125" s="169">
        <f>C85*10000/C62</f>
        <v>1.317453961586019</v>
      </c>
      <c r="D125" s="169">
        <f>D85*10000/D62</f>
        <v>0.9096874545697665</v>
      </c>
      <c r="E125" s="169">
        <f>E85*10000/E62</f>
        <v>2.5370554325318877</v>
      </c>
      <c r="F125" s="169">
        <f>F85*10000/F62</f>
        <v>-0.9919568014155018</v>
      </c>
      <c r="G125" s="169">
        <f>AVERAGE(C125:E125)</f>
        <v>1.5880656162292244</v>
      </c>
      <c r="H125" s="169">
        <f>STDEV(C125:E125)</f>
        <v>0.8467612618948042</v>
      </c>
      <c r="I125" s="169">
        <f>(B125*B4+C125*C4+D125*D4+E125*E4+F125*F4)/SUM(B4:F4)</f>
        <v>1.0924821097848658</v>
      </c>
    </row>
    <row r="126" spans="1:9" ht="12.75">
      <c r="A126" s="169" t="s">
        <v>178</v>
      </c>
      <c r="B126" s="169">
        <f>B86*10000/B62</f>
        <v>0.8081890337903348</v>
      </c>
      <c r="C126" s="169">
        <f>C86*10000/C62</f>
        <v>0.0804558633200616</v>
      </c>
      <c r="D126" s="169">
        <f>D86*10000/D62</f>
        <v>-0.31230877406533974</v>
      </c>
      <c r="E126" s="169">
        <f>E86*10000/E62</f>
        <v>0.3871530365278294</v>
      </c>
      <c r="F126" s="169">
        <f>F86*10000/F62</f>
        <v>1.3999654115226687</v>
      </c>
      <c r="G126" s="169">
        <f>AVERAGE(C126:E126)</f>
        <v>0.05176670859418375</v>
      </c>
      <c r="H126" s="169">
        <f>STDEV(C126:E126)</f>
        <v>0.3506123312416901</v>
      </c>
      <c r="I126" s="169">
        <f>(B126*B4+C126*C4+D126*D4+E126*E4+F126*F4)/SUM(B4:F4)</f>
        <v>0.34113076501164186</v>
      </c>
    </row>
    <row r="127" spans="1:9" ht="12.75">
      <c r="A127" s="169" t="s">
        <v>179</v>
      </c>
      <c r="B127" s="169">
        <f>B87*10000/B62</f>
        <v>-0.04899756315126831</v>
      </c>
      <c r="C127" s="169">
        <f>C87*10000/C62</f>
        <v>-0.08973621644383216</v>
      </c>
      <c r="D127" s="169">
        <f>D87*10000/D62</f>
        <v>-0.14861423297287998</v>
      </c>
      <c r="E127" s="169">
        <f>E87*10000/E62</f>
        <v>-0.559241162859383</v>
      </c>
      <c r="F127" s="169">
        <f>F87*10000/F62</f>
        <v>0.13589178095349017</v>
      </c>
      <c r="G127" s="169">
        <f>AVERAGE(C127:E127)</f>
        <v>-0.2658638707586984</v>
      </c>
      <c r="H127" s="169">
        <f>STDEV(C127:E127)</f>
        <v>0.25577203101169316</v>
      </c>
      <c r="I127" s="169">
        <f>(B127*B4+C127*C4+D127*D4+E127*E4+F127*F4)/SUM(B4:F4)</f>
        <v>-0.1809088846541737</v>
      </c>
    </row>
    <row r="128" spans="1:9" ht="12.75">
      <c r="A128" s="169" t="s">
        <v>180</v>
      </c>
      <c r="B128" s="169">
        <f>B88*10000/B62</f>
        <v>0.17642467541903364</v>
      </c>
      <c r="C128" s="169">
        <f>C88*10000/C62</f>
        <v>-0.013206639500055717</v>
      </c>
      <c r="D128" s="169">
        <f>D88*10000/D62</f>
        <v>-0.28987908623572217</v>
      </c>
      <c r="E128" s="169">
        <f>E88*10000/E62</f>
        <v>-0.33010908178751364</v>
      </c>
      <c r="F128" s="169">
        <f>F88*10000/F62</f>
        <v>0.10550122107780728</v>
      </c>
      <c r="G128" s="169">
        <f>AVERAGE(C128:E128)</f>
        <v>-0.2110649358410972</v>
      </c>
      <c r="H128" s="169">
        <f>STDEV(C128:E128)</f>
        <v>0.17252693183604353</v>
      </c>
      <c r="I128" s="169">
        <f>(B128*B4+C128*C4+D128*D4+E128*E4+F128*F4)/SUM(B4:F4)</f>
        <v>-0.11281161418032996</v>
      </c>
    </row>
    <row r="129" spans="1:9" ht="12.75">
      <c r="A129" s="169" t="s">
        <v>181</v>
      </c>
      <c r="B129" s="169">
        <f>B89*10000/B62</f>
        <v>-0.04211229464758658</v>
      </c>
      <c r="C129" s="169">
        <f>C89*10000/C62</f>
        <v>-0.07855297609114023</v>
      </c>
      <c r="D129" s="169">
        <f>D89*10000/D62</f>
        <v>0.02118074980447361</v>
      </c>
      <c r="E129" s="169">
        <f>E89*10000/E62</f>
        <v>-0.11361281195409512</v>
      </c>
      <c r="F129" s="169">
        <f>F89*10000/F62</f>
        <v>0.0982956934664073</v>
      </c>
      <c r="G129" s="169">
        <f>AVERAGE(C129:E129)</f>
        <v>-0.05699501274692057</v>
      </c>
      <c r="H129" s="169">
        <f>STDEV(C129:E129)</f>
        <v>0.06993486548606002</v>
      </c>
      <c r="I129" s="169">
        <f>(B129*B4+C129*C4+D129*D4+E129*E4+F129*F4)/SUM(B4:F4)</f>
        <v>-0.034116254675926355</v>
      </c>
    </row>
    <row r="130" spans="1:9" ht="12.75">
      <c r="A130" s="169" t="s">
        <v>182</v>
      </c>
      <c r="B130" s="169">
        <f>B90*10000/B62</f>
        <v>0.08823835497502783</v>
      </c>
      <c r="C130" s="169">
        <f>C90*10000/C62</f>
        <v>0.06568853109157087</v>
      </c>
      <c r="D130" s="169">
        <f>D90*10000/D62</f>
        <v>-0.004424349066447835</v>
      </c>
      <c r="E130" s="169">
        <f>E90*10000/E62</f>
        <v>0.21980507393728316</v>
      </c>
      <c r="F130" s="169">
        <f>F90*10000/F62</f>
        <v>0.2853889323699945</v>
      </c>
      <c r="G130" s="169">
        <f>AVERAGE(C130:E130)</f>
        <v>0.09368975198746872</v>
      </c>
      <c r="H130" s="169">
        <f>STDEV(C130:E130)</f>
        <v>0.11470727881826934</v>
      </c>
      <c r="I130" s="169">
        <f>(B130*B4+C130*C4+D130*D4+E130*E4+F130*F4)/SUM(B4:F4)</f>
        <v>0.11851562895156527</v>
      </c>
    </row>
    <row r="131" spans="1:9" ht="12.75">
      <c r="A131" s="169" t="s">
        <v>183</v>
      </c>
      <c r="B131" s="169">
        <f>B91*10000/B62</f>
        <v>0.04539702325798558</v>
      </c>
      <c r="C131" s="169">
        <f>C91*10000/C62</f>
        <v>-0.011049805643107246</v>
      </c>
      <c r="D131" s="169">
        <f>D91*10000/D62</f>
        <v>0.0737842433344925</v>
      </c>
      <c r="E131" s="169">
        <f>E91*10000/E62</f>
        <v>-0.08089374016700676</v>
      </c>
      <c r="F131" s="169">
        <f>F91*10000/F62</f>
        <v>0.12166276584766902</v>
      </c>
      <c r="G131" s="169">
        <f>AVERAGE(C131:E131)</f>
        <v>-0.006053100825207168</v>
      </c>
      <c r="H131" s="169">
        <f>STDEV(C131:E131)</f>
        <v>0.07745995700554216</v>
      </c>
      <c r="I131" s="169">
        <f>(B131*B4+C131*C4+D131*D4+E131*E4+F131*F4)/SUM(B4:F4)</f>
        <v>0.018425146932109053</v>
      </c>
    </row>
    <row r="132" spans="1:9" ht="12.75">
      <c r="A132" s="169" t="s">
        <v>184</v>
      </c>
      <c r="B132" s="169">
        <f>B92*10000/B62</f>
        <v>0.0625705622042321</v>
      </c>
      <c r="C132" s="169">
        <f>C92*10000/C62</f>
        <v>-0.04357261879731952</v>
      </c>
      <c r="D132" s="169">
        <f>D92*10000/D62</f>
        <v>-0.045241947918036304</v>
      </c>
      <c r="E132" s="169">
        <f>E92*10000/E62</f>
        <v>-0.06523606060364338</v>
      </c>
      <c r="F132" s="169">
        <f>F92*10000/F62</f>
        <v>0.004740835700956801</v>
      </c>
      <c r="G132" s="169">
        <f>AVERAGE(C132:E132)</f>
        <v>-0.05135020910633307</v>
      </c>
      <c r="H132" s="169">
        <f>STDEV(C132:E132)</f>
        <v>0.012054431499757063</v>
      </c>
      <c r="I132" s="169">
        <f>(B132*B4+C132*C4+D132*D4+E132*E4+F132*F4)/SUM(B4:F4)</f>
        <v>-0.027402579927802605</v>
      </c>
    </row>
    <row r="133" spans="1:9" ht="12.75">
      <c r="A133" s="169" t="s">
        <v>185</v>
      </c>
      <c r="B133" s="169">
        <f>B93*10000/B62</f>
        <v>-0.09119363329867589</v>
      </c>
      <c r="C133" s="169">
        <f>C93*10000/C62</f>
        <v>-0.095417216550479</v>
      </c>
      <c r="D133" s="169">
        <f>D93*10000/D62</f>
        <v>-0.08685104340038256</v>
      </c>
      <c r="E133" s="169">
        <f>E93*10000/E62</f>
        <v>-0.08321907183829133</v>
      </c>
      <c r="F133" s="169">
        <f>F93*10000/F62</f>
        <v>-0.0661253285829445</v>
      </c>
      <c r="G133" s="169">
        <f>AVERAGE(C133:E133)</f>
        <v>-0.08849577726305095</v>
      </c>
      <c r="H133" s="169">
        <f>STDEV(C133:E133)</f>
        <v>0.006263189739591916</v>
      </c>
      <c r="I133" s="169">
        <f>(B133*B4+C133*C4+D133*D4+E133*E4+F133*F4)/SUM(B4:F4)</f>
        <v>-0.08589801108045006</v>
      </c>
    </row>
    <row r="134" spans="1:9" ht="12.75">
      <c r="A134" s="169" t="s">
        <v>186</v>
      </c>
      <c r="B134" s="169">
        <f>B94*10000/B62</f>
        <v>-0.008488400000892743</v>
      </c>
      <c r="C134" s="169">
        <f>C94*10000/C62</f>
        <v>0.005887451712875569</v>
      </c>
      <c r="D134" s="169">
        <f>D94*10000/D62</f>
        <v>-0.002689616368272447</v>
      </c>
      <c r="E134" s="169">
        <f>E94*10000/E62</f>
        <v>-0.0009942298278368638</v>
      </c>
      <c r="F134" s="169">
        <f>F94*10000/F62</f>
        <v>-0.015952033087359718</v>
      </c>
      <c r="G134" s="169">
        <f>AVERAGE(C134:E134)</f>
        <v>0.0007345351722554193</v>
      </c>
      <c r="H134" s="169">
        <f>STDEV(C134:E134)</f>
        <v>0.00454235572542707</v>
      </c>
      <c r="I134" s="169">
        <f>(B134*B4+C134*C4+D134*D4+E134*E4+F134*F4)/SUM(B4:F4)</f>
        <v>-0.00282612418408109</v>
      </c>
    </row>
    <row r="135" spans="1:9" ht="12.75">
      <c r="A135" s="169" t="s">
        <v>187</v>
      </c>
      <c r="B135" s="169">
        <f>B95*10000/B62</f>
        <v>0.0007290454757870883</v>
      </c>
      <c r="C135" s="169">
        <f>C95*10000/C62</f>
        <v>-0.00034510669682246407</v>
      </c>
      <c r="D135" s="169">
        <f>D95*10000/D62</f>
        <v>-0.0038815139293756048</v>
      </c>
      <c r="E135" s="169">
        <f>E95*10000/E62</f>
        <v>0.010029305817977265</v>
      </c>
      <c r="F135" s="169">
        <f>F95*10000/F62</f>
        <v>0.0027318906442170515</v>
      </c>
      <c r="G135" s="169">
        <f>AVERAGE(C135:E135)</f>
        <v>0.001934228397259732</v>
      </c>
      <c r="H135" s="169">
        <f>STDEV(C135:E135)</f>
        <v>0.007230093558466008</v>
      </c>
      <c r="I135" s="169">
        <f>(B135*B4+C135*C4+D135*D4+E135*E4+F135*F4)/SUM(B4:F4)</f>
        <v>0.0018675183289422299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2003-08-01T08:26:45Z</cp:lastPrinted>
  <dcterms:created xsi:type="dcterms:W3CDTF">1999-06-17T15:15:05Z</dcterms:created>
  <dcterms:modified xsi:type="dcterms:W3CDTF">2003-09-26T12:54:13Z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-1179018968</vt:i4>
  </property>
  <property fmtid="{D5CDD505-2E9C-101B-9397-08002B2CF9AE}" pid="3" name="_EmailSubject">
    <vt:lpwstr>WFM result of aperture 67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