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073_pos5ap2" sheetId="2" r:id="rId2"/>
    <sheet name="HCMQAP073_pos2ap2" sheetId="3" r:id="rId3"/>
    <sheet name="HCMQAP073_pos3ap2" sheetId="4" r:id="rId4"/>
    <sheet name="HCMQAP073_pos4ap2" sheetId="5" r:id="rId5"/>
    <sheet name="HCMQAP073_pos1ap2" sheetId="6" r:id="rId6"/>
    <sheet name="Lmag_hcmqap" sheetId="7" r:id="rId7"/>
    <sheet name="Result_HCMQAP" sheetId="8" r:id="rId8"/>
  </sheets>
  <definedNames>
    <definedName name="_xlnm.Print_Area" localSheetId="5">'HCMQAP073_pos1ap2'!$A$1:$N$28</definedName>
    <definedName name="_xlnm.Print_Area" localSheetId="2">'HCMQAP073_pos2ap2'!$A$1:$N$28</definedName>
    <definedName name="_xlnm.Print_Area" localSheetId="3">'HCMQAP073_pos3ap2'!$A$1:$N$28</definedName>
    <definedName name="_xlnm.Print_Area" localSheetId="4">'HCMQAP073_pos4ap2'!$A$1:$N$28</definedName>
    <definedName name="_xlnm.Print_Area" localSheetId="1">'HCMQAP073_pos5ap2'!$A$1:$N$28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<sst xmlns="http://schemas.openxmlformats.org/spreadsheetml/2006/main" count="510" uniqueCount="191">
  <si>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</si>
  <si>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</si>
  <si>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</si>
  <si>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</si>
  <si>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</si>
  <si>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</si>
  <si>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</si>
  <si>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</si>
  <si>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</si>
  <si>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</si>
  <si>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</si>
  <si>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</si>
  <si>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</si>
  <si>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</si>
  <si>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</si>
  <si>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hcmqap073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</si>
  <si>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</si>
  <si>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</si>
  <si>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</si>
  <si>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</si>
  <si>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</si>
  <si>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</si>
  <si>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</si>
  <si>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</si>
  <si>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</si>
  <si>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</si>
  <si>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</si>
  <si>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</si>
  <si>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</si>
  <si>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</si>
  <si>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</si>
  <si>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</si>
  <si>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</si>
  <si>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</si>
  <si>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</si>
  <si>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</si>
  <si>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</si>
  <si>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</si>
  <si>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</si>
  <si>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</si>
  <si>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</si>
  <si>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</si>
  <si>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</si>
  <si>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</si>
  <si>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</si>
  <si>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</si>
  <si>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</si>
  <si>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</si>
  <si>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</si>
  <si>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</si>
  <si>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</si>
  <si>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</si>
  <si>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</si>
  <si>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</si>
  <si>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</si>
  <si>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-2.081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</si>
  <si>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</si>
  <si>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</si>
  <si>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</si>
  <si>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</si>
  <si>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</si>
  <si>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</si>
  <si>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</si>
  <si>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</si>
  <si>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</si>
  <si>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</si>
  <si>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</si>
  <si>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</si>
  <si>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HCMQAP073_pos5ap2</t>
  </si>
  <si>
    <t>13/08/2003</t>
  </si>
  <si>
    <t>±12.5</t>
  </si>
  <si>
    <t>THCMQAP073_pos5ap2.xls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</si>
  <si>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</si>
  <si>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HCMQAP073_pos2ap2</t>
  </si>
  <si>
    <t>THCMQAP073_pos2ap2.xls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</si>
  <si>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</si>
  <si>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HCMQAP073_pos3ap2</t>
  </si>
  <si>
    <t>THCMQAP073_pos3ap2.xls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</si>
  <si>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-3.758 mT)</t>
    </r>
  </si>
  <si>
    <t>HCMQAP073_pos4ap2</t>
  </si>
  <si>
    <t>THCMQAP073_pos4ap2.xls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</si>
  <si>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-2.264 mT)</t>
    </r>
  </si>
  <si>
    <t>HCMQAP073_pos1ap2</t>
  </si>
  <si>
    <t>THCMQAP073_pos1ap2.xls</t>
  </si>
  <si>
    <t>Sommaire : Valeurs intégrales calculées avec les fichiers: HCMQAP073_pos5ap2+HCMQAP073_pos2ap2+HCMQAP073_pos3ap2+HCMQAP073_pos4ap2+HCMQAP073_pos1ap2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</si>
  <si>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</si>
  <si>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</si>
  <si>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</si>
  <si>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</si>
  <si>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</si>
  <si>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</si>
  <si>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</si>
  <si>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</si>
  <si>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</si>
  <si>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</si>
  <si>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</si>
  <si>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</si>
  <si>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</si>
  <si>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</si>
  <si>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</si>
  <si>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</si>
  <si>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</si>
  <si>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</si>
  <si>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</si>
  <si>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</si>
  <si>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</si>
  <si>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</si>
  <si>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</si>
  <si>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</si>
  <si>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</si>
  <si>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</si>
  <si>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</si>
  <si>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</si>
  <si>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</si>
  <si>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</si>
  <si>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</si>
  <si>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</si>
  <si>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</si>
  <si>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</si>
  <si>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</si>
  <si>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</si>
  <si>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</si>
  <si>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</si>
  <si>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</si>
  <si>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</si>
  <si>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</si>
  <si>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</si>
  <si>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</si>
  <si>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=-3.759</t>
    </r>
  </si>
  <si>
    <t>Gradient (T/m)</t>
  </si>
  <si>
    <t xml:space="preserve"> Wed 13/08/2003       07:50:13</t>
  </si>
  <si>
    <t>LISSNER</t>
  </si>
  <si>
    <t>HCMQAP073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</si>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</sst>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73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1.8897297000000002</c:v>
                </c:pt>
                <c:pt idx="1">
                  <c:v>2.1429229</c:v>
                </c:pt>
                <c:pt idx="2">
                  <c:v>-0.39625369</c:v>
                </c:pt>
                <c:pt idx="3">
                  <c:v>-0.19495059400000003</c:v>
                </c:pt>
                <c:pt idx="4">
                  <c:v>-2.1774030000000004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-1.2327135999999999</c:v>
                </c:pt>
                <c:pt idx="1">
                  <c:v>0.48086557</c:v>
                </c:pt>
                <c:pt idx="2">
                  <c:v>1.1869021</c:v>
                </c:pt>
                <c:pt idx="3">
                  <c:v>1.4205931</c:v>
                </c:pt>
                <c:pt idx="4">
                  <c:v>6.883599900000002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3.1002774</c:v>
                </c:pt>
                <c:pt idx="1">
                  <c:v>2.8631672999999997</c:v>
                </c:pt>
                <c:pt idx="2">
                  <c:v>3.0840633</c:v>
                </c:pt>
                <c:pt idx="3">
                  <c:v>2.8488064</c:v>
                </c:pt>
                <c:pt idx="4">
                  <c:v>14.177825000000002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0.53754697</c:v>
                </c:pt>
                <c:pt idx="1">
                  <c:v>0.32004924</c:v>
                </c:pt>
                <c:pt idx="2">
                  <c:v>-0.27987534000000003</c:v>
                </c:pt>
                <c:pt idx="3">
                  <c:v>0.60214083</c:v>
                </c:pt>
                <c:pt idx="4">
                  <c:v>1.942785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-0.25585413</c:v>
                </c:pt>
                <c:pt idx="1">
                  <c:v>-0.0344602619</c:v>
                </c:pt>
                <c:pt idx="2">
                  <c:v>-0.0038237409</c:v>
                </c:pt>
                <c:pt idx="3">
                  <c:v>-0.11985081800000001</c:v>
                </c:pt>
                <c:pt idx="4">
                  <c:v>-0.28724929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0.10146180099999999</c:v>
                </c:pt>
                <c:pt idx="1">
                  <c:v>0.07735993900000002</c:v>
                </c:pt>
                <c:pt idx="2">
                  <c:v>0.062195787</c:v>
                </c:pt>
                <c:pt idx="3">
                  <c:v>0.07540761100000001</c:v>
                </c:pt>
                <c:pt idx="4">
                  <c:v>0.28065235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Lmag_hcmqap!$B$6:$F$6</c:f>
              <c:numCache>
                <c:ptCount val="5"/>
                <c:pt idx="0">
                  <c:v>-0.69987752</c:v>
                </c:pt>
                <c:pt idx="1">
                  <c:v>-1.3100652</c:v>
                </c:pt>
                <c:pt idx="2">
                  <c:v>-0.12456075200000001</c:v>
                </c:pt>
                <c:pt idx="3">
                  <c:v>-0.7039228200000001</c:v>
                </c:pt>
                <c:pt idx="4">
                  <c:v>0.06764422000000002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Lmag_hcmqap!$B$19:$F$19</c:f>
              <c:numCache>
                <c:ptCount val="5"/>
                <c:pt idx="0">
                  <c:v>-0.70146121</c:v>
                </c:pt>
                <c:pt idx="1">
                  <c:v>-0.81564811</c:v>
                </c:pt>
                <c:pt idx="2">
                  <c:v>-0.43824518999999995</c:v>
                </c:pt>
                <c:pt idx="3">
                  <c:v>-0.9139111400000001</c:v>
                </c:pt>
                <c:pt idx="4">
                  <c:v>-7.894838200000001</c:v>
                </c:pt>
              </c:numCache>
            </c:numRef>
          </c:val>
          <c:smooth val="0"/>
        </c:ser>
        <c:marker val="1"/>
        <c:axId val="50362186"/>
        <c:axId val="50606491"/>
      </c:lineChart>
      <c:catAx>
        <c:axId val="503621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0606491"/>
        <c:crosses val="autoZero"/>
        <c:auto val="1"/>
        <c:lblOffset val="100"/>
        <c:noMultiLvlLbl val="0"/>
      </c:catAx>
      <c:valAx>
        <c:axId val="50606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036218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57150</xdr:rowOff>
    </xdr:from>
    <xdr:to>
      <xdr:col>7</xdr:col>
      <xdr:colOff>19050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171450" y="5876925"/>
        <a:ext cx="53816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2023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2023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2023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79</v>
      </c>
      <c r="H5" s="25">
        <v>2023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1</v>
      </c>
      <c r="F6" s="26"/>
      <c r="G6" s="26" t="s">
        <v>82</v>
      </c>
      <c r="H6" s="25">
        <v>2023</v>
      </c>
      <c r="I6" s="27" t="s">
        <v>83</v>
      </c>
      <c r="J6" s="30"/>
      <c r="K6" s="28"/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3.212393E-06</v>
      </c>
      <c r="L2" s="54">
        <v>2.0434586163169723E-07</v>
      </c>
      <c r="M2" s="54">
        <v>0.00010040899900000001</v>
      </c>
      <c r="N2" s="55">
        <v>4.395157849192599E-07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-3.0869315E-05</v>
      </c>
      <c r="L3" s="54">
        <v>7.884104064511805E-08</v>
      </c>
      <c r="M3" s="54">
        <v>9.383961E-06</v>
      </c>
      <c r="N3" s="55">
        <v>8.098899600549728E-08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-0.0020807327650877337</v>
      </c>
      <c r="L4" s="54">
        <v>4.3427072767623E-05</v>
      </c>
      <c r="M4" s="54">
        <v>3.585303130166774E-08</v>
      </c>
      <c r="N4" s="55">
        <v>-10.434009</v>
      </c>
    </row>
    <row r="5" spans="1:14" ht="15" customHeight="1" thickBot="1">
      <c r="A5" t="s">
        <v>18</v>
      </c>
      <c r="B5" s="58">
        <v>37846.32300925926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2023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-2.1774030000000004</v>
      </c>
      <c r="E8" s="77">
        <v>0.0420103390071698</v>
      </c>
      <c r="F8" s="78">
        <v>6.883599900000002</v>
      </c>
      <c r="G8" s="77">
        <v>0.03483427308593744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-2.9745157</v>
      </c>
      <c r="E9" s="80">
        <v>0.05083248897763307</v>
      </c>
      <c r="F9" s="80">
        <v>1.3745231199999999</v>
      </c>
      <c r="G9" s="80">
        <v>0.03331337191725782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0.06764422000000002</v>
      </c>
      <c r="E10" s="80">
        <v>0.0072721184737736776</v>
      </c>
      <c r="F10" s="85">
        <v>-7.894838200000001</v>
      </c>
      <c r="G10" s="80">
        <v>0.035365623286517024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6">
        <v>14.177825000000002</v>
      </c>
      <c r="E11" s="77">
        <v>0.014084825875413574</v>
      </c>
      <c r="F11" s="78">
        <v>1.942785</v>
      </c>
      <c r="G11" s="77">
        <v>0.014093075948858239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-0.16838068</v>
      </c>
      <c r="E12" s="80">
        <v>0.004715269011476876</v>
      </c>
      <c r="F12" s="80">
        <v>0.37451724999999997</v>
      </c>
      <c r="G12" s="80">
        <v>0.012102795894461872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31.622315</v>
      </c>
      <c r="D13" s="84">
        <v>-0.053214216</v>
      </c>
      <c r="E13" s="80">
        <v>0.004675400905013831</v>
      </c>
      <c r="F13" s="80">
        <v>0.02402584</v>
      </c>
      <c r="G13" s="80">
        <v>0.006620645552366476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0.29829468</v>
      </c>
      <c r="E14" s="80">
        <v>0.005418240594382988</v>
      </c>
      <c r="F14" s="80">
        <v>0.18366082</v>
      </c>
      <c r="G14" s="80">
        <v>0.005272831428142123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-0.28724929</v>
      </c>
      <c r="E15" s="77">
        <v>0.00416770855271944</v>
      </c>
      <c r="F15" s="77">
        <v>0.28065235</v>
      </c>
      <c r="G15" s="77">
        <v>0.0018455262813099542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12.506499999999999</v>
      </c>
      <c r="D16" s="84">
        <v>-0.00219111758</v>
      </c>
      <c r="E16" s="80">
        <v>0.0024788047206547197</v>
      </c>
      <c r="F16" s="80">
        <v>-0.00835075642</v>
      </c>
      <c r="G16" s="80">
        <v>0.0030645685436316915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-0.15700000524520874</v>
      </c>
      <c r="D17" s="84">
        <v>0.061609175</v>
      </c>
      <c r="E17" s="80">
        <v>0.003126873073637587</v>
      </c>
      <c r="F17" s="80">
        <v>0.049991531000000006</v>
      </c>
      <c r="G17" s="80">
        <v>0.0015199727833858723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96.12999725341797</v>
      </c>
      <c r="D18" s="84">
        <v>-0.031123381</v>
      </c>
      <c r="E18" s="80">
        <v>0.0017514763789226403</v>
      </c>
      <c r="F18" s="80">
        <v>0.094573834</v>
      </c>
      <c r="G18" s="80">
        <v>0.0032689486320856224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-0.29499998688697815</v>
      </c>
      <c r="D19" s="84">
        <v>-0.13533311</v>
      </c>
      <c r="E19" s="80">
        <v>0.0015861923043553811</v>
      </c>
      <c r="F19" s="80">
        <v>-0.019168071</v>
      </c>
      <c r="G19" s="80">
        <v>0.001935715586979161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0.009111799999999998</v>
      </c>
      <c r="D20" s="90">
        <v>-0.0031728842</v>
      </c>
      <c r="E20" s="91">
        <v>0.001792651567629097</v>
      </c>
      <c r="F20" s="91">
        <v>-0.0015180006899999999</v>
      </c>
      <c r="G20" s="91">
        <v>0.0019609713508758546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0.8205389000000001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-0.5978251840628471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-2.0811859</v>
      </c>
      <c r="I25" s="103" t="s">
        <v>65</v>
      </c>
      <c r="J25" s="104"/>
      <c r="K25" s="103"/>
      <c r="L25" s="106">
        <v>14.310315694870258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7.219766714215151</v>
      </c>
      <c r="I26" s="108" t="s">
        <v>67</v>
      </c>
      <c r="J26" s="109"/>
      <c r="K26" s="108"/>
      <c r="L26" s="111">
        <v>0.4015941933918201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HCMQAP073_pos5ap2res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8.6921382E-05</v>
      </c>
      <c r="L2" s="54">
        <v>2.801992753495589E-07</v>
      </c>
      <c r="M2" s="54">
        <v>0.00016482545</v>
      </c>
      <c r="N2" s="55">
        <v>1.3734106815834994E-07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-2.9264098000000004E-05</v>
      </c>
      <c r="L3" s="54">
        <v>8.19089496071368E-08</v>
      </c>
      <c r="M3" s="54">
        <v>1.2723050000000005E-05</v>
      </c>
      <c r="N3" s="55">
        <v>1.280099019606214E-07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-0.003760355753578739</v>
      </c>
      <c r="L4" s="54">
        <v>6.264925146429436E-05</v>
      </c>
      <c r="M4" s="54">
        <v>7.867107310805334E-08</v>
      </c>
      <c r="N4" s="55">
        <v>-8.3294587</v>
      </c>
    </row>
    <row r="5" spans="1:14" ht="15" customHeight="1" thickBot="1">
      <c r="A5" t="s">
        <v>18</v>
      </c>
      <c r="B5" s="58">
        <v>37846.30950231481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2023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2.1429229</v>
      </c>
      <c r="E8" s="77">
        <v>0.011220240765712246</v>
      </c>
      <c r="F8" s="77">
        <v>0.48086557</v>
      </c>
      <c r="G8" s="77">
        <v>0.013331427907152629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-0.09196991000000002</v>
      </c>
      <c r="E9" s="80">
        <v>0.03449848096186842</v>
      </c>
      <c r="F9" s="80">
        <v>-0.64434361</v>
      </c>
      <c r="G9" s="80">
        <v>0.02230180126190235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-1.3100652</v>
      </c>
      <c r="E10" s="80">
        <v>0.004354804594908196</v>
      </c>
      <c r="F10" s="80">
        <v>-0.81564811</v>
      </c>
      <c r="G10" s="80">
        <v>0.011723554035498848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2.8631672999999997</v>
      </c>
      <c r="E11" s="77">
        <v>0.0038312787110222064</v>
      </c>
      <c r="F11" s="77">
        <v>0.32004924</v>
      </c>
      <c r="G11" s="77">
        <v>0.0038902959457341913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0.053735849999999995</v>
      </c>
      <c r="E12" s="80">
        <v>0.00296784573804484</v>
      </c>
      <c r="F12" s="80">
        <v>-0.037529517</v>
      </c>
      <c r="G12" s="80">
        <v>0.006924978408554521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30.981446</v>
      </c>
      <c r="D13" s="84">
        <v>0.031055781999999997</v>
      </c>
      <c r="E13" s="80">
        <v>0.004923221020304327</v>
      </c>
      <c r="F13" s="80">
        <v>-0.09791148000000001</v>
      </c>
      <c r="G13" s="80">
        <v>0.0043065073627198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0.06806697856</v>
      </c>
      <c r="E14" s="80">
        <v>0.0035940981685385525</v>
      </c>
      <c r="F14" s="80">
        <v>0.047359894</v>
      </c>
      <c r="G14" s="80">
        <v>0.004621748879856381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-0.0344602619</v>
      </c>
      <c r="E15" s="77">
        <v>0.0017531239018369151</v>
      </c>
      <c r="F15" s="77">
        <v>0.07735993900000002</v>
      </c>
      <c r="G15" s="77">
        <v>0.002410472320447238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12.506499999999999</v>
      </c>
      <c r="D16" s="84">
        <v>-0.0382339899</v>
      </c>
      <c r="E16" s="80">
        <v>0.00134428213465358</v>
      </c>
      <c r="F16" s="80">
        <v>-0.0177714896</v>
      </c>
      <c r="G16" s="80">
        <v>0.002611671494833285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0.3720000088214874</v>
      </c>
      <c r="D17" s="84">
        <v>0.061431221999999994</v>
      </c>
      <c r="E17" s="80">
        <v>0.0014535727748365278</v>
      </c>
      <c r="F17" s="80">
        <v>-0.091390196</v>
      </c>
      <c r="G17" s="80">
        <v>0.0014009698829501064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32.551998138427734</v>
      </c>
      <c r="D18" s="84">
        <v>0.07079721400000001</v>
      </c>
      <c r="E18" s="80">
        <v>0.001174064571534625</v>
      </c>
      <c r="F18" s="80">
        <v>0.12832439</v>
      </c>
      <c r="G18" s="80">
        <v>0.0006348804622905066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0.2540000081062317</v>
      </c>
      <c r="D19" s="83">
        <v>-0.17674765</v>
      </c>
      <c r="E19" s="80">
        <v>0.00040319308773252875</v>
      </c>
      <c r="F19" s="80">
        <v>0.0104567331</v>
      </c>
      <c r="G19" s="80">
        <v>0.0016827780130770184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0.3804529</v>
      </c>
      <c r="D20" s="90">
        <v>0.0012692325</v>
      </c>
      <c r="E20" s="91">
        <v>0.0011776710348526025</v>
      </c>
      <c r="F20" s="91">
        <v>0.0037365906399999997</v>
      </c>
      <c r="G20" s="91">
        <v>0.001398450664657535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0.7514769000000001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-0.4772432322486384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-3.7608776</v>
      </c>
      <c r="I25" s="103" t="s">
        <v>65</v>
      </c>
      <c r="J25" s="104"/>
      <c r="K25" s="103"/>
      <c r="L25" s="106">
        <v>2.880999566784741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2.1962127064006878</v>
      </c>
      <c r="I26" s="108" t="s">
        <v>67</v>
      </c>
      <c r="J26" s="109"/>
      <c r="K26" s="108"/>
      <c r="L26" s="111">
        <v>0.08468807361311459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HCMQAP073_pos2ap2res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-6.6412476E-05</v>
      </c>
      <c r="L2" s="54">
        <v>5.460510875313135E-07</v>
      </c>
      <c r="M2" s="54">
        <v>0.00017101438</v>
      </c>
      <c r="N2" s="55">
        <v>6.37071135425256E-07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-2.8218164E-05</v>
      </c>
      <c r="L3" s="54">
        <v>1.0193980250142451E-07</v>
      </c>
      <c r="M3" s="54">
        <v>1.0617419999999996E-05</v>
      </c>
      <c r="N3" s="55">
        <v>6.96000977011073E-08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-0.003759000332866829</v>
      </c>
      <c r="L4" s="54">
        <v>7.084642402745927E-05</v>
      </c>
      <c r="M4" s="54">
        <v>4.452795818069313E-08</v>
      </c>
      <c r="N4" s="55">
        <v>-9.4224569</v>
      </c>
    </row>
    <row r="5" spans="1:14" ht="15" customHeight="1" thickBot="1">
      <c r="A5" t="s">
        <v>18</v>
      </c>
      <c r="B5" s="58">
        <v>37846.31408564815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2023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-0.39625369</v>
      </c>
      <c r="E8" s="77">
        <v>0.009326000424585434</v>
      </c>
      <c r="F8" s="77">
        <v>1.1869021</v>
      </c>
      <c r="G8" s="77">
        <v>0.005664861802359113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0.99269816</v>
      </c>
      <c r="E9" s="80">
        <v>0.021957014409349156</v>
      </c>
      <c r="F9" s="80">
        <v>-1.7507736</v>
      </c>
      <c r="G9" s="80">
        <v>0.021066050644096935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-0.12456075200000001</v>
      </c>
      <c r="E10" s="80">
        <v>0.006391502982192957</v>
      </c>
      <c r="F10" s="80">
        <v>-0.43824518999999995</v>
      </c>
      <c r="G10" s="80">
        <v>0.006667929551099419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3.0840633</v>
      </c>
      <c r="E11" s="77">
        <v>0.004471317653729405</v>
      </c>
      <c r="F11" s="77">
        <v>-0.27987534000000003</v>
      </c>
      <c r="G11" s="77">
        <v>0.006698234041028949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-0.10856231400000001</v>
      </c>
      <c r="E12" s="80">
        <v>0.0035854718140243534</v>
      </c>
      <c r="F12" s="80">
        <v>-0.44829817</v>
      </c>
      <c r="G12" s="80">
        <v>0.0049529310313820895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31.234742</v>
      </c>
      <c r="D13" s="84">
        <v>0.20907090999999997</v>
      </c>
      <c r="E13" s="80">
        <v>0.002122045984281642</v>
      </c>
      <c r="F13" s="80">
        <v>-0.28114464899999997</v>
      </c>
      <c r="G13" s="80">
        <v>0.004281122735688154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0.14982926700000002</v>
      </c>
      <c r="E14" s="80">
        <v>0.0015801749637008246</v>
      </c>
      <c r="F14" s="80">
        <v>0.0422090023</v>
      </c>
      <c r="G14" s="80">
        <v>0.0026575633628061136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-0.0038237409</v>
      </c>
      <c r="E15" s="77">
        <v>0.0010810836820174658</v>
      </c>
      <c r="F15" s="77">
        <v>0.062195787</v>
      </c>
      <c r="G15" s="77">
        <v>0.0021788684436434276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12.506499999999999</v>
      </c>
      <c r="D16" s="84">
        <v>0.019436623</v>
      </c>
      <c r="E16" s="80">
        <v>0.001357642363542763</v>
      </c>
      <c r="F16" s="80">
        <v>-0.04720219</v>
      </c>
      <c r="G16" s="80">
        <v>0.0017607584977618448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-0.1469999998807907</v>
      </c>
      <c r="D17" s="84">
        <v>0.071953025</v>
      </c>
      <c r="E17" s="80">
        <v>0.002013635802703456</v>
      </c>
      <c r="F17" s="80">
        <v>0.050803761</v>
      </c>
      <c r="G17" s="80">
        <v>0.0016218945591817459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97.65599822998047</v>
      </c>
      <c r="D18" s="84">
        <v>-0.045918287</v>
      </c>
      <c r="E18" s="80">
        <v>0.001288454117935798</v>
      </c>
      <c r="F18" s="80">
        <v>0.12362137</v>
      </c>
      <c r="G18" s="80">
        <v>0.0015855902902711441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-0.41200000047683716</v>
      </c>
      <c r="D19" s="83">
        <v>-0.17758377</v>
      </c>
      <c r="E19" s="80">
        <v>0.0015341353921972114</v>
      </c>
      <c r="F19" s="80">
        <v>0.013091608100000002</v>
      </c>
      <c r="G19" s="80">
        <v>0.0014069834674920031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-0.3147928</v>
      </c>
      <c r="D20" s="90">
        <v>-0.004601901899999999</v>
      </c>
      <c r="E20" s="91">
        <v>0.0008419937851972829</v>
      </c>
      <c r="F20" s="91">
        <v>0.0058007495</v>
      </c>
      <c r="G20" s="91">
        <v>0.000757109315340792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0.7674861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-0.5398674690204641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-3.7596679</v>
      </c>
      <c r="I25" s="103" t="s">
        <v>65</v>
      </c>
      <c r="J25" s="104"/>
      <c r="K25" s="103"/>
      <c r="L25" s="106">
        <v>3.0967364505793844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1.2513007559428013</v>
      </c>
      <c r="I26" s="108" t="s">
        <v>67</v>
      </c>
      <c r="J26" s="109"/>
      <c r="K26" s="108"/>
      <c r="L26" s="111">
        <v>0.062313216214698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HCMQAP073_pos3ap2res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4.7374045E-05</v>
      </c>
      <c r="L2" s="54">
        <v>6.393200660702791E-07</v>
      </c>
      <c r="M2" s="54">
        <v>0.00018347266000000003</v>
      </c>
      <c r="N2" s="55">
        <v>2.7168416661938636E-07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-2.8691409E-05</v>
      </c>
      <c r="L3" s="54">
        <v>1.4179429630279696E-07</v>
      </c>
      <c r="M3" s="54">
        <v>9.747179999999996E-06</v>
      </c>
      <c r="N3" s="55">
        <v>1.3571110345139616E-07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-0.0037569977015081773</v>
      </c>
      <c r="L4" s="54">
        <v>7.11573803236104E-05</v>
      </c>
      <c r="M4" s="54">
        <v>1.005012603554156E-07</v>
      </c>
      <c r="N4" s="55">
        <v>-9.468847100000001</v>
      </c>
    </row>
    <row r="5" spans="1:14" ht="15" customHeight="1" thickBot="1">
      <c r="A5" t="s">
        <v>18</v>
      </c>
      <c r="B5" s="58">
        <v>37846.31854166667</v>
      </c>
      <c r="D5" s="59"/>
      <c r="E5" s="60" t="s">
        <v>78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2023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-0.19495059400000003</v>
      </c>
      <c r="E8" s="77">
        <v>0.010687246165831676</v>
      </c>
      <c r="F8" s="77">
        <v>1.4205931</v>
      </c>
      <c r="G8" s="77">
        <v>0.011084000516062367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0.549665313</v>
      </c>
      <c r="E9" s="80">
        <v>0.012820431926829528</v>
      </c>
      <c r="F9" s="80">
        <v>-2.1593442</v>
      </c>
      <c r="G9" s="80">
        <v>0.03671100289096082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-0.7039228200000001</v>
      </c>
      <c r="E10" s="80">
        <v>0.007046035220854221</v>
      </c>
      <c r="F10" s="80">
        <v>-0.9139111400000001</v>
      </c>
      <c r="G10" s="80">
        <v>0.002599164772617138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2.8488064</v>
      </c>
      <c r="E11" s="77">
        <v>0.002254390502733448</v>
      </c>
      <c r="F11" s="77">
        <v>0.60214083</v>
      </c>
      <c r="G11" s="77">
        <v>0.0028464977914285116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0.006394719999999997</v>
      </c>
      <c r="E12" s="80">
        <v>0.003140324122379728</v>
      </c>
      <c r="F12" s="80">
        <v>-0.43610512</v>
      </c>
      <c r="G12" s="80">
        <v>0.006582279946458971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31.45752</v>
      </c>
      <c r="D13" s="84">
        <v>0.25588003000000004</v>
      </c>
      <c r="E13" s="80">
        <v>0.0025791608527952255</v>
      </c>
      <c r="F13" s="80">
        <v>-0.01524741</v>
      </c>
      <c r="G13" s="80">
        <v>0.002297734904509216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0.099225241</v>
      </c>
      <c r="E14" s="80">
        <v>0.002870853184026072</v>
      </c>
      <c r="F14" s="80">
        <v>0.113260027</v>
      </c>
      <c r="G14" s="80">
        <v>0.0012170499467264262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-0.11985081800000001</v>
      </c>
      <c r="E15" s="77">
        <v>0.0019023438926950454</v>
      </c>
      <c r="F15" s="77">
        <v>0.07540761100000001</v>
      </c>
      <c r="G15" s="77">
        <v>0.00386326817304251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12.506499999999999</v>
      </c>
      <c r="D16" s="84">
        <v>0.0306129622</v>
      </c>
      <c r="E16" s="80">
        <v>0.0031672063634369907</v>
      </c>
      <c r="F16" s="80">
        <v>-0.074582115</v>
      </c>
      <c r="G16" s="80">
        <v>0.001909176718828806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0.44200000166893005</v>
      </c>
      <c r="D17" s="84">
        <v>0.08095192899999999</v>
      </c>
      <c r="E17" s="80">
        <v>0.0017563363063479022</v>
      </c>
      <c r="F17" s="80">
        <v>-0.006951195999999998</v>
      </c>
      <c r="G17" s="80">
        <v>0.002244908061485815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17.292999267578125</v>
      </c>
      <c r="D18" s="84">
        <v>0.038793392</v>
      </c>
      <c r="E18" s="80">
        <v>0.000444891011221313</v>
      </c>
      <c r="F18" s="80">
        <v>0.1262397</v>
      </c>
      <c r="G18" s="80">
        <v>0.0012007483574829644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0.25099998712539673</v>
      </c>
      <c r="D19" s="83">
        <v>-0.16930834</v>
      </c>
      <c r="E19" s="80">
        <v>0.0006786647142748619</v>
      </c>
      <c r="F19" s="80">
        <v>0.014086924</v>
      </c>
      <c r="G19" s="80">
        <v>0.0011162577758089647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0.19857700000000003</v>
      </c>
      <c r="D20" s="90">
        <v>-0.00542636284</v>
      </c>
      <c r="E20" s="91">
        <v>0.0004177315005451706</v>
      </c>
      <c r="F20" s="91">
        <v>0.0059336178</v>
      </c>
      <c r="G20" s="91">
        <v>0.0007115657323609942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0.833947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-0.5425254339363189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-3.7576714999999994</v>
      </c>
      <c r="I25" s="103" t="s">
        <v>65</v>
      </c>
      <c r="J25" s="104"/>
      <c r="K25" s="103"/>
      <c r="L25" s="106">
        <v>2.9117471531426022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1.4339074202571669</v>
      </c>
      <c r="I26" s="108" t="s">
        <v>67</v>
      </c>
      <c r="J26" s="109"/>
      <c r="K26" s="108"/>
      <c r="L26" s="111">
        <v>0.14159988125699982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HCMQAP073_pos4ap2res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2.7633274700000002E-05</v>
      </c>
      <c r="L2" s="54">
        <v>1.1845703041428392E-07</v>
      </c>
      <c r="M2" s="54">
        <v>0.00011667870999999999</v>
      </c>
      <c r="N2" s="55">
        <v>7.99816003941667E-08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-3.16034133E-05</v>
      </c>
      <c r="L3" s="54">
        <v>6.870163115878766E-08</v>
      </c>
      <c r="M3" s="54">
        <v>1.380533E-05</v>
      </c>
      <c r="N3" s="55">
        <v>1.0714488135216472E-07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-0.002263419085404944</v>
      </c>
      <c r="L4" s="54">
        <v>2.6939634908598604E-05</v>
      </c>
      <c r="M4" s="54">
        <v>7.619671578574591E-08</v>
      </c>
      <c r="N4" s="55">
        <v>-5.950812</v>
      </c>
    </row>
    <row r="5" spans="1:14" ht="15" customHeight="1" thickBot="1">
      <c r="A5" t="s">
        <v>18</v>
      </c>
      <c r="B5" s="58">
        <v>37846.305</v>
      </c>
      <c r="D5" s="59"/>
      <c r="E5" s="60" t="s">
        <v>81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2023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1.8897297000000002</v>
      </c>
      <c r="E8" s="77">
        <v>0.024208102818252912</v>
      </c>
      <c r="F8" s="77">
        <v>-1.2327135999999999</v>
      </c>
      <c r="G8" s="77">
        <v>0.019339095088452607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-0.7516309400000001</v>
      </c>
      <c r="E9" s="80">
        <v>0.03569282709169102</v>
      </c>
      <c r="F9" s="80">
        <v>2.230251</v>
      </c>
      <c r="G9" s="80">
        <v>0.030703469491251835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-0.69987752</v>
      </c>
      <c r="E10" s="80">
        <v>0.014238333738412162</v>
      </c>
      <c r="F10" s="80">
        <v>-0.70146121</v>
      </c>
      <c r="G10" s="80">
        <v>0.004891158942969075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3.1002774</v>
      </c>
      <c r="E11" s="77">
        <v>0.010992456101389615</v>
      </c>
      <c r="F11" s="77">
        <v>0.53754697</v>
      </c>
      <c r="G11" s="77">
        <v>0.015878189241239925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0.07411120099999999</v>
      </c>
      <c r="E12" s="80">
        <v>0.0065963691306760676</v>
      </c>
      <c r="F12" s="80">
        <v>-0.10810919999999999</v>
      </c>
      <c r="G12" s="80">
        <v>0.005375290993284198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30.804444</v>
      </c>
      <c r="D13" s="84">
        <v>0.06986417</v>
      </c>
      <c r="E13" s="80">
        <v>0.004374317883770983</v>
      </c>
      <c r="F13" s="80">
        <v>0.32775737</v>
      </c>
      <c r="G13" s="80">
        <v>0.00476218880659047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0.08841507899999998</v>
      </c>
      <c r="E14" s="80">
        <v>0.0037907635149525567</v>
      </c>
      <c r="F14" s="80">
        <v>0.21263496</v>
      </c>
      <c r="G14" s="80">
        <v>0.005224243764067054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-0.25585413</v>
      </c>
      <c r="E15" s="77">
        <v>0.004965075340979737</v>
      </c>
      <c r="F15" s="77">
        <v>0.10146180099999999</v>
      </c>
      <c r="G15" s="77">
        <v>0.0026608004138142147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12.506499999999999</v>
      </c>
      <c r="D16" s="84">
        <v>-0.018422054284</v>
      </c>
      <c r="E16" s="80">
        <v>0.005698421007358931</v>
      </c>
      <c r="F16" s="80">
        <v>-0.057821279999999996</v>
      </c>
      <c r="G16" s="80">
        <v>0.00243081908468525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-0.23899999260902405</v>
      </c>
      <c r="D17" s="84">
        <v>0.140138804</v>
      </c>
      <c r="E17" s="80">
        <v>0.0030792961811027075</v>
      </c>
      <c r="F17" s="80">
        <v>-0.044421633</v>
      </c>
      <c r="G17" s="80">
        <v>0.003740755479867056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138.3459930419922</v>
      </c>
      <c r="D18" s="84">
        <v>0.047384922999999995</v>
      </c>
      <c r="E18" s="80">
        <v>0.0012933733576760205</v>
      </c>
      <c r="F18" s="85">
        <v>0.17938369999999998</v>
      </c>
      <c r="G18" s="80">
        <v>0.002913022745191452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-0.382999986410141</v>
      </c>
      <c r="D19" s="83">
        <v>-0.19753720000000002</v>
      </c>
      <c r="E19" s="80">
        <v>0.0007369037298020437</v>
      </c>
      <c r="F19" s="80">
        <v>0.006436405791000001</v>
      </c>
      <c r="G19" s="80">
        <v>0.0014025733180707278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0.1971073</v>
      </c>
      <c r="D20" s="90">
        <v>0.0045335633399999995</v>
      </c>
      <c r="E20" s="91">
        <v>0.0018502794477010874</v>
      </c>
      <c r="F20" s="91">
        <v>-0.0026780425</v>
      </c>
      <c r="G20" s="91">
        <v>0.0009903486566947527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0.8786740999999999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-0.3409567002696087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-2.2635794000000002</v>
      </c>
      <c r="I25" s="103" t="s">
        <v>65</v>
      </c>
      <c r="J25" s="104"/>
      <c r="K25" s="103"/>
      <c r="L25" s="106">
        <v>3.1465340776649695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2.2562493564956534</v>
      </c>
      <c r="I26" s="108" t="s">
        <v>67</v>
      </c>
      <c r="J26" s="109"/>
      <c r="K26" s="108"/>
      <c r="L26" s="111">
        <v>0.2752377752057673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HCMQAP073_pos1ap2res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121</v>
      </c>
      <c r="B1" s="131" t="s">
        <v>82</v>
      </c>
      <c r="C1" s="121" t="s">
        <v>73</v>
      </c>
      <c r="D1" s="121" t="s">
        <v>76</v>
      </c>
      <c r="E1" s="121" t="s">
        <v>79</v>
      </c>
      <c r="F1" s="128" t="s">
        <v>68</v>
      </c>
      <c r="G1" s="163" t="s">
        <v>122</v>
      </c>
    </row>
    <row r="2" spans="1:7" ht="13.5" thickBot="1">
      <c r="A2" s="140" t="s">
        <v>91</v>
      </c>
      <c r="B2" s="132">
        <v>-2.2635794000000002</v>
      </c>
      <c r="C2" s="123">
        <v>-3.7608776</v>
      </c>
      <c r="D2" s="123">
        <v>-3.7596679</v>
      </c>
      <c r="E2" s="123">
        <v>-3.7576714999999994</v>
      </c>
      <c r="F2" s="129">
        <v>-2.0811859</v>
      </c>
      <c r="G2" s="164">
        <v>3.1163634535769265</v>
      </c>
    </row>
    <row r="3" spans="1:7" ht="14.25" thickBot="1" thickTop="1">
      <c r="A3" s="148" t="s">
        <v>90</v>
      </c>
      <c r="B3" s="149" t="s">
        <v>85</v>
      </c>
      <c r="C3" s="150" t="s">
        <v>86</v>
      </c>
      <c r="D3" s="150" t="s">
        <v>87</v>
      </c>
      <c r="E3" s="150" t="s">
        <v>88</v>
      </c>
      <c r="F3" s="151" t="s">
        <v>89</v>
      </c>
      <c r="G3" s="158" t="s">
        <v>123</v>
      </c>
    </row>
    <row r="4" spans="1:7" ht="12.75">
      <c r="A4" s="145" t="s">
        <v>92</v>
      </c>
      <c r="B4" s="146">
        <v>1.8897297000000002</v>
      </c>
      <c r="C4" s="147">
        <v>2.1429229</v>
      </c>
      <c r="D4" s="147">
        <v>-0.39625369</v>
      </c>
      <c r="E4" s="147">
        <v>-0.19495059400000003</v>
      </c>
      <c r="F4" s="152">
        <v>-2.1774030000000004</v>
      </c>
      <c r="G4" s="159">
        <v>0.3573518073995448</v>
      </c>
    </row>
    <row r="5" spans="1:7" ht="12.75">
      <c r="A5" s="140" t="s">
        <v>94</v>
      </c>
      <c r="B5" s="134">
        <v>-0.7516309400000001</v>
      </c>
      <c r="C5" s="118">
        <v>-0.09196991000000002</v>
      </c>
      <c r="D5" s="118">
        <v>0.99269816</v>
      </c>
      <c r="E5" s="118">
        <v>0.549665313</v>
      </c>
      <c r="F5" s="153">
        <v>-2.9745157</v>
      </c>
      <c r="G5" s="160">
        <v>-0.1561870125788044</v>
      </c>
    </row>
    <row r="6" spans="1:7" ht="12.75">
      <c r="A6" s="140" t="s">
        <v>96</v>
      </c>
      <c r="B6" s="134">
        <v>-0.69987752</v>
      </c>
      <c r="C6" s="118">
        <v>-1.3100652</v>
      </c>
      <c r="D6" s="118">
        <v>-0.12456075200000001</v>
      </c>
      <c r="E6" s="118">
        <v>-0.7039228200000001</v>
      </c>
      <c r="F6" s="154">
        <v>0.06764422000000002</v>
      </c>
      <c r="G6" s="160">
        <v>-0.6070454797188114</v>
      </c>
    </row>
    <row r="7" spans="1:7" ht="12.75">
      <c r="A7" s="140" t="s">
        <v>98</v>
      </c>
      <c r="B7" s="133">
        <v>3.1002774</v>
      </c>
      <c r="C7" s="117">
        <v>2.8631672999999997</v>
      </c>
      <c r="D7" s="117">
        <v>3.0840633</v>
      </c>
      <c r="E7" s="117">
        <v>2.8488064</v>
      </c>
      <c r="F7" s="155">
        <v>14.177825000000002</v>
      </c>
      <c r="G7" s="160">
        <v>4.454486753920934</v>
      </c>
    </row>
    <row r="8" spans="1:7" ht="12.75">
      <c r="A8" s="140" t="s">
        <v>100</v>
      </c>
      <c r="B8" s="134">
        <v>0.07411120099999999</v>
      </c>
      <c r="C8" s="118">
        <v>0.053735849999999995</v>
      </c>
      <c r="D8" s="118">
        <v>-0.10856231400000001</v>
      </c>
      <c r="E8" s="118">
        <v>0.006394719999999997</v>
      </c>
      <c r="F8" s="154">
        <v>-0.16838068</v>
      </c>
      <c r="G8" s="160">
        <v>-0.02334445098709695</v>
      </c>
    </row>
    <row r="9" spans="1:7" ht="12.75">
      <c r="A9" s="140" t="s">
        <v>102</v>
      </c>
      <c r="B9" s="134">
        <v>0.06986417</v>
      </c>
      <c r="C9" s="118">
        <v>0.031055781999999997</v>
      </c>
      <c r="D9" s="118">
        <v>0.20907090999999997</v>
      </c>
      <c r="E9" s="118">
        <v>0.25588003000000004</v>
      </c>
      <c r="F9" s="154">
        <v>-0.053214216</v>
      </c>
      <c r="G9" s="160">
        <v>0.12236727043892003</v>
      </c>
    </row>
    <row r="10" spans="1:7" ht="12.75">
      <c r="A10" s="140" t="s">
        <v>104</v>
      </c>
      <c r="B10" s="134">
        <v>0.08841507899999998</v>
      </c>
      <c r="C10" s="118">
        <v>0.06806697856</v>
      </c>
      <c r="D10" s="118">
        <v>0.14982926700000002</v>
      </c>
      <c r="E10" s="118">
        <v>0.099225241</v>
      </c>
      <c r="F10" s="154">
        <v>0.29829468</v>
      </c>
      <c r="G10" s="160">
        <v>0.1288548444625409</v>
      </c>
    </row>
    <row r="11" spans="1:7" ht="12.75">
      <c r="A11" s="140" t="s">
        <v>106</v>
      </c>
      <c r="B11" s="133">
        <v>-0.25585413</v>
      </c>
      <c r="C11" s="117">
        <v>-0.0344602619</v>
      </c>
      <c r="D11" s="117">
        <v>-0.0038237409</v>
      </c>
      <c r="E11" s="117">
        <v>-0.11985081800000001</v>
      </c>
      <c r="F11" s="156">
        <v>-0.28724929</v>
      </c>
      <c r="G11" s="160">
        <v>-0.11337797753542296</v>
      </c>
    </row>
    <row r="12" spans="1:7" ht="12.75">
      <c r="A12" s="140" t="s">
        <v>108</v>
      </c>
      <c r="B12" s="134">
        <v>-0.018422054284</v>
      </c>
      <c r="C12" s="118">
        <v>-0.0382339899</v>
      </c>
      <c r="D12" s="118">
        <v>0.019436623</v>
      </c>
      <c r="E12" s="118">
        <v>0.0306129622</v>
      </c>
      <c r="F12" s="154">
        <v>-0.00219111758</v>
      </c>
      <c r="G12" s="160">
        <v>-0.000124467823419319</v>
      </c>
    </row>
    <row r="13" spans="1:7" ht="12.75">
      <c r="A13" s="140" t="s">
        <v>110</v>
      </c>
      <c r="B13" s="134">
        <v>0.140138804</v>
      </c>
      <c r="C13" s="118">
        <v>0.061431221999999994</v>
      </c>
      <c r="D13" s="118">
        <v>0.071953025</v>
      </c>
      <c r="E13" s="118">
        <v>0.08095192899999999</v>
      </c>
      <c r="F13" s="154">
        <v>0.061609175</v>
      </c>
      <c r="G13" s="160">
        <v>0.08008592558091922</v>
      </c>
    </row>
    <row r="14" spans="1:7" ht="12.75">
      <c r="A14" s="140" t="s">
        <v>112</v>
      </c>
      <c r="B14" s="134">
        <v>0.047384922999999995</v>
      </c>
      <c r="C14" s="118">
        <v>0.07079721400000001</v>
      </c>
      <c r="D14" s="118">
        <v>-0.045918287</v>
      </c>
      <c r="E14" s="118">
        <v>0.038793392</v>
      </c>
      <c r="F14" s="154">
        <v>-0.031123381</v>
      </c>
      <c r="G14" s="160">
        <v>0.018042711601913893</v>
      </c>
    </row>
    <row r="15" spans="1:7" ht="12.75">
      <c r="A15" s="140" t="s">
        <v>114</v>
      </c>
      <c r="B15" s="135">
        <v>-0.19753720000000002</v>
      </c>
      <c r="C15" s="119">
        <v>-0.17674765</v>
      </c>
      <c r="D15" s="119">
        <v>-0.17758377</v>
      </c>
      <c r="E15" s="119">
        <v>-0.16930834</v>
      </c>
      <c r="F15" s="154">
        <v>-0.13533311</v>
      </c>
      <c r="G15" s="160">
        <v>-0.17265473687995936</v>
      </c>
    </row>
    <row r="16" spans="1:7" ht="12.75">
      <c r="A16" s="140" t="s">
        <v>116</v>
      </c>
      <c r="B16" s="134">
        <v>0.0045335633399999995</v>
      </c>
      <c r="C16" s="118">
        <v>0.0012692325</v>
      </c>
      <c r="D16" s="118">
        <v>-0.004601901899999999</v>
      </c>
      <c r="E16" s="118">
        <v>-0.00542636284</v>
      </c>
      <c r="F16" s="154">
        <v>-0.0031728842</v>
      </c>
      <c r="G16" s="160">
        <v>-0.001872879612800793</v>
      </c>
    </row>
    <row r="17" spans="1:7" ht="12.75">
      <c r="A17" s="140" t="s">
        <v>93</v>
      </c>
      <c r="B17" s="133">
        <v>-1.2327135999999999</v>
      </c>
      <c r="C17" s="117">
        <v>0.48086557</v>
      </c>
      <c r="D17" s="117">
        <v>1.1869021</v>
      </c>
      <c r="E17" s="117">
        <v>1.4205931</v>
      </c>
      <c r="F17" s="155">
        <v>6.883599900000002</v>
      </c>
      <c r="G17" s="160">
        <v>1.481449698862236</v>
      </c>
    </row>
    <row r="18" spans="1:7" ht="12.75">
      <c r="A18" s="140" t="s">
        <v>95</v>
      </c>
      <c r="B18" s="134">
        <v>2.230251</v>
      </c>
      <c r="C18" s="118">
        <v>-0.64434361</v>
      </c>
      <c r="D18" s="118">
        <v>-1.7507736</v>
      </c>
      <c r="E18" s="118">
        <v>-2.1593442</v>
      </c>
      <c r="F18" s="154">
        <v>1.3745231199999999</v>
      </c>
      <c r="G18" s="160">
        <v>-0.5895636555686598</v>
      </c>
    </row>
    <row r="19" spans="1:7" ht="12.75">
      <c r="A19" s="140" t="s">
        <v>97</v>
      </c>
      <c r="B19" s="134">
        <v>-0.70146121</v>
      </c>
      <c r="C19" s="118">
        <v>-0.81564811</v>
      </c>
      <c r="D19" s="118">
        <v>-0.43824518999999995</v>
      </c>
      <c r="E19" s="118">
        <v>-0.9139111400000001</v>
      </c>
      <c r="F19" s="153">
        <v>-7.894838200000001</v>
      </c>
      <c r="G19" s="160">
        <v>-1.6749571567613375</v>
      </c>
    </row>
    <row r="20" spans="1:7" ht="12.75">
      <c r="A20" s="140" t="s">
        <v>99</v>
      </c>
      <c r="B20" s="133">
        <v>0.53754697</v>
      </c>
      <c r="C20" s="117">
        <v>0.32004924</v>
      </c>
      <c r="D20" s="117">
        <v>-0.27987534000000003</v>
      </c>
      <c r="E20" s="117">
        <v>0.60214083</v>
      </c>
      <c r="F20" s="155">
        <v>1.942785</v>
      </c>
      <c r="G20" s="160">
        <v>0.4912091667828811</v>
      </c>
    </row>
    <row r="21" spans="1:7" ht="12.75">
      <c r="A21" s="140" t="s">
        <v>101</v>
      </c>
      <c r="B21" s="134">
        <v>-0.10810919999999999</v>
      </c>
      <c r="C21" s="118">
        <v>-0.037529517</v>
      </c>
      <c r="D21" s="118">
        <v>-0.44829817</v>
      </c>
      <c r="E21" s="118">
        <v>-0.43610512</v>
      </c>
      <c r="F21" s="154">
        <v>0.37451724999999997</v>
      </c>
      <c r="G21" s="160">
        <v>-0.18758324252173333</v>
      </c>
    </row>
    <row r="22" spans="1:7" ht="12.75">
      <c r="A22" s="140" t="s">
        <v>103</v>
      </c>
      <c r="B22" s="134">
        <v>0.32775737</v>
      </c>
      <c r="C22" s="118">
        <v>-0.09791148000000001</v>
      </c>
      <c r="D22" s="118">
        <v>-0.28114464899999997</v>
      </c>
      <c r="E22" s="118">
        <v>-0.01524741</v>
      </c>
      <c r="F22" s="154">
        <v>0.02402584</v>
      </c>
      <c r="G22" s="160">
        <v>-0.04420611112443594</v>
      </c>
    </row>
    <row r="23" spans="1:7" ht="12.75">
      <c r="A23" s="140" t="s">
        <v>105</v>
      </c>
      <c r="B23" s="134">
        <v>0.21263496</v>
      </c>
      <c r="C23" s="118">
        <v>0.047359894</v>
      </c>
      <c r="D23" s="118">
        <v>0.0422090023</v>
      </c>
      <c r="E23" s="118">
        <v>0.113260027</v>
      </c>
      <c r="F23" s="154">
        <v>0.18366082</v>
      </c>
      <c r="G23" s="160">
        <v>0.10407417508312115</v>
      </c>
    </row>
    <row r="24" spans="1:7" ht="12.75">
      <c r="A24" s="140" t="s">
        <v>107</v>
      </c>
      <c r="B24" s="133">
        <v>0.10146180099999999</v>
      </c>
      <c r="C24" s="117">
        <v>0.07735993900000002</v>
      </c>
      <c r="D24" s="117">
        <v>0.062195787</v>
      </c>
      <c r="E24" s="117">
        <v>0.07540761100000001</v>
      </c>
      <c r="F24" s="156">
        <v>0.28065235</v>
      </c>
      <c r="G24" s="160">
        <v>0.10381438840980795</v>
      </c>
    </row>
    <row r="25" spans="1:7" ht="12.75">
      <c r="A25" s="140" t="s">
        <v>109</v>
      </c>
      <c r="B25" s="134">
        <v>-0.057821279999999996</v>
      </c>
      <c r="C25" s="118">
        <v>-0.0177714896</v>
      </c>
      <c r="D25" s="118">
        <v>-0.04720219</v>
      </c>
      <c r="E25" s="118">
        <v>-0.074582115</v>
      </c>
      <c r="F25" s="154">
        <v>-0.00835075642</v>
      </c>
      <c r="G25" s="160">
        <v>-0.043065950248082074</v>
      </c>
    </row>
    <row r="26" spans="1:7" ht="12.75">
      <c r="A26" s="140" t="s">
        <v>111</v>
      </c>
      <c r="B26" s="134">
        <v>-0.044421633</v>
      </c>
      <c r="C26" s="118">
        <v>-0.091390196</v>
      </c>
      <c r="D26" s="118">
        <v>0.050803761</v>
      </c>
      <c r="E26" s="118">
        <v>-0.006951195999999998</v>
      </c>
      <c r="F26" s="154">
        <v>0.049991531000000006</v>
      </c>
      <c r="G26" s="160">
        <v>-0.011222736045837997</v>
      </c>
    </row>
    <row r="27" spans="1:7" ht="12.75">
      <c r="A27" s="140" t="s">
        <v>113</v>
      </c>
      <c r="B27" s="135">
        <v>0.17938369999999998</v>
      </c>
      <c r="C27" s="118">
        <v>0.12832439</v>
      </c>
      <c r="D27" s="118">
        <v>0.12362137</v>
      </c>
      <c r="E27" s="118">
        <v>0.1262397</v>
      </c>
      <c r="F27" s="154">
        <v>0.094573834</v>
      </c>
      <c r="G27" s="161">
        <v>0.12959304966579635</v>
      </c>
    </row>
    <row r="28" spans="1:7" ht="12.75">
      <c r="A28" s="140" t="s">
        <v>115</v>
      </c>
      <c r="B28" s="134">
        <v>0.006436405791000001</v>
      </c>
      <c r="C28" s="118">
        <v>0.0104567331</v>
      </c>
      <c r="D28" s="118">
        <v>0.013091608100000002</v>
      </c>
      <c r="E28" s="118">
        <v>0.014086924</v>
      </c>
      <c r="F28" s="154">
        <v>-0.019168071</v>
      </c>
      <c r="G28" s="160">
        <v>0.007435047872936142</v>
      </c>
    </row>
    <row r="29" spans="1:7" ht="13.5" thickBot="1">
      <c r="A29" s="141" t="s">
        <v>117</v>
      </c>
      <c r="B29" s="136">
        <v>-0.0026780425</v>
      </c>
      <c r="C29" s="120">
        <v>0.0037365906399999997</v>
      </c>
      <c r="D29" s="120">
        <v>0.0058007495</v>
      </c>
      <c r="E29" s="120">
        <v>0.0059336178</v>
      </c>
      <c r="F29" s="157">
        <v>-0.0015180006899999999</v>
      </c>
      <c r="G29" s="162">
        <v>0.0031323811178385983</v>
      </c>
    </row>
    <row r="30" spans="1:7" ht="13.5" thickTop="1">
      <c r="A30" s="142" t="s">
        <v>118</v>
      </c>
      <c r="B30" s="137">
        <v>-0.3409567002696087</v>
      </c>
      <c r="C30" s="126">
        <v>-0.4772432322486384</v>
      </c>
      <c r="D30" s="126">
        <v>-0.5398674690204641</v>
      </c>
      <c r="E30" s="126">
        <v>-0.5425254339363189</v>
      </c>
      <c r="F30" s="122">
        <v>-0.5978251840628471</v>
      </c>
      <c r="G30" s="163" t="s">
        <v>129</v>
      </c>
    </row>
    <row r="31" spans="1:7" ht="13.5" thickBot="1">
      <c r="A31" s="143" t="s">
        <v>119</v>
      </c>
      <c r="B31" s="132">
        <v>30.804444</v>
      </c>
      <c r="C31" s="123">
        <v>30.981446</v>
      </c>
      <c r="D31" s="123">
        <v>31.234742</v>
      </c>
      <c r="E31" s="123">
        <v>31.45752</v>
      </c>
      <c r="F31" s="124">
        <v>31.622315</v>
      </c>
      <c r="G31" s="165">
        <v>-210</v>
      </c>
    </row>
    <row r="32" spans="1:7" ht="15.75" thickBot="1" thickTop="1">
      <c r="A32" s="144" t="s">
        <v>120</v>
      </c>
      <c r="B32" s="138">
        <v>-0.3109999895095825</v>
      </c>
      <c r="C32" s="127">
        <v>0.31300000846385956</v>
      </c>
      <c r="D32" s="127">
        <v>-0.27950000017881393</v>
      </c>
      <c r="E32" s="127">
        <v>0.3464999943971634</v>
      </c>
      <c r="F32" s="125">
        <v>-0.22599999606609344</v>
      </c>
      <c r="G32" s="130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10.660156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130</v>
      </c>
      <c r="B1" s="166" t="s">
        <v>131</v>
      </c>
      <c r="C1" s="166" t="s">
        <v>132</v>
      </c>
      <c r="D1" s="166" t="s">
        <v>133</v>
      </c>
      <c r="E1" s="166" t="s">
        <v>134</v>
      </c>
    </row>
    <row r="3" spans="1:8" ht="12.75">
      <c r="A3" s="166" t="s">
        <v>135</v>
      </c>
      <c r="B3" s="166" t="s">
        <v>85</v>
      </c>
      <c r="C3" s="166" t="s">
        <v>86</v>
      </c>
      <c r="D3" s="166" t="s">
        <v>87</v>
      </c>
      <c r="E3" s="166" t="s">
        <v>88</v>
      </c>
      <c r="F3" s="166" t="s">
        <v>89</v>
      </c>
      <c r="G3" s="166" t="s">
        <v>136</v>
      </c>
      <c r="H3"/>
    </row>
    <row r="4" spans="1:8" ht="12.75">
      <c r="A4" s="166" t="s">
        <v>137</v>
      </c>
      <c r="B4" s="166">
        <v>0.002262</v>
      </c>
      <c r="C4" s="166">
        <v>0.003759</v>
      </c>
      <c r="D4" s="166">
        <v>0.003758</v>
      </c>
      <c r="E4" s="166">
        <v>0.003756</v>
      </c>
      <c r="F4" s="166">
        <v>0.00208</v>
      </c>
      <c r="G4" s="166">
        <v>0.011709</v>
      </c>
      <c r="H4"/>
    </row>
    <row r="5" spans="1:8" ht="12.75">
      <c r="A5" s="166" t="s">
        <v>138</v>
      </c>
      <c r="B5" s="166">
        <v>2.992683</v>
      </c>
      <c r="C5" s="166">
        <v>0.690438</v>
      </c>
      <c r="D5" s="166">
        <v>-0.954513</v>
      </c>
      <c r="E5" s="166">
        <v>-0.483466</v>
      </c>
      <c r="F5" s="166">
        <v>-1.978955</v>
      </c>
      <c r="G5" s="166">
        <v>-8.772292</v>
      </c>
      <c r="H5"/>
    </row>
    <row r="6" spans="1:8" ht="12.75">
      <c r="A6" s="166" t="s">
        <v>139</v>
      </c>
      <c r="B6" s="167">
        <v>-173.7002</v>
      </c>
      <c r="C6" s="167">
        <v>-285.5602</v>
      </c>
      <c r="D6" s="167">
        <v>120.5372</v>
      </c>
      <c r="E6" s="167">
        <v>-181.1923</v>
      </c>
      <c r="F6" s="167">
        <v>-72.28193</v>
      </c>
      <c r="G6" s="167">
        <v>943.8791</v>
      </c>
      <c r="H6"/>
    </row>
    <row r="7" spans="1:8" ht="12.75">
      <c r="A7" s="166" t="s">
        <v>140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  <c r="H7"/>
    </row>
    <row r="8" spans="1:8" ht="12.75">
      <c r="A8" s="166" t="s">
        <v>92</v>
      </c>
      <c r="B8" s="167">
        <v>1.849868</v>
      </c>
      <c r="C8" s="167">
        <v>2.123873</v>
      </c>
      <c r="D8" s="167">
        <v>-0.480155</v>
      </c>
      <c r="E8" s="167">
        <v>-0.1767585</v>
      </c>
      <c r="F8" s="167">
        <v>-2.097594</v>
      </c>
      <c r="G8" s="167">
        <v>1.513972</v>
      </c>
      <c r="H8"/>
    </row>
    <row r="9" spans="1:8" ht="12.75">
      <c r="A9" s="166" t="s">
        <v>94</v>
      </c>
      <c r="B9" s="167">
        <v>-0.7773801</v>
      </c>
      <c r="C9" s="167">
        <v>-0.1769934</v>
      </c>
      <c r="D9" s="167">
        <v>1.017523</v>
      </c>
      <c r="E9" s="167">
        <v>0.5388222</v>
      </c>
      <c r="F9" s="167">
        <v>-2.955053</v>
      </c>
      <c r="G9" s="167">
        <v>0.1744167</v>
      </c>
      <c r="H9"/>
    </row>
    <row r="10" spans="1:8" ht="12.75">
      <c r="A10" s="166" t="s">
        <v>96</v>
      </c>
      <c r="B10" s="167">
        <v>-0.6077401</v>
      </c>
      <c r="C10" s="167">
        <v>-1.058202</v>
      </c>
      <c r="D10" s="167">
        <v>-0.4975084</v>
      </c>
      <c r="E10" s="167">
        <v>-0.6173051</v>
      </c>
      <c r="F10" s="167">
        <v>-0.3708042</v>
      </c>
      <c r="G10" s="167">
        <v>1.65122</v>
      </c>
      <c r="H10"/>
    </row>
    <row r="11" spans="1:8" ht="12.75">
      <c r="A11" s="166" t="s">
        <v>98</v>
      </c>
      <c r="B11" s="167">
        <v>3.084846</v>
      </c>
      <c r="C11" s="167">
        <v>2.861187</v>
      </c>
      <c r="D11" s="167">
        <v>3.089554</v>
      </c>
      <c r="E11" s="167">
        <v>2.850222</v>
      </c>
      <c r="F11" s="167">
        <v>14.19903</v>
      </c>
      <c r="G11" s="167">
        <v>4.456297</v>
      </c>
      <c r="H11"/>
    </row>
    <row r="12" spans="1:8" ht="12.75">
      <c r="A12" s="166" t="s">
        <v>100</v>
      </c>
      <c r="B12" s="167">
        <v>0.07456726</v>
      </c>
      <c r="C12" s="167">
        <v>0.05792323</v>
      </c>
      <c r="D12" s="167">
        <v>-0.14607</v>
      </c>
      <c r="E12" s="167">
        <v>0.01796743</v>
      </c>
      <c r="F12" s="167">
        <v>-0.1605587</v>
      </c>
      <c r="G12" s="167">
        <v>-0.1890873</v>
      </c>
      <c r="H12"/>
    </row>
    <row r="13" spans="1:8" ht="12.75">
      <c r="A13" s="166" t="s">
        <v>102</v>
      </c>
      <c r="B13" s="167">
        <v>0.05045662</v>
      </c>
      <c r="C13" s="167">
        <v>0.03828426</v>
      </c>
      <c r="D13" s="167">
        <v>0.1746616</v>
      </c>
      <c r="E13" s="167">
        <v>0.2565417</v>
      </c>
      <c r="F13" s="167">
        <v>-0.06834412</v>
      </c>
      <c r="G13" s="167">
        <v>-0.111161</v>
      </c>
      <c r="H13"/>
    </row>
    <row r="14" spans="1:8" ht="12.75">
      <c r="A14" s="166" t="s">
        <v>104</v>
      </c>
      <c r="B14" s="167">
        <v>0.06288912</v>
      </c>
      <c r="C14" s="167">
        <v>0.0615279</v>
      </c>
      <c r="D14" s="167">
        <v>0.1506529</v>
      </c>
      <c r="E14" s="167">
        <v>0.08804966</v>
      </c>
      <c r="F14" s="167">
        <v>0.3081813</v>
      </c>
      <c r="G14" s="167">
        <v>-0.1005015</v>
      </c>
      <c r="H14"/>
    </row>
    <row r="15" spans="1:8" ht="12.75">
      <c r="A15" s="166" t="s">
        <v>106</v>
      </c>
      <c r="B15" s="167">
        <v>-0.2543862</v>
      </c>
      <c r="C15" s="167">
        <v>-0.03847995</v>
      </c>
      <c r="D15" s="167">
        <v>-0.00389006</v>
      </c>
      <c r="E15" s="167">
        <v>-0.1136613</v>
      </c>
      <c r="F15" s="167">
        <v>-0.2806022</v>
      </c>
      <c r="G15" s="167">
        <v>-0.1117851</v>
      </c>
      <c r="H15"/>
    </row>
    <row r="16" spans="1:8" ht="12.75">
      <c r="A16" s="166" t="s">
        <v>108</v>
      </c>
      <c r="B16" s="167">
        <v>-0.009457161</v>
      </c>
      <c r="C16" s="167">
        <v>-0.02802509</v>
      </c>
      <c r="D16" s="167">
        <v>-0.001411928</v>
      </c>
      <c r="E16" s="167">
        <v>0.03550135</v>
      </c>
      <c r="F16" s="167">
        <v>-0.007692364</v>
      </c>
      <c r="G16" s="167">
        <v>-0.04442972</v>
      </c>
      <c r="H16"/>
    </row>
    <row r="17" spans="1:8" ht="12.75">
      <c r="A17" s="166" t="s">
        <v>110</v>
      </c>
      <c r="B17" s="167">
        <v>0.137012</v>
      </c>
      <c r="C17" s="167">
        <v>0.08124966</v>
      </c>
      <c r="D17" s="167">
        <v>0.08658565</v>
      </c>
      <c r="E17" s="167">
        <v>0.08177298</v>
      </c>
      <c r="F17" s="167">
        <v>0.06332697</v>
      </c>
      <c r="G17" s="167">
        <v>-0.08835239</v>
      </c>
      <c r="H17"/>
    </row>
    <row r="18" spans="1:8" ht="12.75">
      <c r="A18" s="166" t="s">
        <v>141</v>
      </c>
      <c r="B18" s="167">
        <v>0.03568876</v>
      </c>
      <c r="C18" s="167">
        <v>0.058013</v>
      </c>
      <c r="D18" s="167">
        <v>-0.02673287</v>
      </c>
      <c r="E18" s="167">
        <v>0.03511097</v>
      </c>
      <c r="F18" s="167">
        <v>-0.02534828</v>
      </c>
      <c r="G18" s="167">
        <v>-0.1301244</v>
      </c>
      <c r="H18"/>
    </row>
    <row r="19" spans="1:8" ht="12.75">
      <c r="A19" s="166" t="s">
        <v>114</v>
      </c>
      <c r="B19" s="167">
        <v>-0.1978335</v>
      </c>
      <c r="C19" s="167">
        <v>-0.1769117</v>
      </c>
      <c r="D19" s="167">
        <v>-0.1774482</v>
      </c>
      <c r="E19" s="167">
        <v>-0.1692778</v>
      </c>
      <c r="F19" s="167">
        <v>-0.135935</v>
      </c>
      <c r="G19" s="167">
        <v>-0.172778</v>
      </c>
      <c r="H19"/>
    </row>
    <row r="20" spans="1:8" ht="12.75">
      <c r="A20" s="166" t="s">
        <v>116</v>
      </c>
      <c r="B20" s="167">
        <v>0.004557355</v>
      </c>
      <c r="C20" s="167">
        <v>0.001347666</v>
      </c>
      <c r="D20" s="167">
        <v>-0.004700827</v>
      </c>
      <c r="E20" s="167">
        <v>-0.005383141</v>
      </c>
      <c r="F20" s="167">
        <v>-0.003305015</v>
      </c>
      <c r="G20" s="167">
        <v>0.003196672</v>
      </c>
      <c r="H20"/>
    </row>
    <row r="21" spans="1:8" ht="12.75">
      <c r="A21" s="166" t="s">
        <v>142</v>
      </c>
      <c r="B21" s="167">
        <v>-988.8641</v>
      </c>
      <c r="C21" s="167">
        <v>-912.3687</v>
      </c>
      <c r="D21" s="167">
        <v>-925.191</v>
      </c>
      <c r="E21" s="167">
        <v>-961.2646</v>
      </c>
      <c r="F21" s="167">
        <v>-954.2553</v>
      </c>
      <c r="G21" s="167">
        <v>-118.1016</v>
      </c>
      <c r="H21"/>
    </row>
    <row r="22" spans="1:8" ht="12.75">
      <c r="A22" s="166" t="s">
        <v>143</v>
      </c>
      <c r="B22" s="167">
        <v>59.85437</v>
      </c>
      <c r="C22" s="167">
        <v>13.80876</v>
      </c>
      <c r="D22" s="167">
        <v>-19.09028</v>
      </c>
      <c r="E22" s="167">
        <v>-9.669321</v>
      </c>
      <c r="F22" s="167">
        <v>-39.57931</v>
      </c>
      <c r="G22" s="167">
        <v>0</v>
      </c>
      <c r="H22"/>
    </row>
    <row r="23" spans="1:8" ht="12.75">
      <c r="A23" s="166" t="s">
        <v>93</v>
      </c>
      <c r="B23" s="167">
        <v>-1.1716</v>
      </c>
      <c r="C23" s="167">
        <v>0.4662281</v>
      </c>
      <c r="D23" s="167">
        <v>1.319967</v>
      </c>
      <c r="E23" s="167">
        <v>1.397275</v>
      </c>
      <c r="F23" s="167">
        <v>6.88902</v>
      </c>
      <c r="G23" s="167">
        <v>-0.3417383</v>
      </c>
      <c r="H23"/>
    </row>
    <row r="24" spans="1:8" ht="12.75">
      <c r="A24" s="166" t="s">
        <v>95</v>
      </c>
      <c r="B24" s="167">
        <v>2.192617</v>
      </c>
      <c r="C24" s="167">
        <v>-0.6877886</v>
      </c>
      <c r="D24" s="167">
        <v>-1.712959</v>
      </c>
      <c r="E24" s="167">
        <v>-2.188894</v>
      </c>
      <c r="F24" s="167">
        <v>1.56403</v>
      </c>
      <c r="G24" s="167">
        <v>0.5782457</v>
      </c>
      <c r="H24"/>
    </row>
    <row r="25" spans="1:8" ht="12.75">
      <c r="A25" s="166" t="s">
        <v>97</v>
      </c>
      <c r="B25" s="167">
        <v>-0.6182553</v>
      </c>
      <c r="C25" s="167">
        <v>-0.8370268</v>
      </c>
      <c r="D25" s="167">
        <v>-0.4313548</v>
      </c>
      <c r="E25" s="167">
        <v>-0.8669867</v>
      </c>
      <c r="F25" s="167">
        <v>-7.865127</v>
      </c>
      <c r="G25" s="167">
        <v>-0.6603059</v>
      </c>
      <c r="H25"/>
    </row>
    <row r="26" spans="1:8" ht="12.75">
      <c r="A26" s="166" t="s">
        <v>99</v>
      </c>
      <c r="B26" s="167">
        <v>0.5911602</v>
      </c>
      <c r="C26" s="167">
        <v>0.3317171</v>
      </c>
      <c r="D26" s="167">
        <v>-0.2336608</v>
      </c>
      <c r="E26" s="167">
        <v>0.5814736</v>
      </c>
      <c r="F26" s="167">
        <v>1.761786</v>
      </c>
      <c r="G26" s="167">
        <v>0.4840949</v>
      </c>
      <c r="H26"/>
    </row>
    <row r="27" spans="1:8" ht="12.75">
      <c r="A27" s="166" t="s">
        <v>101</v>
      </c>
      <c r="B27" s="167">
        <v>-0.103966</v>
      </c>
      <c r="C27" s="167">
        <v>-0.06242386</v>
      </c>
      <c r="D27" s="167">
        <v>-0.4143976</v>
      </c>
      <c r="E27" s="167">
        <v>-0.4472376</v>
      </c>
      <c r="F27" s="167">
        <v>0.3625609</v>
      </c>
      <c r="G27" s="167">
        <v>0.02745943</v>
      </c>
      <c r="H27"/>
    </row>
    <row r="28" spans="1:8" ht="12.75">
      <c r="A28" s="166" t="s">
        <v>103</v>
      </c>
      <c r="B28" s="167">
        <v>0.3453565</v>
      </c>
      <c r="C28" s="167">
        <v>-0.08823682</v>
      </c>
      <c r="D28" s="167">
        <v>-0.2874447</v>
      </c>
      <c r="E28" s="167">
        <v>-0.005671688</v>
      </c>
      <c r="F28" s="167">
        <v>0.02239841</v>
      </c>
      <c r="G28" s="167">
        <v>0.03874963</v>
      </c>
      <c r="H28"/>
    </row>
    <row r="29" spans="1:8" ht="12.75">
      <c r="A29" s="166" t="s">
        <v>105</v>
      </c>
      <c r="B29" s="167">
        <v>0.207123</v>
      </c>
      <c r="C29" s="167">
        <v>0.0605096</v>
      </c>
      <c r="D29" s="167">
        <v>0.02557297</v>
      </c>
      <c r="E29" s="167">
        <v>0.11579</v>
      </c>
      <c r="F29" s="167">
        <v>0.1644784</v>
      </c>
      <c r="G29" s="167">
        <v>0.1224021</v>
      </c>
      <c r="H29"/>
    </row>
    <row r="30" spans="1:8" ht="12.75">
      <c r="A30" s="166" t="s">
        <v>107</v>
      </c>
      <c r="B30" s="167">
        <v>0.08725016</v>
      </c>
      <c r="C30" s="167">
        <v>0.07017961</v>
      </c>
      <c r="D30" s="167">
        <v>0.0734824</v>
      </c>
      <c r="E30" s="167">
        <v>0.0691941</v>
      </c>
      <c r="F30" s="167">
        <v>0.2849314</v>
      </c>
      <c r="G30" s="167">
        <v>0.1018086</v>
      </c>
      <c r="H30"/>
    </row>
    <row r="31" spans="1:8" ht="12.75">
      <c r="A31" s="166" t="s">
        <v>109</v>
      </c>
      <c r="B31" s="167">
        <v>-0.0494255</v>
      </c>
      <c r="C31" s="167">
        <v>-0.03015307</v>
      </c>
      <c r="D31" s="167">
        <v>-0.05323663</v>
      </c>
      <c r="E31" s="167">
        <v>-0.06834363</v>
      </c>
      <c r="F31" s="167">
        <v>-0.005708788</v>
      </c>
      <c r="G31" s="167">
        <v>0.0009374145</v>
      </c>
      <c r="H31"/>
    </row>
    <row r="32" spans="1:8" ht="12.75">
      <c r="A32" s="166" t="s">
        <v>111</v>
      </c>
      <c r="B32" s="167">
        <v>-0.02766715</v>
      </c>
      <c r="C32" s="167">
        <v>-0.06852359</v>
      </c>
      <c r="D32" s="167">
        <v>0.01323334</v>
      </c>
      <c r="E32" s="167">
        <v>0.001283173</v>
      </c>
      <c r="F32" s="167">
        <v>0.03994491</v>
      </c>
      <c r="G32" s="167">
        <v>0.01167884</v>
      </c>
      <c r="H32"/>
    </row>
    <row r="33" spans="1:8" ht="12.75">
      <c r="A33" s="166" t="s">
        <v>113</v>
      </c>
      <c r="B33" s="167">
        <v>0.1780756</v>
      </c>
      <c r="C33" s="167">
        <v>0.1317941</v>
      </c>
      <c r="D33" s="167">
        <v>0.1241304</v>
      </c>
      <c r="E33" s="167">
        <v>0.125038</v>
      </c>
      <c r="F33" s="167">
        <v>0.09495209</v>
      </c>
      <c r="G33" s="167">
        <v>0.01775416</v>
      </c>
      <c r="H33"/>
    </row>
    <row r="34" spans="1:8" ht="12.75">
      <c r="A34" s="166" t="s">
        <v>115</v>
      </c>
      <c r="B34" s="167">
        <v>-0.001822672</v>
      </c>
      <c r="C34" s="167">
        <v>0.008804997</v>
      </c>
      <c r="D34" s="167">
        <v>0.01540425</v>
      </c>
      <c r="E34" s="167">
        <v>0.01528496</v>
      </c>
      <c r="F34" s="167">
        <v>-0.01538696</v>
      </c>
      <c r="G34" s="167">
        <v>0.007165329</v>
      </c>
      <c r="H34"/>
    </row>
    <row r="35" spans="1:8" ht="12.75">
      <c r="A35" s="166" t="s">
        <v>117</v>
      </c>
      <c r="B35" s="167">
        <v>-0.002488026</v>
      </c>
      <c r="C35" s="167">
        <v>0.003764521</v>
      </c>
      <c r="D35" s="167">
        <v>0.005843018</v>
      </c>
      <c r="E35" s="167">
        <v>0.005971955</v>
      </c>
      <c r="F35" s="167">
        <v>-0.001436025</v>
      </c>
      <c r="G35" s="167">
        <v>0.00188208</v>
      </c>
      <c r="H35"/>
    </row>
    <row r="36" spans="1:6" ht="12.75">
      <c r="A36" s="166" t="s">
        <v>144</v>
      </c>
      <c r="B36" s="167">
        <v>31.62232</v>
      </c>
      <c r="C36" s="167">
        <v>31.61011</v>
      </c>
      <c r="D36" s="167">
        <v>31.60706</v>
      </c>
      <c r="E36" s="167">
        <v>31.57959</v>
      </c>
      <c r="F36" s="167">
        <v>31.57349</v>
      </c>
    </row>
    <row r="37" spans="1:6" ht="12.75">
      <c r="A37" s="166" t="s">
        <v>145</v>
      </c>
      <c r="B37" s="167">
        <v>-0.2009074</v>
      </c>
      <c r="C37" s="167">
        <v>-0.1846314</v>
      </c>
      <c r="D37" s="167">
        <v>-0.1780192</v>
      </c>
      <c r="E37" s="167">
        <v>-0.1678467</v>
      </c>
      <c r="F37" s="167">
        <v>-0.1663208</v>
      </c>
    </row>
    <row r="38" spans="1:7" ht="12.75">
      <c r="A38" s="166" t="s">
        <v>146</v>
      </c>
      <c r="B38" s="167">
        <v>0.0003053414</v>
      </c>
      <c r="C38" s="167">
        <v>0.0004875932</v>
      </c>
      <c r="D38" s="167">
        <v>-0.000207915</v>
      </c>
      <c r="E38" s="167">
        <v>0.0003064465</v>
      </c>
      <c r="F38" s="167">
        <v>0.0001164568</v>
      </c>
      <c r="G38" s="167">
        <v>9.334663E-05</v>
      </c>
    </row>
    <row r="39" spans="1:7" ht="12.75">
      <c r="A39" s="166" t="s">
        <v>147</v>
      </c>
      <c r="B39" s="167">
        <v>0.001679241</v>
      </c>
      <c r="C39" s="167">
        <v>0.001550354</v>
      </c>
      <c r="D39" s="167">
        <v>0.001572428</v>
      </c>
      <c r="E39" s="167">
        <v>0.001634446</v>
      </c>
      <c r="F39" s="167">
        <v>0.001622695</v>
      </c>
      <c r="G39" s="167">
        <v>0.0008031304</v>
      </c>
    </row>
    <row r="40" spans="2:5" ht="12.75">
      <c r="B40" s="166" t="s">
        <v>148</v>
      </c>
      <c r="C40" s="166">
        <v>0.003757</v>
      </c>
      <c r="D40" s="166" t="s">
        <v>149</v>
      </c>
      <c r="E40" s="166">
        <v>3.116367</v>
      </c>
    </row>
    <row r="42" ht="12.75">
      <c r="A42" s="166" t="s">
        <v>150</v>
      </c>
    </row>
    <row r="50" spans="1:8" ht="12.75">
      <c r="A50" s="166" t="s">
        <v>151</v>
      </c>
      <c r="B50" s="166">
        <f>-0.017/(B7*B7+B22*B22)*(B21*B22+B6*B7)</f>
        <v>0.0003053413334200598</v>
      </c>
      <c r="C50" s="166">
        <f>-0.017/(C7*C7+C22*C22)*(C21*C22+C6*C7)</f>
        <v>0.0004875931859179473</v>
      </c>
      <c r="D50" s="166">
        <f>-0.017/(D7*D7+D22*D22)*(D21*D22+D6*D7)</f>
        <v>-0.00020791504866830303</v>
      </c>
      <c r="E50" s="166">
        <f>-0.017/(E7*E7+E22*E22)*(E21*E22+E6*E7)</f>
        <v>0.0003064465115683114</v>
      </c>
      <c r="F50" s="166">
        <f>-0.017/(F7*F7+F22*F22)*(F21*F22+F6*F7)</f>
        <v>0.00011645676640195664</v>
      </c>
      <c r="G50" s="166">
        <f>(B50*B$4+C50*C$4+D50*D$4+E50*E$4+F50*F$4)/SUM(B$4:F$4)</f>
        <v>0.00020079688125090644</v>
      </c>
      <c r="H50"/>
    </row>
    <row r="51" spans="1:8" ht="12.75">
      <c r="A51" s="166" t="s">
        <v>152</v>
      </c>
      <c r="B51" s="166">
        <f>-0.017/(B7*B7+B22*B22)*(B21*B7-B6*B22)</f>
        <v>0.0016792413686853183</v>
      </c>
      <c r="C51" s="166">
        <f>-0.017/(C7*C7+C22*C22)*(C21*C7-C6*C22)</f>
        <v>0.0015503534842718023</v>
      </c>
      <c r="D51" s="166">
        <f>-0.017/(D7*D7+D22*D22)*(D21*D7-D6*D22)</f>
        <v>0.0015724277843504708</v>
      </c>
      <c r="E51" s="166">
        <f>-0.017/(E7*E7+E22*E22)*(E21*E7-E6*E22)</f>
        <v>0.0016344461329689682</v>
      </c>
      <c r="F51" s="166">
        <f>-0.017/(F7*F7+F22*F22)*(F21*F7-F6*F22)</f>
        <v>0.0016226949378459023</v>
      </c>
      <c r="G51" s="166">
        <f>(B51*B$4+C51*C$4+D51*D$4+E51*E$4+F51*F$4)/SUM(B$4:F$4)</f>
        <v>0.0016042005432650584</v>
      </c>
      <c r="H51"/>
    </row>
    <row r="58" ht="12.75">
      <c r="A58" s="166" t="s">
        <v>153</v>
      </c>
    </row>
    <row r="60" spans="2:6" ht="12.75">
      <c r="B60" s="166" t="s">
        <v>85</v>
      </c>
      <c r="C60" s="166" t="s">
        <v>86</v>
      </c>
      <c r="D60" s="166" t="s">
        <v>87</v>
      </c>
      <c r="E60" s="166" t="s">
        <v>88</v>
      </c>
      <c r="F60" s="166" t="s">
        <v>89</v>
      </c>
    </row>
    <row r="61" spans="1:6" ht="12.75">
      <c r="A61" s="166" t="s">
        <v>155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158</v>
      </c>
      <c r="B62" s="166">
        <f>B7+(2/0.017)*(B8*B50-B23*B51)</f>
        <v>10000.297910629331</v>
      </c>
      <c r="C62" s="166">
        <f>C7+(2/0.017)*(C8*C50-C23*C51)</f>
        <v>10000.036796193324</v>
      </c>
      <c r="D62" s="166">
        <f>D7+(2/0.017)*(D8*D50-D23*D51)</f>
        <v>9999.767562195879</v>
      </c>
      <c r="E62" s="166">
        <f>E7+(2/0.017)*(E8*E50-E23*E51)</f>
        <v>9999.724948500452</v>
      </c>
      <c r="F62" s="166">
        <f>F7+(2/0.017)*(F8*F50-F23*F51)</f>
        <v>9998.656110953509</v>
      </c>
    </row>
    <row r="63" spans="1:6" ht="12.75">
      <c r="A63" s="166" t="s">
        <v>159</v>
      </c>
      <c r="B63" s="166">
        <f>B8+(3/0.017)*(B9*B50-B24*B51)</f>
        <v>1.1582269208721914</v>
      </c>
      <c r="C63" s="166">
        <f>C8+(3/0.017)*(C9*C50-C24*C51)</f>
        <v>2.2968167664694077</v>
      </c>
      <c r="D63" s="166">
        <f>D8+(3/0.017)*(D9*D50-D24*D51)</f>
        <v>-0.04216453276698584</v>
      </c>
      <c r="E63" s="166">
        <f>E8+(3/0.017)*(E9*E50-E24*E51)</f>
        <v>0.48372670893962455</v>
      </c>
      <c r="F63" s="166">
        <f>F8+(3/0.017)*(F9*F50-F24*F51)</f>
        <v>-2.6061962612762697</v>
      </c>
    </row>
    <row r="64" spans="1:6" ht="12.75">
      <c r="A64" s="166" t="s">
        <v>160</v>
      </c>
      <c r="B64" s="166">
        <f>B9+(4/0.017)*(B10*B50-B25*B51)</f>
        <v>-0.576760875608915</v>
      </c>
      <c r="C64" s="166">
        <f>C9+(4/0.017)*(C10*C50-C25*C51)</f>
        <v>0.00693961912567842</v>
      </c>
      <c r="D64" s="166">
        <f>D9+(4/0.017)*(D10*D50-D25*D51)</f>
        <v>1.20145564838396</v>
      </c>
      <c r="E64" s="166">
        <f>E9+(4/0.017)*(E10*E50-E25*E51)</f>
        <v>0.8277332740428704</v>
      </c>
      <c r="F64" s="166">
        <f>F9+(4/0.017)*(F10*F50-F25*F51)</f>
        <v>0.037775025956438224</v>
      </c>
    </row>
    <row r="65" spans="1:6" ht="12.75">
      <c r="A65" s="166" t="s">
        <v>161</v>
      </c>
      <c r="B65" s="166">
        <f>B10+(5/0.017)*(B11*B50-B26*B51)</f>
        <v>-0.6226723565661026</v>
      </c>
      <c r="C65" s="166">
        <f>C10+(5/0.017)*(C11*C50-C26*C51)</f>
        <v>-0.799138316747213</v>
      </c>
      <c r="D65" s="166">
        <f>D10+(5/0.017)*(D11*D50-D26*D51)</f>
        <v>-0.5783760577175858</v>
      </c>
      <c r="E65" s="166">
        <f>E10+(5/0.017)*(E11*E50-E26*E51)</f>
        <v>-0.6399364787789086</v>
      </c>
      <c r="F65" s="166">
        <f>F10+(5/0.017)*(F11*F50-F26*F51)</f>
        <v>-0.725294818801002</v>
      </c>
    </row>
    <row r="66" spans="1:6" ht="12.75">
      <c r="A66" s="166" t="s">
        <v>162</v>
      </c>
      <c r="B66" s="166">
        <f>B11+(6/0.017)*(B12*B50-B27*B51)</f>
        <v>3.1544998146122185</v>
      </c>
      <c r="C66" s="166">
        <f>C11+(6/0.017)*(C12*C50-C27*C51)</f>
        <v>2.9053124192142543</v>
      </c>
      <c r="D66" s="166">
        <f>D11+(6/0.017)*(D12*D50-D27*D51)</f>
        <v>3.33025298276487</v>
      </c>
      <c r="E66" s="166">
        <f>E11+(6/0.017)*(E12*E50-E27*E51)</f>
        <v>3.110160290147178</v>
      </c>
      <c r="F66" s="166">
        <f>F11+(6/0.017)*(F12*F50-F27*F51)</f>
        <v>13.984786276196274</v>
      </c>
    </row>
    <row r="67" spans="1:6" ht="12.75">
      <c r="A67" s="166" t="s">
        <v>163</v>
      </c>
      <c r="B67" s="166">
        <f>B12+(7/0.017)*(B13*B50-B28*B51)</f>
        <v>-0.15788644651740663</v>
      </c>
      <c r="C67" s="166">
        <f>C12+(7/0.017)*(C13*C50-C28*C51)</f>
        <v>0.12193839702493084</v>
      </c>
      <c r="D67" s="166">
        <f>D12+(7/0.017)*(D13*D50-D28*D51)</f>
        <v>0.025088753162271438</v>
      </c>
      <c r="E67" s="166">
        <f>E12+(7/0.017)*(E13*E50-E28*E51)</f>
        <v>0.054155938405333844</v>
      </c>
      <c r="F67" s="166">
        <f>F12+(7/0.017)*(F13*F50-F28*F51)</f>
        <v>-0.17880190306965238</v>
      </c>
    </row>
    <row r="68" spans="1:6" ht="12.75">
      <c r="A68" s="166" t="s">
        <v>164</v>
      </c>
      <c r="B68" s="166">
        <f>B13+(8/0.017)*(B14*B50-B29*B51)</f>
        <v>-0.10418190341072706</v>
      </c>
      <c r="C68" s="166">
        <f>C13+(8/0.017)*(C14*C50-C29*C51)</f>
        <v>0.008255702631504859</v>
      </c>
      <c r="D68" s="166">
        <f>D13+(8/0.017)*(D14*D50-D29*D51)</f>
        <v>0.14099823360382022</v>
      </c>
      <c r="E68" s="166">
        <f>E13+(8/0.017)*(E14*E50-E29*E51)</f>
        <v>0.18017934396014074</v>
      </c>
      <c r="F68" s="166">
        <f>F13+(8/0.017)*(F14*F50-F29*F51)</f>
        <v>-0.17705398795361982</v>
      </c>
    </row>
    <row r="69" spans="1:6" ht="12.75">
      <c r="A69" s="166" t="s">
        <v>165</v>
      </c>
      <c r="B69" s="166">
        <f>B14+(9/0.017)*(B15*B50-B30*B51)</f>
        <v>-0.05579901508662795</v>
      </c>
      <c r="C69" s="166">
        <f>C14+(9/0.017)*(C15*C50-C30*C51)</f>
        <v>-0.006006916395599755</v>
      </c>
      <c r="D69" s="166">
        <f>D14+(9/0.017)*(D15*D50-D30*D51)</f>
        <v>0.0899098006671299</v>
      </c>
      <c r="E69" s="166">
        <f>E14+(9/0.017)*(E15*E50-E30*E51)</f>
        <v>0.009736351618159625</v>
      </c>
      <c r="F69" s="166">
        <f>F14+(9/0.017)*(F15*F50-F30*F51)</f>
        <v>0.04610407132731825</v>
      </c>
    </row>
    <row r="70" spans="1:6" ht="12.75">
      <c r="A70" s="166" t="s">
        <v>166</v>
      </c>
      <c r="B70" s="166">
        <f>B15+(10/0.017)*(B16*B50-B31*B51)</f>
        <v>-0.20726285757773646</v>
      </c>
      <c r="C70" s="166">
        <f>C15+(10/0.017)*(C16*C50-C31*C51)</f>
        <v>-0.019019318107497442</v>
      </c>
      <c r="D70" s="166">
        <f>D15+(10/0.017)*(D16*D50-D31*D51)</f>
        <v>0.04552424425648349</v>
      </c>
      <c r="E70" s="166">
        <f>E15+(10/0.017)*(E16*E50-E31*E51)</f>
        <v>-0.04155350786468964</v>
      </c>
      <c r="F70" s="166">
        <f>F15+(10/0.017)*(F16*F50-F31*F51)</f>
        <v>-0.2756799684991714</v>
      </c>
    </row>
    <row r="71" spans="1:6" ht="12.75">
      <c r="A71" s="166" t="s">
        <v>167</v>
      </c>
      <c r="B71" s="166">
        <f>B16+(11/0.017)*(B17*B50-B32*B51)</f>
        <v>0.04767505933469904</v>
      </c>
      <c r="C71" s="166">
        <f>C16+(11/0.017)*(C17*C50-C32*C51)</f>
        <v>0.06635010046706392</v>
      </c>
      <c r="D71" s="166">
        <f>D16+(11/0.017)*(D17*D50-D32*D51)</f>
        <v>-0.026524883436724364</v>
      </c>
      <c r="E71" s="166">
        <f>E16+(11/0.017)*(E17*E50-E32*E51)</f>
        <v>0.05035896414420095</v>
      </c>
      <c r="F71" s="166">
        <f>F16+(11/0.017)*(F17*F50-F32*F51)</f>
        <v>-0.04486171929836711</v>
      </c>
    </row>
    <row r="72" spans="1:6" ht="12.75">
      <c r="A72" s="166" t="s">
        <v>168</v>
      </c>
      <c r="B72" s="166">
        <f>B17+(12/0.017)*(B18*B50-B33*B51)</f>
        <v>-0.06637717226372997</v>
      </c>
      <c r="C72" s="166">
        <f>C17+(12/0.017)*(C18*C50-C33*C51)</f>
        <v>-0.04301436257421773</v>
      </c>
      <c r="D72" s="166">
        <f>D17+(12/0.017)*(D18*D50-D33*D51)</f>
        <v>-0.04726935508854889</v>
      </c>
      <c r="E72" s="166">
        <f>E17+(12/0.017)*(E18*E50-E33*E51)</f>
        <v>-0.05489166091757239</v>
      </c>
      <c r="F72" s="166">
        <f>F17+(12/0.017)*(F18*F50-F33*F51)</f>
        <v>-0.04751791553191052</v>
      </c>
    </row>
    <row r="73" spans="1:6" ht="12.75">
      <c r="A73" s="166" t="s">
        <v>169</v>
      </c>
      <c r="B73" s="166">
        <f>B18+(13/0.017)*(B19*B50-B34*B51)</f>
        <v>-0.008164092940927577</v>
      </c>
      <c r="C73" s="166">
        <f>C18+(13/0.017)*(C19*C50-C34*C51)</f>
        <v>-0.018390139040733382</v>
      </c>
      <c r="D73" s="166">
        <f>D18+(13/0.017)*(D19*D50-D34*D51)</f>
        <v>-0.017042455544336095</v>
      </c>
      <c r="E73" s="166">
        <f>E18+(13/0.017)*(E19*E50-E34*E51)</f>
        <v>-0.023662056811003973</v>
      </c>
      <c r="F73" s="166">
        <f>F18+(13/0.017)*(F19*F50-F34*F51)</f>
        <v>-0.01836055704236257</v>
      </c>
    </row>
    <row r="74" spans="1:6" ht="12.75">
      <c r="A74" s="166" t="s">
        <v>170</v>
      </c>
      <c r="B74" s="166">
        <f>B19+(14/0.017)*(B20*B50-B35*B51)</f>
        <v>-0.1932468158509491</v>
      </c>
      <c r="C74" s="166">
        <f>C19+(14/0.017)*(C20*C50-C35*C51)</f>
        <v>-0.1811769445215644</v>
      </c>
      <c r="D74" s="166">
        <f>D19+(14/0.017)*(D20*D50-D35*D51)</f>
        <v>-0.18420966567202535</v>
      </c>
      <c r="E74" s="166">
        <f>E19+(14/0.017)*(E20*E50-E35*E51)</f>
        <v>-0.17867466879496652</v>
      </c>
      <c r="F74" s="166">
        <f>F19+(14/0.017)*(F20*F50-F35*F51)</f>
        <v>-0.13433295600374454</v>
      </c>
    </row>
    <row r="75" spans="1:6" ht="12.75">
      <c r="A75" s="166" t="s">
        <v>171</v>
      </c>
      <c r="B75" s="167">
        <f>B20</f>
        <v>0.004557355</v>
      </c>
      <c r="C75" s="167">
        <f>C20</f>
        <v>0.001347666</v>
      </c>
      <c r="D75" s="167">
        <f>D20</f>
        <v>-0.004700827</v>
      </c>
      <c r="E75" s="167">
        <f>E20</f>
        <v>-0.005383141</v>
      </c>
      <c r="F75" s="167">
        <f>F20</f>
        <v>-0.003305015</v>
      </c>
    </row>
    <row r="78" ht="12.75">
      <c r="A78" s="166" t="s">
        <v>153</v>
      </c>
    </row>
    <row r="80" spans="2:6" ht="12.75">
      <c r="B80" s="166" t="s">
        <v>85</v>
      </c>
      <c r="C80" s="166" t="s">
        <v>86</v>
      </c>
      <c r="D80" s="166" t="s">
        <v>87</v>
      </c>
      <c r="E80" s="166" t="s">
        <v>88</v>
      </c>
      <c r="F80" s="166" t="s">
        <v>89</v>
      </c>
    </row>
    <row r="81" spans="1:6" ht="12.75">
      <c r="A81" s="166" t="s">
        <v>172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173</v>
      </c>
      <c r="B82" s="166">
        <f>B22+(2/0.017)*(B8*B51+B23*B50)</f>
        <v>60.177739054820265</v>
      </c>
      <c r="C82" s="166">
        <f>C22+(2/0.017)*(C8*C51+C23*C50)</f>
        <v>14.22288747651109</v>
      </c>
      <c r="D82" s="166">
        <f>D22+(2/0.017)*(D8*D51+D23*D50)</f>
        <v>-19.211391772451805</v>
      </c>
      <c r="E82" s="166">
        <f>E22+(2/0.017)*(E8*E51+E23*E50)</f>
        <v>-9.652934199687387</v>
      </c>
      <c r="F82" s="166">
        <f>F22+(2/0.017)*(F8*F51+F23*F50)</f>
        <v>-39.885366726185595</v>
      </c>
    </row>
    <row r="83" spans="1:6" ht="12.75">
      <c r="A83" s="166" t="s">
        <v>174</v>
      </c>
      <c r="B83" s="166">
        <f>B23+(3/0.017)*(B9*B51+B24*B50)</f>
        <v>-1.2838198043505715</v>
      </c>
      <c r="C83" s="166">
        <f>C23+(3/0.017)*(C9*C51+C24*C50)</f>
        <v>0.3586227995714428</v>
      </c>
      <c r="D83" s="166">
        <f>D23+(3/0.017)*(D9*D51+D24*D50)</f>
        <v>1.6651666571060209</v>
      </c>
      <c r="E83" s="166">
        <f>E23+(3/0.017)*(E9*E51+E24*E50)</f>
        <v>1.434315634821475</v>
      </c>
      <c r="F83" s="166">
        <f>F23+(3/0.017)*(F9*F51+F24*F50)</f>
        <v>6.074959823327525</v>
      </c>
    </row>
    <row r="84" spans="1:6" ht="12.75">
      <c r="A84" s="166" t="s">
        <v>175</v>
      </c>
      <c r="B84" s="166">
        <f>B24+(4/0.017)*(B10*B51+B25*B50)</f>
        <v>1.9080708317588302</v>
      </c>
      <c r="C84" s="166">
        <f>C24+(4/0.017)*(C10*C51+C25*C50)</f>
        <v>-1.1698393580880222</v>
      </c>
      <c r="D84" s="166">
        <f>D24+(4/0.017)*(D10*D51+D25*D50)</f>
        <v>-1.8759262651464568</v>
      </c>
      <c r="E84" s="166">
        <f>E24+(4/0.017)*(E10*E51+E25*E50)</f>
        <v>-2.4888085843172103</v>
      </c>
      <c r="F84" s="166">
        <f>F24+(4/0.017)*(F10*F51+F25*F50)</f>
        <v>1.206936033874654</v>
      </c>
    </row>
    <row r="85" spans="1:6" ht="12.75">
      <c r="A85" s="166" t="s">
        <v>176</v>
      </c>
      <c r="B85" s="166">
        <f>B25+(5/0.017)*(B11*B51+B26*B50)</f>
        <v>0.9584231302812645</v>
      </c>
      <c r="C85" s="166">
        <f>C25+(5/0.017)*(C11*C51+C26*C50)</f>
        <v>0.5152067977104847</v>
      </c>
      <c r="D85" s="166">
        <f>D25+(5/0.017)*(D11*D51+D26*D50)</f>
        <v>1.0117870080750027</v>
      </c>
      <c r="E85" s="166">
        <f>E25+(5/0.017)*(E11*E51+E26*E50)</f>
        <v>0.5555794418506312</v>
      </c>
      <c r="F85" s="166">
        <f>F25+(5/0.017)*(F11*F51+F26*F50)</f>
        <v>-1.02810758706637</v>
      </c>
    </row>
    <row r="86" spans="1:6" ht="12.75">
      <c r="A86" s="166" t="s">
        <v>177</v>
      </c>
      <c r="B86" s="166">
        <f>B26+(6/0.017)*(B12*B51+B27*B50)</f>
        <v>0.6241500743545285</v>
      </c>
      <c r="C86" s="166">
        <f>C26+(6/0.017)*(C12*C51+C27*C50)</f>
        <v>0.3526691115327345</v>
      </c>
      <c r="D86" s="166">
        <f>D26+(6/0.017)*(D12*D51+D27*D50)</f>
        <v>-0.28431669268989834</v>
      </c>
      <c r="E86" s="166">
        <f>E26+(6/0.017)*(E12*E51+E27*E50)</f>
        <v>0.5434662096896613</v>
      </c>
      <c r="F86" s="166">
        <f>F26+(6/0.017)*(F12*F51+F27*F50)</f>
        <v>1.684733604819058</v>
      </c>
    </row>
    <row r="87" spans="1:6" ht="12.75">
      <c r="A87" s="166" t="s">
        <v>178</v>
      </c>
      <c r="B87" s="166">
        <f>B27+(7/0.017)*(B13*B51+B28*B50)</f>
        <v>-0.02565639971157417</v>
      </c>
      <c r="C87" s="166">
        <f>C27+(7/0.017)*(C13*C51+C28*C50)</f>
        <v>-0.05569955141571212</v>
      </c>
      <c r="D87" s="166">
        <f>D27+(7/0.017)*(D13*D51+D28*D50)</f>
        <v>-0.2767006693868601</v>
      </c>
      <c r="E87" s="166">
        <f>E27+(7/0.017)*(E13*E51+E28*E50)</f>
        <v>-0.2752988562614195</v>
      </c>
      <c r="F87" s="166">
        <f>F27+(7/0.017)*(F13*F51+F28*F50)</f>
        <v>0.31796957775995804</v>
      </c>
    </row>
    <row r="88" spans="1:6" ht="12.75">
      <c r="A88" s="166" t="s">
        <v>179</v>
      </c>
      <c r="B88" s="166">
        <f>B28+(8/0.017)*(B14*B51+B29*B50)</f>
        <v>0.4248149587982015</v>
      </c>
      <c r="C88" s="166">
        <f>C28+(8/0.017)*(C14*C51+C29*C50)</f>
        <v>-0.029463143394095212</v>
      </c>
      <c r="D88" s="166">
        <f>D28+(8/0.017)*(D14*D51+D29*D50)</f>
        <v>-0.17846879390549175</v>
      </c>
      <c r="E88" s="166">
        <f>E28+(8/0.017)*(E14*E51+E29*E50)</f>
        <v>0.07874989688034222</v>
      </c>
      <c r="F88" s="166">
        <f>F28+(8/0.017)*(F14*F51+F29*F50)</f>
        <v>0.26674610790858205</v>
      </c>
    </row>
    <row r="89" spans="1:6" ht="12.75">
      <c r="A89" s="166" t="s">
        <v>180</v>
      </c>
      <c r="B89" s="166">
        <f>B29+(9/0.017)*(B15*B51+B30*B50)</f>
        <v>-0.004924809070840669</v>
      </c>
      <c r="C89" s="166">
        <f>C29+(9/0.017)*(C15*C51+C30*C50)</f>
        <v>0.04704219856608639</v>
      </c>
      <c r="D89" s="166">
        <f>D29+(9/0.017)*(D15*D51+D30*D50)</f>
        <v>0.014246239600500771</v>
      </c>
      <c r="E89" s="166">
        <f>E29+(9/0.017)*(E15*E51+E30*E50)</f>
        <v>0.028665244989173416</v>
      </c>
      <c r="F89" s="166">
        <f>F29+(9/0.017)*(F15*F51+F30*F50)</f>
        <v>-0.059012554116609967</v>
      </c>
    </row>
    <row r="90" spans="1:6" ht="12.75">
      <c r="A90" s="166" t="s">
        <v>181</v>
      </c>
      <c r="B90" s="166">
        <f>B30+(10/0.017)*(B16*B51+B31*B50)</f>
        <v>0.069031039966782</v>
      </c>
      <c r="C90" s="166">
        <f>C30+(10/0.017)*(C16*C51+C31*C50)</f>
        <v>0.03597300564997781</v>
      </c>
      <c r="D90" s="166">
        <f>D30+(10/0.017)*(D16*D51+D31*D50)</f>
        <v>0.07868742452981414</v>
      </c>
      <c r="E90" s="166">
        <f>E30+(10/0.017)*(E16*E51+E31*E50)</f>
        <v>0.09100667483603675</v>
      </c>
      <c r="F90" s="166">
        <f>F30+(10/0.017)*(F16*F51+F31*F50)</f>
        <v>0.2771977605215163</v>
      </c>
    </row>
    <row r="91" spans="1:6" ht="12.75">
      <c r="A91" s="166" t="s">
        <v>182</v>
      </c>
      <c r="B91" s="166">
        <f>B31+(11/0.017)*(B17*B51+B32*B50)</f>
        <v>0.09398104313336354</v>
      </c>
      <c r="C91" s="166">
        <f>C31+(11/0.017)*(C17*C51+C32*C50)</f>
        <v>0.029734849829465008</v>
      </c>
      <c r="D91" s="166">
        <f>D31+(11/0.017)*(D17*D51+D32*D50)</f>
        <v>0.033079898459700725</v>
      </c>
      <c r="E91" s="166">
        <f>E31+(11/0.017)*(E17*E51+E32*E50)</f>
        <v>0.01839250547948891</v>
      </c>
      <c r="F91" s="166">
        <f>F31+(11/0.017)*(F17*F51+F32*F50)</f>
        <v>0.06379322939472361</v>
      </c>
    </row>
    <row r="92" spans="1:6" ht="12.75">
      <c r="A92" s="166" t="s">
        <v>183</v>
      </c>
      <c r="B92" s="166">
        <f>B32+(12/0.017)*(B18*B51+B33*B50)</f>
        <v>0.0530179441242299</v>
      </c>
      <c r="C92" s="166">
        <f>C32+(12/0.017)*(C18*C51+C33*C50)</f>
        <v>0.040325277143940186</v>
      </c>
      <c r="D92" s="166">
        <f>D32+(12/0.017)*(D18*D51+D33*D50)</f>
        <v>-0.03465660284751418</v>
      </c>
      <c r="E92" s="166">
        <f>E32+(12/0.017)*(E18*E51+E33*E50)</f>
        <v>0.06883925397983623</v>
      </c>
      <c r="F92" s="166">
        <f>F32+(12/0.017)*(F18*F51+F33*F50)</f>
        <v>0.018715701335581435</v>
      </c>
    </row>
    <row r="93" spans="1:6" ht="12.75">
      <c r="A93" s="166" t="s">
        <v>184</v>
      </c>
      <c r="B93" s="166">
        <f>B33+(13/0.017)*(B19*B51+B34*B50)</f>
        <v>-0.07639307925522154</v>
      </c>
      <c r="C93" s="166">
        <f>C33+(13/0.017)*(C19*C51+C34*C50)</f>
        <v>-0.07466304009028576</v>
      </c>
      <c r="D93" s="166">
        <f>D33+(13/0.017)*(D19*D51+D34*D50)</f>
        <v>-0.09169044232756249</v>
      </c>
      <c r="E93" s="166">
        <f>E33+(13/0.017)*(E19*E51+E34*E50)</f>
        <v>-0.08295544106873126</v>
      </c>
      <c r="F93" s="166">
        <f>F33+(13/0.017)*(F19*F51+F34*F50)</f>
        <v>-0.0750978144571592</v>
      </c>
    </row>
    <row r="94" spans="1:6" ht="12.75">
      <c r="A94" s="166" t="s">
        <v>185</v>
      </c>
      <c r="B94" s="166">
        <f>B34+(14/0.017)*(B20*B51+B35*B50)</f>
        <v>0.0038540824822973774</v>
      </c>
      <c r="C94" s="166">
        <f>C34+(14/0.017)*(C20*C51+C35*C50)</f>
        <v>0.012037278678359721</v>
      </c>
      <c r="D94" s="166">
        <f>D34+(14/0.017)*(D20*D51+D35*D50)</f>
        <v>0.008316492765593823</v>
      </c>
      <c r="E94" s="166">
        <f>E34+(14/0.017)*(E20*E51+E35*E50)</f>
        <v>0.00954630300049572</v>
      </c>
      <c r="F94" s="166">
        <f>F34+(14/0.017)*(F20*F51+F35*F50)</f>
        <v>-0.019941296654804708</v>
      </c>
    </row>
    <row r="95" spans="1:6" ht="12.75">
      <c r="A95" s="166" t="s">
        <v>186</v>
      </c>
      <c r="B95" s="167">
        <f>B35</f>
        <v>-0.002488026</v>
      </c>
      <c r="C95" s="167">
        <f>C35</f>
        <v>0.003764521</v>
      </c>
      <c r="D95" s="167">
        <f>D35</f>
        <v>0.005843018</v>
      </c>
      <c r="E95" s="167">
        <f>E35</f>
        <v>0.005971955</v>
      </c>
      <c r="F95" s="167">
        <f>F35</f>
        <v>-0.001436025</v>
      </c>
    </row>
    <row r="98" ht="12.75">
      <c r="A98" s="166" t="s">
        <v>154</v>
      </c>
    </row>
    <row r="100" spans="2:11" ht="12.75">
      <c r="B100" s="166" t="s">
        <v>85</v>
      </c>
      <c r="C100" s="166" t="s">
        <v>86</v>
      </c>
      <c r="D100" s="166" t="s">
        <v>87</v>
      </c>
      <c r="E100" s="166" t="s">
        <v>88</v>
      </c>
      <c r="F100" s="166" t="s">
        <v>89</v>
      </c>
      <c r="G100" s="166" t="s">
        <v>156</v>
      </c>
      <c r="H100" s="166" t="s">
        <v>157</v>
      </c>
      <c r="I100" s="166" t="s">
        <v>190</v>
      </c>
      <c r="K100" s="166" t="s">
        <v>187</v>
      </c>
    </row>
    <row r="101" spans="1:9" ht="12.75">
      <c r="A101" s="166" t="s">
        <v>155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158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</v>
      </c>
    </row>
    <row r="103" spans="1:11" ht="12.75">
      <c r="A103" s="166" t="s">
        <v>159</v>
      </c>
      <c r="B103" s="166">
        <f>B63*10000/B62</f>
        <v>1.158192417089005</v>
      </c>
      <c r="C103" s="166">
        <f>C63*10000/C62</f>
        <v>2.2968083150891285</v>
      </c>
      <c r="D103" s="166">
        <f>D63*10000/D62</f>
        <v>-0.04216551285290756</v>
      </c>
      <c r="E103" s="166">
        <f>E63*10000/E62</f>
        <v>0.4837400142812565</v>
      </c>
      <c r="F103" s="166">
        <f>F63*10000/F62</f>
        <v>-2.6065465522123388</v>
      </c>
      <c r="G103" s="166">
        <f>AVERAGE(C103:E103)</f>
        <v>0.9127942721724925</v>
      </c>
      <c r="H103" s="166">
        <f>STDEV(C103:E103)</f>
        <v>1.2270962917026538</v>
      </c>
      <c r="I103" s="166">
        <f>(B103*B4+C103*C4+D103*D4+E103*E4+F103*F4)/SUM(B4:F4)</f>
        <v>0.4796917304907379</v>
      </c>
      <c r="K103" s="166">
        <f>(LN(H103)+LN(H123))/2-LN(K114*K115^3)</f>
        <v>-3.95646995764182</v>
      </c>
    </row>
    <row r="104" spans="1:11" ht="12.75">
      <c r="A104" s="166" t="s">
        <v>160</v>
      </c>
      <c r="B104" s="166">
        <f>B64*10000/B62</f>
        <v>-0.5767436938012367</v>
      </c>
      <c r="C104" s="166">
        <f>C64*10000/C62</f>
        <v>0.006939593590615686</v>
      </c>
      <c r="D104" s="166">
        <f>D64*10000/D62</f>
        <v>1.2014835754043556</v>
      </c>
      <c r="E104" s="166">
        <f>E64*10000/E62</f>
        <v>0.8277560415969206</v>
      </c>
      <c r="F104" s="166">
        <f>F64*10000/F62</f>
        <v>0.03778010318312253</v>
      </c>
      <c r="G104" s="166">
        <f>AVERAGE(C104:E104)</f>
        <v>0.6787264035306305</v>
      </c>
      <c r="H104" s="166">
        <f>STDEV(C104:E104)</f>
        <v>0.6110574489264355</v>
      </c>
      <c r="I104" s="166">
        <f>(B104*B4+C104*C4+D104*D4+E104*E4+F104*F4)/SUM(B4:F4)</f>
        <v>0.41141858982755203</v>
      </c>
      <c r="K104" s="166">
        <f>(LN(H104)+LN(H124))/2-LN(K114*K115^4)</f>
        <v>-3.7412246296586034</v>
      </c>
    </row>
    <row r="105" spans="1:11" ht="12.75">
      <c r="A105" s="166" t="s">
        <v>161</v>
      </c>
      <c r="B105" s="166">
        <f>B65*10000/B62</f>
        <v>-0.6226538070473513</v>
      </c>
      <c r="C105" s="166">
        <f>C65*10000/C62</f>
        <v>-0.7991353762332334</v>
      </c>
      <c r="D105" s="166">
        <f>D65*10000/D62</f>
        <v>-0.5783895016761554</v>
      </c>
      <c r="E105" s="166">
        <f>E65*10000/E62</f>
        <v>-0.6399540808118656</v>
      </c>
      <c r="F105" s="166">
        <f>F65*10000/F62</f>
        <v>-0.7253923034781073</v>
      </c>
      <c r="G105" s="166">
        <f>AVERAGE(C105:E105)</f>
        <v>-0.6724929862404182</v>
      </c>
      <c r="H105" s="166">
        <f>STDEV(C105:E105)</f>
        <v>0.1139134344946125</v>
      </c>
      <c r="I105" s="166">
        <f>(B105*B4+C105*C4+D105*D4+E105*E4+F105*F4)/SUM(B4:F4)</f>
        <v>-0.6723319921142911</v>
      </c>
      <c r="K105" s="166">
        <f>(LN(H105)+LN(H125))/2-LN(K114*K115^5)</f>
        <v>-4.426129542282347</v>
      </c>
    </row>
    <row r="106" spans="1:11" ht="12.75">
      <c r="A106" s="166" t="s">
        <v>162</v>
      </c>
      <c r="B106" s="166">
        <f>B66*10000/B62</f>
        <v>3.1544058415092775</v>
      </c>
      <c r="C106" s="166">
        <f>C66*10000/C62</f>
        <v>2.9053017288098464</v>
      </c>
      <c r="D106" s="166">
        <f>D66*10000/D62</f>
        <v>3.330330392233207</v>
      </c>
      <c r="E106" s="166">
        <f>E66*10000/E62</f>
        <v>3.1102458379253464</v>
      </c>
      <c r="F106" s="166">
        <f>F66*10000/F62</f>
        <v>13.986665928910154</v>
      </c>
      <c r="G106" s="166">
        <f>AVERAGE(C106:E106)</f>
        <v>3.1152926529894667</v>
      </c>
      <c r="H106" s="166">
        <f>STDEV(C106:E106)</f>
        <v>0.21255927159166613</v>
      </c>
      <c r="I106" s="166">
        <f>(B106*B4+C106*C4+D106*D4+E106*E4+F106*F4)/SUM(B4:F4)</f>
        <v>4.569069825519265</v>
      </c>
      <c r="K106" s="166">
        <f>(LN(H106)+LN(H126))/2-LN(K114*K115^6)</f>
        <v>-3.29683434916691</v>
      </c>
    </row>
    <row r="107" spans="1:11" ht="12.75">
      <c r="A107" s="166" t="s">
        <v>163</v>
      </c>
      <c r="B107" s="166">
        <f>B67*10000/B62</f>
        <v>-0.15788174305246336</v>
      </c>
      <c r="C107" s="166">
        <f>C67*10000/C62</f>
        <v>0.12193794833969879</v>
      </c>
      <c r="D107" s="166">
        <f>D67*10000/D62</f>
        <v>0.025089336333295856</v>
      </c>
      <c r="E107" s="166">
        <f>E67*10000/E62</f>
        <v>0.054157428013512525</v>
      </c>
      <c r="F107" s="166">
        <f>F67*10000/F62</f>
        <v>-0.178825935291219</v>
      </c>
      <c r="G107" s="166">
        <f>AVERAGE(C107:E107)</f>
        <v>0.0670615708955024</v>
      </c>
      <c r="H107" s="166">
        <f>STDEV(C107:E107)</f>
        <v>0.04969709337104937</v>
      </c>
      <c r="I107" s="166">
        <f>(B107*B4+C107*C4+D107*D4+E107*E4+F107*F4)/SUM(B4:F4)</f>
        <v>0.001727782592238163</v>
      </c>
      <c r="K107" s="166">
        <f>(LN(H107)+LN(H127))/2-LN(K114*K115^7)</f>
        <v>-4.045214642105792</v>
      </c>
    </row>
    <row r="108" spans="1:9" ht="12.75">
      <c r="A108" s="166" t="s">
        <v>164</v>
      </c>
      <c r="B108" s="166">
        <f>B68*10000/B62</f>
        <v>-0.1041787998135455</v>
      </c>
      <c r="C108" s="166">
        <f>C68*10000/C62</f>
        <v>0.008255672253773631</v>
      </c>
      <c r="D108" s="166">
        <f>D68*10000/D62</f>
        <v>0.14100151101197997</v>
      </c>
      <c r="E108" s="166">
        <f>E68*10000/E62</f>
        <v>0.18018429995633053</v>
      </c>
      <c r="F108" s="166">
        <f>F68*10000/F62</f>
        <v>-0.17707778524321635</v>
      </c>
      <c r="G108" s="166">
        <f>AVERAGE(C108:E108)</f>
        <v>0.1098138277406947</v>
      </c>
      <c r="H108" s="166">
        <f>STDEV(C108:E108)</f>
        <v>0.09010752991173165</v>
      </c>
      <c r="I108" s="166">
        <f>(B108*B4+C108*C4+D108*D4+E108*E4+F108*F4)/SUM(B4:F4)</f>
        <v>0.04058371710130025</v>
      </c>
    </row>
    <row r="109" spans="1:9" ht="12.75">
      <c r="A109" s="166" t="s">
        <v>165</v>
      </c>
      <c r="B109" s="166">
        <f>B69*10000/B62</f>
        <v>-0.055797352824178456</v>
      </c>
      <c r="C109" s="166">
        <f>C69*10000/C62</f>
        <v>-0.006006894292515388</v>
      </c>
      <c r="D109" s="166">
        <f>D69*10000/D62</f>
        <v>0.0899118905593705</v>
      </c>
      <c r="E109" s="166">
        <f>E69*10000/E62</f>
        <v>0.009736619425336972</v>
      </c>
      <c r="F109" s="166">
        <f>F69*10000/F62</f>
        <v>0.04611026803573265</v>
      </c>
      <c r="G109" s="166">
        <f>AVERAGE(C109:E109)</f>
        <v>0.031213871897397365</v>
      </c>
      <c r="H109" s="166">
        <f>STDEV(C109:E109)</f>
        <v>0.05143984449993081</v>
      </c>
      <c r="I109" s="166">
        <f>(B109*B4+C109*C4+D109*D4+E109*E4+F109*F4)/SUM(B4:F4)</f>
        <v>0.020594009418133007</v>
      </c>
    </row>
    <row r="110" spans="1:11" ht="12.75">
      <c r="A110" s="166" t="s">
        <v>166</v>
      </c>
      <c r="B110" s="166">
        <f>B70*10000/B62</f>
        <v>-0.20725668318084453</v>
      </c>
      <c r="C110" s="166">
        <f>C70*10000/C62</f>
        <v>-0.019019248123904355</v>
      </c>
      <c r="D110" s="166">
        <f>D70*10000/D62</f>
        <v>0.045525302436616524</v>
      </c>
      <c r="E110" s="166">
        <f>E70*10000/E62</f>
        <v>-0.041554650831592085</v>
      </c>
      <c r="F110" s="166">
        <f>F70*10000/F62</f>
        <v>-0.2757170218077253</v>
      </c>
      <c r="G110" s="166">
        <f>AVERAGE(C110:E110)</f>
        <v>-0.0050161988396266385</v>
      </c>
      <c r="H110" s="166">
        <f>STDEV(C110:E110)</f>
        <v>0.04519727433420938</v>
      </c>
      <c r="I110" s="166">
        <f>(B110*B4+C110*C4+D110*D4+E110*E4+F110*F4)/SUM(B4:F4)</f>
        <v>-0.07036788718408904</v>
      </c>
      <c r="K110" s="166">
        <f>EXP(AVERAGE(K103:K107))</f>
        <v>0.020380542665820296</v>
      </c>
    </row>
    <row r="111" spans="1:9" ht="12.75">
      <c r="A111" s="166" t="s">
        <v>167</v>
      </c>
      <c r="B111" s="166">
        <f>B71*10000/B62</f>
        <v>0.04767363908631677</v>
      </c>
      <c r="C111" s="166">
        <f>C71*10000/C62</f>
        <v>0.06634985632484988</v>
      </c>
      <c r="D111" s="166">
        <f>D71*10000/D62</f>
        <v>-0.026525499989621445</v>
      </c>
      <c r="E111" s="166">
        <f>E71*10000/E62</f>
        <v>0.050360349313160586</v>
      </c>
      <c r="F111" s="166">
        <f>F71*10000/F62</f>
        <v>-0.04486774902601279</v>
      </c>
      <c r="G111" s="166">
        <f>AVERAGE(C111:E111)</f>
        <v>0.030061568549463003</v>
      </c>
      <c r="H111" s="166">
        <f>STDEV(C111:E111)</f>
        <v>0.04965368393185441</v>
      </c>
      <c r="I111" s="166">
        <f>(B111*B4+C111*C4+D111*D4+E111*E4+F111*F4)/SUM(B4:F4)</f>
        <v>0.022631611054978313</v>
      </c>
    </row>
    <row r="112" spans="1:9" ht="12.75">
      <c r="A112" s="166" t="s">
        <v>168</v>
      </c>
      <c r="B112" s="166">
        <f>B72*10000/B62</f>
        <v>-0.06637519487612221</v>
      </c>
      <c r="C112" s="166">
        <f>C72*10000/C62</f>
        <v>-0.04301420429832002</v>
      </c>
      <c r="D112" s="166">
        <f>D72*10000/D62</f>
        <v>-0.04727045383259776</v>
      </c>
      <c r="E112" s="166">
        <f>E72*10000/E62</f>
        <v>-0.05489317076246571</v>
      </c>
      <c r="F112" s="166">
        <f>F72*10000/F62</f>
        <v>-0.04752430227083691</v>
      </c>
      <c r="G112" s="166">
        <f>AVERAGE(C112:E112)</f>
        <v>-0.04839260963112783</v>
      </c>
      <c r="H112" s="166">
        <f>STDEV(C112:E112)</f>
        <v>0.006018462120110524</v>
      </c>
      <c r="I112" s="166">
        <f>(B112*B4+C112*C4+D112*D4+E112*E4+F112*F4)/SUM(B4:F4)</f>
        <v>-0.05088073956946768</v>
      </c>
    </row>
    <row r="113" spans="1:9" ht="12.75">
      <c r="A113" s="166" t="s">
        <v>169</v>
      </c>
      <c r="B113" s="166">
        <f>B73*10000/B62</f>
        <v>-0.00816384973116646</v>
      </c>
      <c r="C113" s="166">
        <f>C73*10000/C62</f>
        <v>-0.018390071372271236</v>
      </c>
      <c r="D113" s="166">
        <f>D73*10000/D62</f>
        <v>-0.01704285168463825</v>
      </c>
      <c r="E113" s="166">
        <f>E73*10000/E62</f>
        <v>-0.023662707657326424</v>
      </c>
      <c r="F113" s="166">
        <f>F73*10000/F62</f>
        <v>-0.018363024829155406</v>
      </c>
      <c r="G113" s="166">
        <f>AVERAGE(C113:E113)</f>
        <v>-0.01969854357141197</v>
      </c>
      <c r="H113" s="166">
        <f>STDEV(C113:E113)</f>
        <v>0.003498527961404211</v>
      </c>
      <c r="I113" s="166">
        <f>(B113*B4+C113*C4+D113*D4+E113*E4+F113*F4)/SUM(B4:F4)</f>
        <v>-0.01784912997865501</v>
      </c>
    </row>
    <row r="114" spans="1:11" ht="12.75">
      <c r="A114" s="166" t="s">
        <v>170</v>
      </c>
      <c r="B114" s="166">
        <f>B74*10000/B62</f>
        <v>-0.19324105899439933</v>
      </c>
      <c r="C114" s="166">
        <f>C74*10000/C62</f>
        <v>-0.1811762778618298</v>
      </c>
      <c r="D114" s="166">
        <f>D74*10000/D62</f>
        <v>-0.1842139475005699</v>
      </c>
      <c r="E114" s="166">
        <f>E74*10000/E62</f>
        <v>-0.17867958340370188</v>
      </c>
      <c r="F114" s="166">
        <f>F74*10000/F62</f>
        <v>-0.13435101128899016</v>
      </c>
      <c r="G114" s="166">
        <f>AVERAGE(C114:E114)</f>
        <v>-0.18135660292203384</v>
      </c>
      <c r="H114" s="166">
        <f>STDEV(C114:E114)</f>
        <v>0.002771585166414443</v>
      </c>
      <c r="I114" s="166">
        <f>(B114*B4+C114*C4+D114*D4+E114*E4+F114*F4)/SUM(B4:F4)</f>
        <v>-0.1768171333577006</v>
      </c>
      <c r="J114" s="166" t="s">
        <v>188</v>
      </c>
      <c r="K114" s="166">
        <v>285</v>
      </c>
    </row>
    <row r="115" spans="1:11" ht="12.75">
      <c r="A115" s="166" t="s">
        <v>171</v>
      </c>
      <c r="B115" s="166">
        <f>B75*10000/B62</f>
        <v>0.004557219235594952</v>
      </c>
      <c r="C115" s="166">
        <f>C75*10000/C62</f>
        <v>0.0013476610411203795</v>
      </c>
      <c r="D115" s="166">
        <f>D75*10000/D62</f>
        <v>-0.004700936267530334</v>
      </c>
      <c r="E115" s="166">
        <f>E75*10000/E62</f>
        <v>-0.00538328906817307</v>
      </c>
      <c r="F115" s="166">
        <f>F75*10000/F62</f>
        <v>-0.003305459217043541</v>
      </c>
      <c r="G115" s="166">
        <f>AVERAGE(C115:E115)</f>
        <v>-0.002912188098194341</v>
      </c>
      <c r="H115" s="166">
        <f>STDEV(C115:E115)</f>
        <v>0.0037048802077026084</v>
      </c>
      <c r="I115" s="166">
        <f>(B115*B4+C115*C4+D115*D4+E115*E4+F115*F4)/SUM(B4:F4)</f>
        <v>-0.001881960911969281</v>
      </c>
      <c r="J115" s="166" t="s">
        <v>189</v>
      </c>
      <c r="K115" s="166">
        <v>0.5536</v>
      </c>
    </row>
    <row r="118" ht="12.75">
      <c r="A118" s="166" t="s">
        <v>154</v>
      </c>
    </row>
    <row r="120" spans="2:9" ht="12.75">
      <c r="B120" s="166" t="s">
        <v>85</v>
      </c>
      <c r="C120" s="166" t="s">
        <v>86</v>
      </c>
      <c r="D120" s="166" t="s">
        <v>87</v>
      </c>
      <c r="E120" s="166" t="s">
        <v>88</v>
      </c>
      <c r="F120" s="166" t="s">
        <v>89</v>
      </c>
      <c r="G120" s="166" t="s">
        <v>156</v>
      </c>
      <c r="H120" s="166" t="s">
        <v>157</v>
      </c>
      <c r="I120" s="166" t="s">
        <v>190</v>
      </c>
    </row>
    <row r="121" spans="1:9" ht="12.75">
      <c r="A121" s="166" t="s">
        <v>172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173</v>
      </c>
      <c r="B122" s="166">
        <f>B82*10000/B62</f>
        <v>60.17594634941551</v>
      </c>
      <c r="C122" s="166">
        <f>C82*10000/C62</f>
        <v>14.22283514189194</v>
      </c>
      <c r="D122" s="166">
        <f>D82*10000/D62</f>
        <v>-19.211838328203218</v>
      </c>
      <c r="E122" s="166">
        <f>E82*10000/E62</f>
        <v>-9.65319971239302</v>
      </c>
      <c r="F122" s="166">
        <f>F82*10000/F62</f>
        <v>-39.890727597373065</v>
      </c>
      <c r="G122" s="166">
        <f>AVERAGE(C122:E122)</f>
        <v>-4.8807342995681</v>
      </c>
      <c r="H122" s="166">
        <f>STDEV(C122:E122)</f>
        <v>17.22067557038425</v>
      </c>
      <c r="I122" s="166">
        <f>(B122*B4+C122*C4+D122*D4+E122*E4+F122*F4)/SUM(B4:F4)</f>
        <v>-0.11825757405841408</v>
      </c>
    </row>
    <row r="123" spans="1:9" ht="12.75">
      <c r="A123" s="166" t="s">
        <v>174</v>
      </c>
      <c r="B123" s="166">
        <f>B83*10000/B62</f>
        <v>-1.283781559133351</v>
      </c>
      <c r="C123" s="166">
        <f>C83*10000/C62</f>
        <v>0.35862147998091204</v>
      </c>
      <c r="D123" s="166">
        <f>D83*10000/D62</f>
        <v>1.6652053627738144</v>
      </c>
      <c r="E123" s="166">
        <f>E83*10000/E62</f>
        <v>1.4343550869732307</v>
      </c>
      <c r="F123" s="166">
        <f>F83*10000/F62</f>
        <v>6.0757763402547855</v>
      </c>
      <c r="G123" s="166">
        <f>AVERAGE(C123:E123)</f>
        <v>1.1527273099093192</v>
      </c>
      <c r="H123" s="166">
        <f>STDEV(C123:E123)</f>
        <v>0.6973349369592879</v>
      </c>
      <c r="I123" s="166">
        <f>(B123*B4+C123*C4+D123*D4+E123*E4+F123*F4)/SUM(B4:F4)</f>
        <v>1.4554619599227674</v>
      </c>
    </row>
    <row r="124" spans="1:9" ht="12.75">
      <c r="A124" s="166" t="s">
        <v>175</v>
      </c>
      <c r="B124" s="166">
        <f>B84*10000/B62</f>
        <v>1.908013989993977</v>
      </c>
      <c r="C124" s="166">
        <f>C84*10000/C62</f>
        <v>-1.1698350535403435</v>
      </c>
      <c r="D124" s="166">
        <f>D84*10000/D62</f>
        <v>-1.8759698697781697</v>
      </c>
      <c r="E124" s="166">
        <f>E84*10000/E62</f>
        <v>-2.488877041253449</v>
      </c>
      <c r="F124" s="166">
        <f>F84*10000/F62</f>
        <v>1.2070982544868782</v>
      </c>
      <c r="G124" s="166">
        <f>AVERAGE(C124:E124)</f>
        <v>-1.8448939881906543</v>
      </c>
      <c r="H124" s="166">
        <f>STDEV(C124:E124)</f>
        <v>0.6600698630825871</v>
      </c>
      <c r="I124" s="166">
        <f>(B124*B4+C124*C4+D124*D4+E124*E4+F124*F4)/SUM(B4:F4)</f>
        <v>-0.8945779628007291</v>
      </c>
    </row>
    <row r="125" spans="1:9" ht="12.75">
      <c r="A125" s="166" t="s">
        <v>176</v>
      </c>
      <c r="B125" s="166">
        <f>B85*10000/B62</f>
        <v>0.958394578688056</v>
      </c>
      <c r="C125" s="166">
        <f>C85*10000/C62</f>
        <v>0.5152049019525673</v>
      </c>
      <c r="D125" s="166">
        <f>D85*10000/D62</f>
        <v>1.0118105263766963</v>
      </c>
      <c r="E125" s="166">
        <f>E85*10000/E62</f>
        <v>0.555594723566817</v>
      </c>
      <c r="F125" s="166">
        <f>F85*10000/F62</f>
        <v>-1.0282457718893643</v>
      </c>
      <c r="G125" s="166">
        <f>AVERAGE(C125:E125)</f>
        <v>0.6942033839653602</v>
      </c>
      <c r="H125" s="166">
        <f>STDEV(C125:E125)</f>
        <v>0.2757962238782994</v>
      </c>
      <c r="I125" s="166">
        <f>(B125*B4+C125*C4+D125*D4+E125*E4+F125*F4)/SUM(B4:F4)</f>
        <v>0.5030413255038615</v>
      </c>
    </row>
    <row r="126" spans="1:9" ht="12.75">
      <c r="A126" s="166" t="s">
        <v>177</v>
      </c>
      <c r="B126" s="166">
        <f>B86*10000/B62</f>
        <v>0.624131480814305</v>
      </c>
      <c r="C126" s="166">
        <f>C86*10000/C62</f>
        <v>0.35266781384942875</v>
      </c>
      <c r="D126" s="166">
        <f>D86*10000/D62</f>
        <v>-0.28432330143828305</v>
      </c>
      <c r="E126" s="166">
        <f>E86*10000/E62</f>
        <v>0.5434811582204158</v>
      </c>
      <c r="F126" s="166">
        <f>F86*10000/F62</f>
        <v>1.68496004475385</v>
      </c>
      <c r="G126" s="166">
        <f>AVERAGE(C126:E126)</f>
        <v>0.20394189021052048</v>
      </c>
      <c r="H126" s="166">
        <f>STDEV(C126:E126)</f>
        <v>0.43347964903717495</v>
      </c>
      <c r="I126" s="166">
        <f>(B126*B4+C126*C4+D126*D4+E126*E4+F126*F4)/SUM(B4:F4)</f>
        <v>0.4620562842408443</v>
      </c>
    </row>
    <row r="127" spans="1:9" ht="12.75">
      <c r="A127" s="166" t="s">
        <v>178</v>
      </c>
      <c r="B127" s="166">
        <f>B87*10000/B62</f>
        <v>-0.02565563540292529</v>
      </c>
      <c r="C127" s="166">
        <f>C87*10000/C62</f>
        <v>-0.05569934646332007</v>
      </c>
      <c r="D127" s="166">
        <f>D87*10000/D62</f>
        <v>-0.2767071011059567</v>
      </c>
      <c r="E127" s="166">
        <f>E87*10000/E62</f>
        <v>-0.27530642860602184</v>
      </c>
      <c r="F127" s="166">
        <f>F87*10000/F62</f>
        <v>0.3180123150866475</v>
      </c>
      <c r="G127" s="166">
        <f>AVERAGE(C127:E127)</f>
        <v>-0.20257095872509953</v>
      </c>
      <c r="H127" s="166">
        <f>STDEV(C127:E127)</f>
        <v>0.12719647533302128</v>
      </c>
      <c r="I127" s="166">
        <f>(B127*B4+C127*C4+D127*D4+E127*E4+F127*F4)/SUM(B4:F4)</f>
        <v>-0.10757973147980877</v>
      </c>
    </row>
    <row r="128" spans="1:9" ht="12.75">
      <c r="A128" s="166" t="s">
        <v>179</v>
      </c>
      <c r="B128" s="166">
        <f>B88*10000/B62</f>
        <v>0.4248023034860442</v>
      </c>
      <c r="C128" s="166">
        <f>C88*10000/C62</f>
        <v>-0.0294630349813421</v>
      </c>
      <c r="D128" s="166">
        <f>D88*10000/D62</f>
        <v>-0.17847294229137187</v>
      </c>
      <c r="E128" s="166">
        <f>E88*10000/E62</f>
        <v>0.0787520629676434</v>
      </c>
      <c r="F128" s="166">
        <f>F88*10000/F62</f>
        <v>0.2667819604440263</v>
      </c>
      <c r="G128" s="166">
        <f>AVERAGE(C128:E128)</f>
        <v>-0.04306130476835685</v>
      </c>
      <c r="H128" s="166">
        <f>STDEV(C128:E128)</f>
        <v>0.1291505344105298</v>
      </c>
      <c r="I128" s="166">
        <f>(B128*B4+C128*C4+D128*D4+E128*E4+F128*F4)/SUM(B4:F4)</f>
        <v>0.065971768881821</v>
      </c>
    </row>
    <row r="129" spans="1:9" ht="12.75">
      <c r="A129" s="166" t="s">
        <v>180</v>
      </c>
      <c r="B129" s="166">
        <f>B89*10000/B62</f>
        <v>-0.00492466235991438</v>
      </c>
      <c r="C129" s="166">
        <f>C89*10000/C62</f>
        <v>0.04704202546934004</v>
      </c>
      <c r="D129" s="166">
        <f>D89*10000/D62</f>
        <v>0.014246570744662786</v>
      </c>
      <c r="E129" s="166">
        <f>E89*10000/E62</f>
        <v>0.028666033452722138</v>
      </c>
      <c r="F129" s="166">
        <f>F89*10000/F62</f>
        <v>-0.05902048581505051</v>
      </c>
      <c r="G129" s="166">
        <f>AVERAGE(C129:E129)</f>
        <v>0.029984876555574986</v>
      </c>
      <c r="H129" s="166">
        <f>STDEV(C129:E129)</f>
        <v>0.016437456402894155</v>
      </c>
      <c r="I129" s="166">
        <f>(B129*B4+C129*C4+D129*D4+E129*E4+F129*F4)/SUM(B4:F4)</f>
        <v>0.013073135542278898</v>
      </c>
    </row>
    <row r="130" spans="1:9" ht="12.75">
      <c r="A130" s="166" t="s">
        <v>181</v>
      </c>
      <c r="B130" s="166">
        <f>B90*10000/B62</f>
        <v>0.06902898351998975</v>
      </c>
      <c r="C130" s="166">
        <f>C90*10000/C62</f>
        <v>0.03597287328349783</v>
      </c>
      <c r="D130" s="166">
        <f>D90*10000/D62</f>
        <v>0.07868925356554482</v>
      </c>
      <c r="E130" s="166">
        <f>E90*10000/E62</f>
        <v>0.09100917805712647</v>
      </c>
      <c r="F130" s="166">
        <f>F90*10000/F62</f>
        <v>0.2772350178318931</v>
      </c>
      <c r="G130" s="166">
        <f>AVERAGE(C130:E130)</f>
        <v>0.06855710163538971</v>
      </c>
      <c r="H130" s="166">
        <f>STDEV(C130:E130)</f>
        <v>0.028883283882476806</v>
      </c>
      <c r="I130" s="166">
        <f>(B130*B4+C130*C4+D130*D4+E130*E4+F130*F4)/SUM(B4:F4)</f>
        <v>0.09641749062869724</v>
      </c>
    </row>
    <row r="131" spans="1:9" ht="12.75">
      <c r="A131" s="166" t="s">
        <v>182</v>
      </c>
      <c r="B131" s="166">
        <f>B91*10000/B62</f>
        <v>0.09397824342159943</v>
      </c>
      <c r="C131" s="166">
        <f>C91*10000/C62</f>
        <v>0.029734740416939326</v>
      </c>
      <c r="D131" s="166">
        <f>D91*10000/D62</f>
        <v>0.03308066737946918</v>
      </c>
      <c r="E131" s="166">
        <f>E91*10000/E62</f>
        <v>0.018393011382025093</v>
      </c>
      <c r="F131" s="166">
        <f>F91*10000/F62</f>
        <v>0.06380180364923067</v>
      </c>
      <c r="G131" s="166">
        <f>AVERAGE(C131:E131)</f>
        <v>0.027069473059477867</v>
      </c>
      <c r="H131" s="166">
        <f>STDEV(C131:E131)</f>
        <v>0.007698022294062021</v>
      </c>
      <c r="I131" s="166">
        <f>(B131*B4+C131*C4+D131*D4+E131*E4+F131*F4)/SUM(B4:F4)</f>
        <v>0.04165614641051964</v>
      </c>
    </row>
    <row r="132" spans="1:9" ht="12.75">
      <c r="A132" s="166" t="s">
        <v>183</v>
      </c>
      <c r="B132" s="166">
        <f>B92*10000/B62</f>
        <v>0.053016364710372334</v>
      </c>
      <c r="C132" s="166">
        <f>C92*10000/C62</f>
        <v>0.040325128762816805</v>
      </c>
      <c r="D132" s="166">
        <f>D92*10000/D62</f>
        <v>-0.03465740841670507</v>
      </c>
      <c r="E132" s="166">
        <f>E92*10000/E62</f>
        <v>0.06884114746592034</v>
      </c>
      <c r="F132" s="166">
        <f>F92*10000/F62</f>
        <v>0.01871821685624173</v>
      </c>
      <c r="G132" s="166">
        <f>AVERAGE(C132:E132)</f>
        <v>0.024836289270677357</v>
      </c>
      <c r="H132" s="166">
        <f>STDEV(C132:E132)</f>
        <v>0.05345947885134289</v>
      </c>
      <c r="I132" s="166">
        <f>(B132*B4+C132*C4+D132*D4+E132*E4+F132*F4)/SUM(B4:F4)</f>
        <v>0.028098871348529782</v>
      </c>
    </row>
    <row r="133" spans="1:9" ht="12.75">
      <c r="A133" s="166" t="s">
        <v>184</v>
      </c>
      <c r="B133" s="166">
        <f>B93*10000/B62</f>
        <v>-0.0763908034919872</v>
      </c>
      <c r="C133" s="166">
        <f>C93*10000/C62</f>
        <v>-0.07466276535973093</v>
      </c>
      <c r="D133" s="166">
        <f>D93*10000/D62</f>
        <v>-0.0916925736096089</v>
      </c>
      <c r="E133" s="166">
        <f>E93*10000/E62</f>
        <v>-0.0829577228333377</v>
      </c>
      <c r="F133" s="166">
        <f>F93*10000/F62</f>
        <v>-0.07510790812666283</v>
      </c>
      <c r="G133" s="166">
        <f>AVERAGE(C133:E133)</f>
        <v>-0.08310435393422584</v>
      </c>
      <c r="H133" s="166">
        <f>STDEV(C133:E133)</f>
        <v>0.00851585097137768</v>
      </c>
      <c r="I133" s="166">
        <f>(B133*B4+C133*C4+D133*D4+E133*E4+F133*F4)/SUM(B4:F4)</f>
        <v>-0.08106613384415555</v>
      </c>
    </row>
    <row r="134" spans="1:9" ht="12.75">
      <c r="A134" s="166" t="s">
        <v>185</v>
      </c>
      <c r="B134" s="166">
        <f>B94*10000/B62</f>
        <v>0.0038539676685040228</v>
      </c>
      <c r="C134" s="166">
        <f>C94*10000/C62</f>
        <v>0.012037234385919365</v>
      </c>
      <c r="D134" s="166">
        <f>D94*10000/D62</f>
        <v>0.00831668607681875</v>
      </c>
      <c r="E134" s="166">
        <f>E94*10000/E62</f>
        <v>0.009546565580213558</v>
      </c>
      <c r="F134" s="166">
        <f>F94*10000/F62</f>
        <v>-0.019943976904015188</v>
      </c>
      <c r="G134" s="166">
        <f>AVERAGE(C134:E134)</f>
        <v>0.009966828680983891</v>
      </c>
      <c r="H134" s="166">
        <f>STDEV(C134:E134)</f>
        <v>0.0018955436516972244</v>
      </c>
      <c r="I134" s="166">
        <f>(B134*B4+C134*C4+D134*D4+E134*E4+F134*F4)/SUM(B4:F4)</f>
        <v>0.005097225331952763</v>
      </c>
    </row>
    <row r="135" spans="1:9" ht="12.75">
      <c r="A135" s="166" t="s">
        <v>186</v>
      </c>
      <c r="B135" s="166">
        <f>B95*10000/B62</f>
        <v>-0.0024879518812689306</v>
      </c>
      <c r="C135" s="166">
        <f>C95*10000/C62</f>
        <v>0.003764507148046721</v>
      </c>
      <c r="D135" s="166">
        <f>D95*10000/D62</f>
        <v>0.005843153816984237</v>
      </c>
      <c r="E135" s="166">
        <f>E95*10000/E62</f>
        <v>0.005972119264035905</v>
      </c>
      <c r="F135" s="166">
        <f>F95*10000/F62</f>
        <v>-0.0014362180117654386</v>
      </c>
      <c r="G135" s="166">
        <f>AVERAGE(C135:E135)</f>
        <v>0.005193260076355621</v>
      </c>
      <c r="H135" s="166">
        <f>STDEV(C135:E135)</f>
        <v>0.001239015423328838</v>
      </c>
      <c r="I135" s="166">
        <f>(B135*B4+C135*C4+D135*D4+E135*E4+F135*F4)/SUM(B4:F4)</f>
        <v>0.0031972817002594183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2003-08-18T15:16:21Z</cp:lastPrinted>
  <dcterms:created xsi:type="dcterms:W3CDTF">1999-06-17T15:15:05Z</dcterms:created>
  <dcterms:modified xsi:type="dcterms:W3CDTF">2003-09-26T12:56:37Z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-908895155</vt:i4>
  </property>
  <property fmtid="{D5CDD505-2E9C-101B-9397-08002B2CF9AE}" pid="3" name="_EmailSubject">
    <vt:lpwstr>WFM results of aperture 73</vt:lpwstr>
  </property>
  <property fmtid="{D5CDD505-2E9C-101B-9397-08002B2CF9AE}" pid="4" name="_AuthorEmail">
    <vt:lpwstr>DURANTE@DAPNIA.CEA.FR</vt:lpwstr>
  </property>
  <property fmtid="{D5CDD505-2E9C-101B-9397-08002B2CF9AE}" pid="5" name="_AuthorEmailDisplayName">
    <vt:lpwstr>DURANTE Maria    DAPNIA</vt:lpwstr>
  </property>
  <property fmtid="{D5CDD505-2E9C-101B-9397-08002B2CF9AE}" pid="6" name="_ReviewingToolsShownOnce">
    <vt:lpwstr/>
  </property>
</Properties>
</file>