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75_pos5ap2" sheetId="2" r:id="rId2"/>
    <sheet name="HCMQAP075_pos2ap2" sheetId="3" r:id="rId3"/>
    <sheet name="HCMQAP075_pos3ap2" sheetId="4" r:id="rId4"/>
    <sheet name="HCMQAP075_pos4ap2" sheetId="5" r:id="rId5"/>
    <sheet name="HCMQAP075_pos1ap2" sheetId="6" r:id="rId6"/>
    <sheet name="Lmag_hcmqap" sheetId="7" r:id="rId7"/>
    <sheet name="Result_HCMQAP" sheetId="8" r:id="rId8"/>
  </sheets>
  <definedNames>
    <definedName name="_xlnm.Print_Area" localSheetId="5">'HCMQAP075_pos1ap2'!$A$1:$N$28</definedName>
    <definedName name="_xlnm.Print_Area" localSheetId="2">'HCMQAP075_pos2ap2'!$A$1:$N$28</definedName>
    <definedName name="_xlnm.Print_Area" localSheetId="3">'HCMQAP075_pos3ap2'!$A$1:$N$28</definedName>
    <definedName name="_xlnm.Print_Area" localSheetId="4">'HCMQAP075_pos4ap2'!$A$1:$N$28</definedName>
    <definedName name="_xlnm.Print_Area" localSheetId="1">'HCMQAP075_pos5ap2'!$A$1:$N$28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<sst xmlns="http://schemas.openxmlformats.org/spreadsheetml/2006/main" count="510" uniqueCount="194">
  <si>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</si>
  <si>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</si>
  <si>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</si>
  <si>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</si>
  <si>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</si>
  <si>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</si>
  <si>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</si>
  <si>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</si>
  <si>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</si>
  <si>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</si>
  <si>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</si>
  <si>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</si>
  <si>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</si>
  <si>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</si>
  <si>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</si>
  <si>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</si>
  <si>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</si>
  <si>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</si>
  <si>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</si>
  <si>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</si>
  <si>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</si>
  <si>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</si>
  <si>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</si>
  <si>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</si>
  <si>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</si>
  <si>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</si>
  <si>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</si>
  <si>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</si>
  <si>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</si>
  <si>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</si>
  <si>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</si>
  <si>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</si>
  <si>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</si>
  <si>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</si>
  <si>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</si>
  <si>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</si>
  <si>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</si>
  <si>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</si>
  <si>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</si>
  <si>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</si>
  <si>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</si>
  <si>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</si>
  <si>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</si>
  <si>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</si>
  <si>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</si>
  <si>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</si>
  <si>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</si>
  <si>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</si>
  <si>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</si>
  <si>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</si>
  <si>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</si>
  <si>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</si>
  <si>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</si>
  <si>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</si>
  <si>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</si>
  <si>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</si>
  <si>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</si>
  <si>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</si>
  <si>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</si>
  <si>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</si>
  <si>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</si>
  <si>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</si>
  <si>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</si>
  <si>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</si>
  <si>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</si>
  <si>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</si>
  <si>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</si>
  <si>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</si>
  <si>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HCMQAP075_pos5ap2</t>
  </si>
  <si>
    <t>20/08/2003</t>
  </si>
  <si>
    <t>±12.5</t>
  </si>
  <si>
    <t>THCMQAP075_pos5ap2.xls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</si>
  <si>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-3.767 mT)</t>
    </r>
  </si>
  <si>
    <t>HCMQAP075_pos2ap2</t>
  </si>
  <si>
    <t>THCMQAP075_pos2ap2.xls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</si>
  <si>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-3.77 mT)</t>
    </r>
  </si>
  <si>
    <t>HCMQAP075_pos3ap2</t>
  </si>
  <si>
    <t>THCMQAP075_pos3ap2.xls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</si>
  <si>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-3.768 mT)</t>
    </r>
  </si>
  <si>
    <t>HCMQAP075_pos4ap2</t>
  </si>
  <si>
    <t>THCMQAP075_pos4ap2.xls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</si>
  <si>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</si>
  <si>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t>HCMQAP075_pos1ap2</t>
  </si>
  <si>
    <t>THCMQAP075_pos1ap2.xls</t>
  </si>
  <si>
    <t>Sommaire : Valeurs intégrales calculées avec les fichiers: HCMQAP075_pos5ap2+HCMQAP075_pos2ap2+HCMQAP075_pos3ap2+HCMQAP075_pos4ap2+HCMQAP075_pos1ap2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</si>
  <si>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</si>
  <si>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</si>
  <si>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</si>
  <si>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</si>
  <si>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</si>
  <si>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</si>
  <si>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</si>
  <si>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</si>
  <si>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</si>
  <si>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</si>
  <si>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</si>
  <si>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</si>
  <si>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</si>
  <si>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</si>
  <si>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</si>
  <si>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</si>
  <si>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</si>
  <si>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</si>
  <si>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</si>
  <si>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</si>
  <si>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</si>
  <si>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</si>
  <si>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</si>
  <si>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</si>
  <si>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</si>
  <si>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</si>
  <si>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</si>
  <si>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</si>
  <si>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</si>
  <si>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</si>
  <si>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</si>
  <si>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</si>
  <si>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</si>
  <si>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</si>
  <si>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</si>
  <si>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</si>
  <si>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</si>
  <si>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</si>
  <si>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</si>
  <si>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</si>
  <si>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</si>
  <si>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</si>
  <si>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</si>
  <si>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=-3.768</t>
    </r>
  </si>
  <si>
    <t>Gradient (T/m)</t>
  </si>
  <si>
    <t xml:space="preserve"> Wed 20/08/2003       15:35:26</t>
  </si>
  <si>
    <t>LISSNER</t>
  </si>
  <si>
    <t>HCMQAP075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</si>
  <si>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</si>
  <si>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</si>
  <si>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</si>
  <si>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</si>
  <si>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</si>
  <si>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</si>
  <si>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</si>
  <si>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</si>
  <si>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</si>
  <si>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</si>
  <si>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b14*</t>
  </si>
  <si>
    <t>a1</t>
  </si>
  <si>
    <t>a2</t>
  </si>
  <si>
    <t>a4*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</si>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</sst>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6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4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0.7137654600000001</c:v>
                </c:pt>
                <c:pt idx="1">
                  <c:v>0.29299760699999994</c:v>
                </c:pt>
                <c:pt idx="2">
                  <c:v>-0.7044419399999999</c:v>
                </c:pt>
                <c:pt idx="3">
                  <c:v>0.215347503</c:v>
                </c:pt>
                <c:pt idx="4">
                  <c:v>-2.8354741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-1.8654675</c:v>
                </c:pt>
                <c:pt idx="1">
                  <c:v>-0.67707495</c:v>
                </c:pt>
                <c:pt idx="2">
                  <c:v>-2.3375462</c:v>
                </c:pt>
                <c:pt idx="3">
                  <c:v>-3.7554814999999997</c:v>
                </c:pt>
                <c:pt idx="4">
                  <c:v>4.2676798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2.4666472</c:v>
                </c:pt>
                <c:pt idx="1">
                  <c:v>2.1178248</c:v>
                </c:pt>
                <c:pt idx="2">
                  <c:v>1.228829</c:v>
                </c:pt>
                <c:pt idx="3">
                  <c:v>1.8712440000000001</c:v>
                </c:pt>
                <c:pt idx="4">
                  <c:v>13.340583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0.35613119</c:v>
                </c:pt>
                <c:pt idx="1">
                  <c:v>-0.28842198</c:v>
                </c:pt>
                <c:pt idx="2">
                  <c:v>0.172407</c:v>
                </c:pt>
                <c:pt idx="3">
                  <c:v>0.36377928</c:v>
                </c:pt>
                <c:pt idx="4">
                  <c:v>2.0891489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-0.31360516</c:v>
                </c:pt>
                <c:pt idx="1">
                  <c:v>0.19451526</c:v>
                </c:pt>
                <c:pt idx="2">
                  <c:v>0.15279792</c:v>
                </c:pt>
                <c:pt idx="3">
                  <c:v>0.19776938</c:v>
                </c:pt>
                <c:pt idx="4">
                  <c:v>-0.19898364000000002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0.048609779</c:v>
                </c:pt>
                <c:pt idx="1">
                  <c:v>0.08733822299999999</c:v>
                </c:pt>
                <c:pt idx="2">
                  <c:v>-0.008823769299999997</c:v>
                </c:pt>
                <c:pt idx="3">
                  <c:v>-0.0126442747</c:v>
                </c:pt>
                <c:pt idx="4">
                  <c:v>0.32222685999999995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-0.58125454</c:v>
                </c:pt>
                <c:pt idx="1">
                  <c:v>-1.0138236200000001</c:v>
                </c:pt>
                <c:pt idx="2">
                  <c:v>0.56441541</c:v>
                </c:pt>
                <c:pt idx="3">
                  <c:v>0.51453701</c:v>
                </c:pt>
                <c:pt idx="4">
                  <c:v>3.6541550999999997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-1.2868986999999998</c:v>
                </c:pt>
                <c:pt idx="1">
                  <c:v>-0.49304512</c:v>
                </c:pt>
                <c:pt idx="2">
                  <c:v>-1.04804904</c:v>
                </c:pt>
                <c:pt idx="3">
                  <c:v>-1.4421134</c:v>
                </c:pt>
                <c:pt idx="4">
                  <c:v>-7.458743699999999</c:v>
                </c:pt>
              </c:numCache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07987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2130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2130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2130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2130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2130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-4.06395381E-05</v>
      </c>
      <c r="L2" s="54">
        <v>9.918879146467125E-08</v>
      </c>
      <c r="M2" s="54">
        <v>9.635542E-05</v>
      </c>
      <c r="N2" s="55">
        <v>2.1896535814997354E-07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-3.0570085900000004E-05</v>
      </c>
      <c r="L3" s="54">
        <v>1.3055546077647637E-07</v>
      </c>
      <c r="M3" s="54">
        <v>9.65788E-06</v>
      </c>
      <c r="N3" s="55">
        <v>1.9004865448089123E-07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-0.0020876337070421</v>
      </c>
      <c r="L4" s="54">
        <v>-2.652416910105754E-05</v>
      </c>
      <c r="M4" s="54">
        <v>3.8597401197833495E-08</v>
      </c>
      <c r="N4" s="55">
        <v>6.3523457</v>
      </c>
    </row>
    <row r="5" spans="1:14" ht="15" customHeight="1" thickBot="1">
      <c r="A5" t="s">
        <v>18</v>
      </c>
      <c r="B5" s="58">
        <v>37853.64608796296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-2.8354741</v>
      </c>
      <c r="E8" s="77">
        <v>0.02646075873708026</v>
      </c>
      <c r="F8" s="77">
        <v>4.2676798</v>
      </c>
      <c r="G8" s="77">
        <v>0.02659558302923194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-2.0145774</v>
      </c>
      <c r="E9" s="79">
        <v>0.0398089422007247</v>
      </c>
      <c r="F9" s="79">
        <v>0.07946677999999999</v>
      </c>
      <c r="G9" s="79">
        <v>0.04533702751552645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3">
        <v>3.6541550999999997</v>
      </c>
      <c r="E10" s="79">
        <v>0.014910159527665126</v>
      </c>
      <c r="F10" s="84">
        <v>-7.458743699999999</v>
      </c>
      <c r="G10" s="79">
        <v>0.018141885697605453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85">
        <v>13.340583</v>
      </c>
      <c r="E11" s="77">
        <v>0.019172618131006073</v>
      </c>
      <c r="F11" s="86">
        <v>2.0891489</v>
      </c>
      <c r="G11" s="77">
        <v>0.00583716652494798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2">
        <v>-0.42859413000000013</v>
      </c>
      <c r="E12" s="79">
        <v>0.008342107498499538</v>
      </c>
      <c r="F12" s="79">
        <v>0.19768314999999997</v>
      </c>
      <c r="G12" s="79">
        <v>0.004499373660855551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28.100587</v>
      </c>
      <c r="D13" s="82">
        <v>-0.051179754</v>
      </c>
      <c r="E13" s="79">
        <v>0.003915851546661858</v>
      </c>
      <c r="F13" s="79">
        <v>-0.12051576</v>
      </c>
      <c r="G13" s="79">
        <v>0.009598657120724425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2">
        <v>0.21592965999999997</v>
      </c>
      <c r="E14" s="79">
        <v>0.0037558040410033146</v>
      </c>
      <c r="F14" s="79">
        <v>0.26298242</v>
      </c>
      <c r="G14" s="79">
        <v>0.0034025288666809884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-0.19898364000000002</v>
      </c>
      <c r="E15" s="77">
        <v>0.0022459839935736604</v>
      </c>
      <c r="F15" s="77">
        <v>0.32222685999999995</v>
      </c>
      <c r="G15" s="77">
        <v>0.006717543411204201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12.507</v>
      </c>
      <c r="D16" s="82">
        <v>0.02236351123</v>
      </c>
      <c r="E16" s="79">
        <v>0.0038615380134317517</v>
      </c>
      <c r="F16" s="79">
        <v>0.053914423</v>
      </c>
      <c r="G16" s="79">
        <v>0.004000918416625872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-0.10300000011920929</v>
      </c>
      <c r="D17" s="82">
        <v>0.025407843000000003</v>
      </c>
      <c r="E17" s="79">
        <v>0.0031593098536493343</v>
      </c>
      <c r="F17" s="79">
        <v>0.080469693</v>
      </c>
      <c r="G17" s="79">
        <v>0.003916023046727029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124.1050033569336</v>
      </c>
      <c r="D18" s="82">
        <v>-0.071455194</v>
      </c>
      <c r="E18" s="79">
        <v>0.0018964601654539819</v>
      </c>
      <c r="F18" s="79">
        <v>0.090711421</v>
      </c>
      <c r="G18" s="79">
        <v>0.004251338536339105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-0.33500000834465027</v>
      </c>
      <c r="D19" s="82">
        <v>-0.14313026</v>
      </c>
      <c r="E19" s="79">
        <v>0.0015460721575651596</v>
      </c>
      <c r="F19" s="79">
        <v>-0.022543446</v>
      </c>
      <c r="G19" s="79">
        <v>0.0016082831638408728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-0.34086059999999996</v>
      </c>
      <c r="D20" s="90">
        <v>0.0009711833700000001</v>
      </c>
      <c r="E20" s="91">
        <v>0.0017155374671964266</v>
      </c>
      <c r="F20" s="91">
        <v>0.0036584225799999996</v>
      </c>
      <c r="G20" s="91">
        <v>0.0016195698411811067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0.7802853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0.3639629060443915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-2.0878022</v>
      </c>
      <c r="I25" s="103" t="s">
        <v>65</v>
      </c>
      <c r="J25" s="104"/>
      <c r="K25" s="103"/>
      <c r="L25" s="106">
        <v>13.50317362349534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5.123768559088012</v>
      </c>
      <c r="I26" s="108" t="s">
        <v>67</v>
      </c>
      <c r="J26" s="109"/>
      <c r="K26" s="108"/>
      <c r="L26" s="111">
        <v>0.37871445482462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0.00013395255</v>
      </c>
      <c r="L2" s="54">
        <v>3.9555972982670654E-08</v>
      </c>
      <c r="M2" s="54">
        <v>0.0001699061</v>
      </c>
      <c r="N2" s="55">
        <v>1.5803226886223895E-07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-2.9067250000000002E-05</v>
      </c>
      <c r="L3" s="54">
        <v>1.4816017346128985E-07</v>
      </c>
      <c r="M3" s="54">
        <v>1.1789400000000001E-05</v>
      </c>
      <c r="N3" s="55">
        <v>1.5570849687801175E-07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-0.003766722554645317</v>
      </c>
      <c r="L4" s="54">
        <v>-4.401427652868712E-05</v>
      </c>
      <c r="M4" s="54">
        <v>3.9109616046206846E-08</v>
      </c>
      <c r="N4" s="55">
        <v>5.8422505000000005</v>
      </c>
    </row>
    <row r="5" spans="1:14" ht="15" customHeight="1" thickBot="1">
      <c r="A5" t="s">
        <v>18</v>
      </c>
      <c r="B5" s="58">
        <v>37853.63243055555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0.29299760699999994</v>
      </c>
      <c r="E8" s="77">
        <v>0.012984144122149712</v>
      </c>
      <c r="F8" s="77">
        <v>-0.67707495</v>
      </c>
      <c r="G8" s="77">
        <v>0.026371727312846354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0.46974635859999997</v>
      </c>
      <c r="E9" s="79">
        <v>0.027862783139073408</v>
      </c>
      <c r="F9" s="79">
        <v>2.5712491</v>
      </c>
      <c r="G9" s="79">
        <v>0.023002692736720013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-1.0138236200000001</v>
      </c>
      <c r="E10" s="79">
        <v>0.0029133806437473776</v>
      </c>
      <c r="F10" s="79">
        <v>-0.49304512</v>
      </c>
      <c r="G10" s="79">
        <v>0.0031632010697366635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2.1178248</v>
      </c>
      <c r="E11" s="77">
        <v>0.011570105784241586</v>
      </c>
      <c r="F11" s="77">
        <v>-0.28842198</v>
      </c>
      <c r="G11" s="77">
        <v>0.0032864994198349247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2">
        <v>0.050173767999999994</v>
      </c>
      <c r="E12" s="79">
        <v>0.0016340417010104358</v>
      </c>
      <c r="F12" s="79">
        <v>-0.2155082</v>
      </c>
      <c r="G12" s="79">
        <v>0.004006514286632122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28.143311</v>
      </c>
      <c r="D13" s="82">
        <v>0.14332792335</v>
      </c>
      <c r="E13" s="79">
        <v>0.002947744900952378</v>
      </c>
      <c r="F13" s="79">
        <v>-0.08470866600000002</v>
      </c>
      <c r="G13" s="79">
        <v>0.003999470618818423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2">
        <v>0.022852380999999998</v>
      </c>
      <c r="E14" s="79">
        <v>0.0010071720522304118</v>
      </c>
      <c r="F14" s="79">
        <v>-0.153357978</v>
      </c>
      <c r="G14" s="79">
        <v>0.00048158690239711834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0.19451526</v>
      </c>
      <c r="E15" s="77">
        <v>0.0019157222876518398</v>
      </c>
      <c r="F15" s="77">
        <v>0.08733822299999999</v>
      </c>
      <c r="G15" s="77">
        <v>0.002359947002965889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12.506899999999998</v>
      </c>
      <c r="D16" s="82">
        <v>-0.111504606</v>
      </c>
      <c r="E16" s="79">
        <v>0.0018314211747637217</v>
      </c>
      <c r="F16" s="79">
        <v>0.078336001</v>
      </c>
      <c r="G16" s="79">
        <v>0.002581312776546914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0.3179999887943268</v>
      </c>
      <c r="D17" s="82">
        <v>0.023771390000000003</v>
      </c>
      <c r="E17" s="79">
        <v>0.0021499605719593694</v>
      </c>
      <c r="F17" s="84">
        <v>-0.21630725</v>
      </c>
      <c r="G17" s="79">
        <v>0.0009727247478082259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13.732999801635742</v>
      </c>
      <c r="D18" s="82">
        <v>0.13602082999999998</v>
      </c>
      <c r="E18" s="79">
        <v>0.0011816760992788876</v>
      </c>
      <c r="F18" s="84">
        <v>0.15118479</v>
      </c>
      <c r="G18" s="79">
        <v>0.0010760856612751343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0.03999999910593033</v>
      </c>
      <c r="D19" s="83">
        <v>-0.19649144000000002</v>
      </c>
      <c r="E19" s="79">
        <v>0.001101208788283713</v>
      </c>
      <c r="F19" s="79">
        <v>0.004889460369999999</v>
      </c>
      <c r="G19" s="79">
        <v>0.0015329014498887074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0.5955039999999998</v>
      </c>
      <c r="D20" s="90">
        <v>-0.0031176012000000003</v>
      </c>
      <c r="E20" s="91">
        <v>0.0016659464924150956</v>
      </c>
      <c r="F20" s="91">
        <v>0.00689335766</v>
      </c>
      <c r="G20" s="91">
        <v>0.0012908668409594985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0.7737763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0.33473657924808775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-3.7669797</v>
      </c>
      <c r="I25" s="103" t="s">
        <v>65</v>
      </c>
      <c r="J25" s="104"/>
      <c r="K25" s="103"/>
      <c r="L25" s="106">
        <v>2.13737435234031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0.737752048879045</v>
      </c>
      <c r="I26" s="108" t="s">
        <v>67</v>
      </c>
      <c r="J26" s="109"/>
      <c r="K26" s="108"/>
      <c r="L26" s="111">
        <v>0.21322324350235675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1.3648592E-05</v>
      </c>
      <c r="L2" s="54">
        <v>6.918770753724791E-07</v>
      </c>
      <c r="M2" s="54">
        <v>0.00015092064999999998</v>
      </c>
      <c r="N2" s="55">
        <v>5.42543663677524E-07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-2.7598172E-05</v>
      </c>
      <c r="L3" s="54">
        <v>2.0542693159788047E-07</v>
      </c>
      <c r="M3" s="54">
        <v>9.910110000000003E-06</v>
      </c>
      <c r="N3" s="55">
        <v>1.2172555771075694E-07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-0.0037693462784856814</v>
      </c>
      <c r="L4" s="54">
        <v>-4.8188944527060636E-05</v>
      </c>
      <c r="M4" s="54">
        <v>5.609421274040403E-08</v>
      </c>
      <c r="N4" s="55">
        <v>6.3918669</v>
      </c>
    </row>
    <row r="5" spans="1:14" ht="15" customHeight="1" thickBot="1">
      <c r="A5" t="s">
        <v>18</v>
      </c>
      <c r="B5" s="58">
        <v>37853.636967592596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-0.7044419399999999</v>
      </c>
      <c r="E8" s="77">
        <v>0.0071972555352323615</v>
      </c>
      <c r="F8" s="77">
        <v>-2.3375462</v>
      </c>
      <c r="G8" s="77">
        <v>0.01580884167673713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0.4710538628</v>
      </c>
      <c r="E9" s="79">
        <v>0.020230093617389967</v>
      </c>
      <c r="F9" s="79">
        <v>1.8604903999999998</v>
      </c>
      <c r="G9" s="79">
        <v>0.013094165939134325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0.56441541</v>
      </c>
      <c r="E10" s="79">
        <v>0.00824922546566987</v>
      </c>
      <c r="F10" s="79">
        <v>-1.04804904</v>
      </c>
      <c r="G10" s="79">
        <v>0.008482266983964336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85">
        <v>1.228829</v>
      </c>
      <c r="E11" s="77">
        <v>0.008181839230894336</v>
      </c>
      <c r="F11" s="77">
        <v>0.172407</v>
      </c>
      <c r="G11" s="77">
        <v>0.0064517204646432815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2">
        <v>0.091514276</v>
      </c>
      <c r="E12" s="79">
        <v>0.004380228917313966</v>
      </c>
      <c r="F12" s="79">
        <v>-0.37225933</v>
      </c>
      <c r="G12" s="79">
        <v>0.004294365135105015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28.097535</v>
      </c>
      <c r="D13" s="82">
        <v>-0.033409333</v>
      </c>
      <c r="E13" s="79">
        <v>0.005288098520815984</v>
      </c>
      <c r="F13" s="79">
        <v>-0.32392339</v>
      </c>
      <c r="G13" s="79">
        <v>0.0031834240889928016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2">
        <v>0.039924720999999996</v>
      </c>
      <c r="E14" s="79">
        <v>0.00039746327258549316</v>
      </c>
      <c r="F14" s="79">
        <v>-0.077134459</v>
      </c>
      <c r="G14" s="79">
        <v>0.003415374567735853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0.15279792</v>
      </c>
      <c r="E15" s="77">
        <v>0.0020323009259457046</v>
      </c>
      <c r="F15" s="77">
        <v>-0.008823769299999997</v>
      </c>
      <c r="G15" s="77">
        <v>0.002838892612090984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12.506899999999998</v>
      </c>
      <c r="D16" s="82">
        <v>-0.04272739600000001</v>
      </c>
      <c r="E16" s="79">
        <v>0.003066253320088431</v>
      </c>
      <c r="F16" s="79">
        <v>-0.036974099</v>
      </c>
      <c r="G16" s="79">
        <v>0.0013737506040084563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-0.041999999433755875</v>
      </c>
      <c r="D17" s="82">
        <v>0.08360712799999999</v>
      </c>
      <c r="E17" s="79">
        <v>0.0007154462645213027</v>
      </c>
      <c r="F17" s="79">
        <v>-0.075913265</v>
      </c>
      <c r="G17" s="79">
        <v>0.0017783083706464995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168.86399841308594</v>
      </c>
      <c r="D18" s="82">
        <v>0.016293347120000003</v>
      </c>
      <c r="E18" s="79">
        <v>0.0015236412836977906</v>
      </c>
      <c r="F18" s="79">
        <v>0.13752389</v>
      </c>
      <c r="G18" s="79">
        <v>0.0011863091554881785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-0.3499999940395355</v>
      </c>
      <c r="D19" s="83">
        <v>-0.19557533</v>
      </c>
      <c r="E19" s="79">
        <v>0.0005539719429729289</v>
      </c>
      <c r="F19" s="79">
        <v>-0.0013510279299999998</v>
      </c>
      <c r="G19" s="79">
        <v>0.0008860952792270704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0.0528489</v>
      </c>
      <c r="D20" s="90">
        <v>-0.00350996431</v>
      </c>
      <c r="E20" s="91">
        <v>0.0009386658813492105</v>
      </c>
      <c r="F20" s="91">
        <v>0.0033656996999999996</v>
      </c>
      <c r="G20" s="91">
        <v>0.0015600992129636059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0.6813304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0.36622730591834074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-3.7696543</v>
      </c>
      <c r="I25" s="103" t="s">
        <v>65</v>
      </c>
      <c r="J25" s="104"/>
      <c r="K25" s="103"/>
      <c r="L25" s="106">
        <v>1.240864571534702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2.4413849929835734</v>
      </c>
      <c r="I26" s="108" t="s">
        <v>67</v>
      </c>
      <c r="J26" s="109"/>
      <c r="K26" s="108"/>
      <c r="L26" s="111">
        <v>0.15305248531463325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5.323626899999999E-05</v>
      </c>
      <c r="L2" s="54">
        <v>5.197816590397615E-07</v>
      </c>
      <c r="M2" s="54">
        <v>0.00015424472</v>
      </c>
      <c r="N2" s="55">
        <v>4.803481285531678E-07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-2.8390847E-05</v>
      </c>
      <c r="L3" s="54">
        <v>1.1115011059784057E-07</v>
      </c>
      <c r="M3" s="54">
        <v>9.468779999999998E-06</v>
      </c>
      <c r="N3" s="55">
        <v>1.5127854639701203E-07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-0.0037673108225352173</v>
      </c>
      <c r="L4" s="54">
        <v>-4.114498960110897E-05</v>
      </c>
      <c r="M4" s="54">
        <v>7.668703433266532E-08</v>
      </c>
      <c r="N4" s="55">
        <v>5.4605733</v>
      </c>
    </row>
    <row r="5" spans="1:14" ht="15" customHeight="1" thickBot="1">
      <c r="A5" t="s">
        <v>18</v>
      </c>
      <c r="B5" s="58">
        <v>37853.641550925924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0.215347503</v>
      </c>
      <c r="E8" s="77">
        <v>0.01538793584118458</v>
      </c>
      <c r="F8" s="77">
        <v>-3.7554814999999997</v>
      </c>
      <c r="G8" s="77">
        <v>0.010840995673989082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-0.4312810633</v>
      </c>
      <c r="E9" s="79">
        <v>0.01938577896142083</v>
      </c>
      <c r="F9" s="84">
        <v>3.3047606000000003</v>
      </c>
      <c r="G9" s="79">
        <v>0.023210079671107258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0.51453701</v>
      </c>
      <c r="E10" s="79">
        <v>0.005609374030798276</v>
      </c>
      <c r="F10" s="79">
        <v>-1.4421134</v>
      </c>
      <c r="G10" s="79">
        <v>0.0014324961918111292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1.8712440000000001</v>
      </c>
      <c r="E11" s="77">
        <v>0.004808328524457583</v>
      </c>
      <c r="F11" s="77">
        <v>0.36377928</v>
      </c>
      <c r="G11" s="77">
        <v>0.005076720461541492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2">
        <v>0.40672574</v>
      </c>
      <c r="E12" s="79">
        <v>0.002960153720568202</v>
      </c>
      <c r="F12" s="79">
        <v>-0.050499613</v>
      </c>
      <c r="G12" s="79">
        <v>0.0038751543325454027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28.085328</v>
      </c>
      <c r="D13" s="82">
        <v>-0.284763</v>
      </c>
      <c r="E13" s="79">
        <v>0.00351516950331408</v>
      </c>
      <c r="F13" s="79">
        <v>-0.223691166</v>
      </c>
      <c r="G13" s="79">
        <v>0.0033994617803897067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2">
        <v>0.09500200300000002</v>
      </c>
      <c r="E14" s="79">
        <v>0.0007957201437967928</v>
      </c>
      <c r="F14" s="79">
        <v>-0.02867538</v>
      </c>
      <c r="G14" s="79">
        <v>0.0039039942273817454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0.19776938</v>
      </c>
      <c r="E15" s="77">
        <v>0.0035705366600283094</v>
      </c>
      <c r="F15" s="77">
        <v>-0.0126442747</v>
      </c>
      <c r="G15" s="77">
        <v>0.002600002524728377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12.506899999999998</v>
      </c>
      <c r="D16" s="82">
        <v>-0.09194356299999999</v>
      </c>
      <c r="E16" s="79">
        <v>0.0018736469372339132</v>
      </c>
      <c r="F16" s="79">
        <v>0.014905750499999999</v>
      </c>
      <c r="G16" s="79">
        <v>0.001943601201005747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0.29100000858306885</v>
      </c>
      <c r="D17" s="82">
        <v>0.082812791</v>
      </c>
      <c r="E17" s="79">
        <v>0.0017393750555342253</v>
      </c>
      <c r="F17" s="79">
        <v>-0.10165920700000002</v>
      </c>
      <c r="G17" s="79">
        <v>0.002048740906999441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25.430999755859375</v>
      </c>
      <c r="D18" s="82">
        <v>0.055030829</v>
      </c>
      <c r="E18" s="79">
        <v>0.0010439577359903146</v>
      </c>
      <c r="F18" s="79">
        <v>0.1401879</v>
      </c>
      <c r="G18" s="79">
        <v>0.0011802079863288374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-0.07699999958276749</v>
      </c>
      <c r="D19" s="83">
        <v>-0.1936553</v>
      </c>
      <c r="E19" s="79">
        <v>0.0015589226690265775</v>
      </c>
      <c r="F19" s="79">
        <v>-0.00029117512900000004</v>
      </c>
      <c r="G19" s="79">
        <v>0.0011245898394571026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0.2325927</v>
      </c>
      <c r="D20" s="90">
        <v>-0.0047323027399999995</v>
      </c>
      <c r="E20" s="91">
        <v>0.0011053326794567388</v>
      </c>
      <c r="F20" s="91">
        <v>0.0005134244000000003</v>
      </c>
      <c r="G20" s="91">
        <v>0.0011806457683686243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0.6985598999999999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0.312868068080176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-3.7675355</v>
      </c>
      <c r="I25" s="103" t="s">
        <v>65</v>
      </c>
      <c r="J25" s="104"/>
      <c r="K25" s="103"/>
      <c r="L25" s="106">
        <v>1.9062763367605755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3.7616506807371923</v>
      </c>
      <c r="I26" s="108" t="s">
        <v>67</v>
      </c>
      <c r="J26" s="109"/>
      <c r="K26" s="108"/>
      <c r="L26" s="111">
        <v>0.19817317010199303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B8" sqref="B8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1.7960846E-05</v>
      </c>
      <c r="L2" s="54">
        <v>1.6366859776405533E-07</v>
      </c>
      <c r="M2" s="54">
        <v>0.00010066924499999999</v>
      </c>
      <c r="N2" s="55">
        <v>1.3123326037961662E-07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-3.1808904000000004E-05</v>
      </c>
      <c r="L3" s="54">
        <v>1.180632792774087E-07</v>
      </c>
      <c r="M3" s="54">
        <v>1.3346295E-05</v>
      </c>
      <c r="N3" s="55">
        <v>2.103886257143723E-07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-0.002260170179400628</v>
      </c>
      <c r="L4" s="54">
        <v>-1.6608359388328458E-05</v>
      </c>
      <c r="M4" s="54">
        <v>2.461419670023653E-08</v>
      </c>
      <c r="N4" s="55">
        <v>3.674073</v>
      </c>
    </row>
    <row r="5" spans="1:14" ht="15" customHeight="1" thickBot="1">
      <c r="A5" t="s">
        <v>18</v>
      </c>
      <c r="B5" s="58">
        <v>37853.62788194444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2130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0.7137654600000001</v>
      </c>
      <c r="E8" s="77">
        <v>0.016879020462260155</v>
      </c>
      <c r="F8" s="77">
        <v>-1.8654675</v>
      </c>
      <c r="G8" s="77">
        <v>0.03555399537745171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0.218488134</v>
      </c>
      <c r="E9" s="79">
        <v>0.053074546340016425</v>
      </c>
      <c r="F9" s="79">
        <v>1.5433233000000002</v>
      </c>
      <c r="G9" s="79">
        <v>0.023592014304833486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-0.58125454</v>
      </c>
      <c r="E10" s="79">
        <v>0.012318116348710117</v>
      </c>
      <c r="F10" s="79">
        <v>-1.2868986999999998</v>
      </c>
      <c r="G10" s="79">
        <v>0.008928579352841609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2.4666472</v>
      </c>
      <c r="E11" s="77">
        <v>0.015104463454858169</v>
      </c>
      <c r="F11" s="77">
        <v>0.35613119</v>
      </c>
      <c r="G11" s="77">
        <v>0.01184462318798738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7">
        <v>0.7499</v>
      </c>
      <c r="D12" s="82">
        <v>0.12124906099999999</v>
      </c>
      <c r="E12" s="79">
        <v>0.010978517414919356</v>
      </c>
      <c r="F12" s="79">
        <v>0.144248287</v>
      </c>
      <c r="G12" s="79">
        <v>0.012209763288471351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28.146363</v>
      </c>
      <c r="D13" s="82">
        <v>-0.14246772280000003</v>
      </c>
      <c r="E13" s="79">
        <v>0.0021315048158032043</v>
      </c>
      <c r="F13" s="79">
        <v>0.35313955999999996</v>
      </c>
      <c r="G13" s="79">
        <v>0.010143078104373641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8">
        <v>12.5</v>
      </c>
      <c r="D14" s="82">
        <v>0.022007521699999998</v>
      </c>
      <c r="E14" s="79">
        <v>0.004986047244787078</v>
      </c>
      <c r="F14" s="79">
        <v>0.08231369799999999</v>
      </c>
      <c r="G14" s="79">
        <v>0.004854581228589852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-0.31360516</v>
      </c>
      <c r="E15" s="77">
        <v>0.001716266138856371</v>
      </c>
      <c r="F15" s="77">
        <v>0.048609779</v>
      </c>
      <c r="G15" s="77">
        <v>0.003517139107108847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12.506899999999998</v>
      </c>
      <c r="D16" s="82">
        <v>0.0022275004879999997</v>
      </c>
      <c r="E16" s="79">
        <v>0.002222905577467219</v>
      </c>
      <c r="F16" s="79">
        <v>-0.059590246</v>
      </c>
      <c r="G16" s="79">
        <v>0.0018431051048851377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-0.25600001215934753</v>
      </c>
      <c r="D17" s="82">
        <v>0.107039726</v>
      </c>
      <c r="E17" s="79">
        <v>0.002444106355861739</v>
      </c>
      <c r="F17" s="79">
        <v>-0.014542503000000002</v>
      </c>
      <c r="G17" s="79">
        <v>0.0013734252892734725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113.93199920654297</v>
      </c>
      <c r="D18" s="82">
        <v>0.0364274</v>
      </c>
      <c r="E18" s="79">
        <v>0.0019847772911664834</v>
      </c>
      <c r="F18" s="116">
        <v>0.15073856000000002</v>
      </c>
      <c r="G18" s="79">
        <v>0.0014328042767227998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-0.3880000114440918</v>
      </c>
      <c r="D19" s="83">
        <v>-0.20031508999999997</v>
      </c>
      <c r="E19" s="79">
        <v>0.0015447798702132145</v>
      </c>
      <c r="F19" s="79">
        <v>-0.0030672015999999996</v>
      </c>
      <c r="G19" s="79">
        <v>0.0020776745302104323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9">
        <v>0.1295356</v>
      </c>
      <c r="D20" s="90">
        <v>0.0023147760999999998</v>
      </c>
      <c r="E20" s="91">
        <v>0.0013590041938145523</v>
      </c>
      <c r="F20" s="91">
        <v>-0.0061198899</v>
      </c>
      <c r="G20" s="91">
        <v>0.0010059995213748064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0.7581351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0.21050905433236036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-2.2602311999999998</v>
      </c>
      <c r="I25" s="103" t="s">
        <v>65</v>
      </c>
      <c r="J25" s="104"/>
      <c r="K25" s="103"/>
      <c r="L25" s="106">
        <v>2.4922234718737917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1.9973557833909465</v>
      </c>
      <c r="I26" s="108" t="s">
        <v>67</v>
      </c>
      <c r="J26" s="109"/>
      <c r="K26" s="108"/>
      <c r="L26" s="111">
        <v>0.317350133122793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HCMQAP075_pos1ap2res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121</v>
      </c>
      <c r="B1" s="133" t="s">
        <v>82</v>
      </c>
      <c r="C1" s="123" t="s">
        <v>73</v>
      </c>
      <c r="D1" s="123" t="s">
        <v>76</v>
      </c>
      <c r="E1" s="123" t="s">
        <v>79</v>
      </c>
      <c r="F1" s="130" t="s">
        <v>68</v>
      </c>
      <c r="G1" s="166" t="s">
        <v>122</v>
      </c>
    </row>
    <row r="2" spans="1:7" ht="13.5" thickBot="1">
      <c r="A2" s="143" t="s">
        <v>91</v>
      </c>
      <c r="B2" s="134">
        <v>-2.2602311999999998</v>
      </c>
      <c r="C2" s="125">
        <v>-3.7669797</v>
      </c>
      <c r="D2" s="125">
        <v>-3.7696543</v>
      </c>
      <c r="E2" s="125">
        <v>-3.7675355</v>
      </c>
      <c r="F2" s="131">
        <v>-2.0878022</v>
      </c>
      <c r="G2" s="167">
        <v>3.1150241390249853</v>
      </c>
    </row>
    <row r="3" spans="1:7" ht="14.25" thickBot="1" thickTop="1">
      <c r="A3" s="151" t="s">
        <v>90</v>
      </c>
      <c r="B3" s="152" t="s">
        <v>85</v>
      </c>
      <c r="C3" s="153" t="s">
        <v>86</v>
      </c>
      <c r="D3" s="153" t="s">
        <v>87</v>
      </c>
      <c r="E3" s="153" t="s">
        <v>88</v>
      </c>
      <c r="F3" s="154" t="s">
        <v>89</v>
      </c>
      <c r="G3" s="161" t="s">
        <v>123</v>
      </c>
    </row>
    <row r="4" spans="1:7" ht="12.75">
      <c r="A4" s="148" t="s">
        <v>92</v>
      </c>
      <c r="B4" s="149">
        <v>0.7137654600000001</v>
      </c>
      <c r="C4" s="150">
        <v>0.29299760699999994</v>
      </c>
      <c r="D4" s="150">
        <v>-0.7044419399999999</v>
      </c>
      <c r="E4" s="150">
        <v>0.215347503</v>
      </c>
      <c r="F4" s="155">
        <v>-2.8354741</v>
      </c>
      <c r="G4" s="162">
        <v>-0.3224524574725246</v>
      </c>
    </row>
    <row r="5" spans="1:7" ht="12.75">
      <c r="A5" s="143" t="s">
        <v>94</v>
      </c>
      <c r="B5" s="136">
        <v>0.218488134</v>
      </c>
      <c r="C5" s="119">
        <v>0.46974635859999997</v>
      </c>
      <c r="D5" s="119">
        <v>0.4710538628</v>
      </c>
      <c r="E5" s="119">
        <v>-0.4312810633</v>
      </c>
      <c r="F5" s="156">
        <v>-2.0145774</v>
      </c>
      <c r="G5" s="163">
        <v>-0.11447825855384527</v>
      </c>
    </row>
    <row r="6" spans="1:7" ht="12.75">
      <c r="A6" s="143" t="s">
        <v>96</v>
      </c>
      <c r="B6" s="136">
        <v>-0.58125454</v>
      </c>
      <c r="C6" s="119">
        <v>-1.0138236200000001</v>
      </c>
      <c r="D6" s="119">
        <v>0.56441541</v>
      </c>
      <c r="E6" s="119">
        <v>0.51453701</v>
      </c>
      <c r="F6" s="157">
        <v>3.6541550999999997</v>
      </c>
      <c r="G6" s="163">
        <v>0.41927119684109615</v>
      </c>
    </row>
    <row r="7" spans="1:7" ht="12.75">
      <c r="A7" s="143" t="s">
        <v>98</v>
      </c>
      <c r="B7" s="135">
        <v>2.4666472</v>
      </c>
      <c r="C7" s="118">
        <v>2.1178248</v>
      </c>
      <c r="D7" s="121">
        <v>1.228829</v>
      </c>
      <c r="E7" s="118">
        <v>1.8712440000000001</v>
      </c>
      <c r="F7" s="158">
        <v>13.340583</v>
      </c>
      <c r="G7" s="163">
        <v>3.3917100097295894</v>
      </c>
    </row>
    <row r="8" spans="1:7" ht="12.75">
      <c r="A8" s="143" t="s">
        <v>100</v>
      </c>
      <c r="B8" s="136">
        <v>0.12124906099999999</v>
      </c>
      <c r="C8" s="119">
        <v>0.050173767999999994</v>
      </c>
      <c r="D8" s="119">
        <v>0.091514276</v>
      </c>
      <c r="E8" s="119">
        <v>0.40672574</v>
      </c>
      <c r="F8" s="156">
        <v>-0.42859413000000013</v>
      </c>
      <c r="G8" s="163">
        <v>0.0923554062092361</v>
      </c>
    </row>
    <row r="9" spans="1:7" ht="12.75">
      <c r="A9" s="143" t="s">
        <v>102</v>
      </c>
      <c r="B9" s="136">
        <v>-0.14246772280000003</v>
      </c>
      <c r="C9" s="119">
        <v>0.14332792335</v>
      </c>
      <c r="D9" s="119">
        <v>-0.033409333</v>
      </c>
      <c r="E9" s="119">
        <v>-0.284763</v>
      </c>
      <c r="F9" s="156">
        <v>-0.051179754</v>
      </c>
      <c r="G9" s="163">
        <v>-0.06949476515856091</v>
      </c>
    </row>
    <row r="10" spans="1:7" ht="12.75">
      <c r="A10" s="143" t="s">
        <v>104</v>
      </c>
      <c r="B10" s="136">
        <v>0.022007521699999998</v>
      </c>
      <c r="C10" s="119">
        <v>0.022852380999999998</v>
      </c>
      <c r="D10" s="119">
        <v>0.039924720999999996</v>
      </c>
      <c r="E10" s="119">
        <v>0.09500200300000002</v>
      </c>
      <c r="F10" s="156">
        <v>0.21592965999999997</v>
      </c>
      <c r="G10" s="163">
        <v>0.06996272561515872</v>
      </c>
    </row>
    <row r="11" spans="1:7" ht="12.75">
      <c r="A11" s="143" t="s">
        <v>106</v>
      </c>
      <c r="B11" s="135">
        <v>-0.31360516</v>
      </c>
      <c r="C11" s="118">
        <v>0.19451526</v>
      </c>
      <c r="D11" s="118">
        <v>0.15279792</v>
      </c>
      <c r="E11" s="118">
        <v>0.19776938</v>
      </c>
      <c r="F11" s="159">
        <v>-0.19898364000000002</v>
      </c>
      <c r="G11" s="163">
        <v>0.05938939645442931</v>
      </c>
    </row>
    <row r="12" spans="1:7" ht="12.75">
      <c r="A12" s="143" t="s">
        <v>108</v>
      </c>
      <c r="B12" s="136">
        <v>0.0022275004879999997</v>
      </c>
      <c r="C12" s="119">
        <v>-0.111504606</v>
      </c>
      <c r="D12" s="119">
        <v>-0.04272739600000001</v>
      </c>
      <c r="E12" s="119">
        <v>-0.09194356299999999</v>
      </c>
      <c r="F12" s="156">
        <v>0.02236351123</v>
      </c>
      <c r="G12" s="163">
        <v>-0.05595241056260369</v>
      </c>
    </row>
    <row r="13" spans="1:7" ht="12.75">
      <c r="A13" s="143" t="s">
        <v>110</v>
      </c>
      <c r="B13" s="136">
        <v>0.107039726</v>
      </c>
      <c r="C13" s="119">
        <v>0.023771390000000003</v>
      </c>
      <c r="D13" s="119">
        <v>0.08360712799999999</v>
      </c>
      <c r="E13" s="119">
        <v>0.082812791</v>
      </c>
      <c r="F13" s="156">
        <v>0.025407843000000003</v>
      </c>
      <c r="G13" s="163">
        <v>0.06463611086657454</v>
      </c>
    </row>
    <row r="14" spans="1:7" ht="12.75">
      <c r="A14" s="143" t="s">
        <v>112</v>
      </c>
      <c r="B14" s="136">
        <v>0.0364274</v>
      </c>
      <c r="C14" s="119">
        <v>0.13602082999999998</v>
      </c>
      <c r="D14" s="119">
        <v>0.016293347120000003</v>
      </c>
      <c r="E14" s="119">
        <v>0.055030829</v>
      </c>
      <c r="F14" s="156">
        <v>-0.071455194</v>
      </c>
      <c r="G14" s="163">
        <v>0.04563502227866177</v>
      </c>
    </row>
    <row r="15" spans="1:7" ht="12.75">
      <c r="A15" s="143" t="s">
        <v>114</v>
      </c>
      <c r="B15" s="137">
        <v>-0.20031508999999997</v>
      </c>
      <c r="C15" s="120">
        <v>-0.19649144000000002</v>
      </c>
      <c r="D15" s="120">
        <v>-0.19557533</v>
      </c>
      <c r="E15" s="120">
        <v>-0.1936553</v>
      </c>
      <c r="F15" s="156">
        <v>-0.14313026</v>
      </c>
      <c r="G15" s="164">
        <v>-0.1890225915029965</v>
      </c>
    </row>
    <row r="16" spans="1:7" ht="12.75">
      <c r="A16" s="143" t="s">
        <v>116</v>
      </c>
      <c r="B16" s="136">
        <v>0.0023147760999999998</v>
      </c>
      <c r="C16" s="119">
        <v>-0.0031176012000000003</v>
      </c>
      <c r="D16" s="119">
        <v>-0.00350996431</v>
      </c>
      <c r="E16" s="119">
        <v>-0.0047323027399999995</v>
      </c>
      <c r="F16" s="156">
        <v>0.0009711833700000001</v>
      </c>
      <c r="G16" s="163">
        <v>-0.0022709163269348633</v>
      </c>
    </row>
    <row r="17" spans="1:7" ht="12.75">
      <c r="A17" s="143" t="s">
        <v>93</v>
      </c>
      <c r="B17" s="135">
        <v>-1.8654675</v>
      </c>
      <c r="C17" s="118">
        <v>-0.67707495</v>
      </c>
      <c r="D17" s="118">
        <v>-2.3375462</v>
      </c>
      <c r="E17" s="118">
        <v>-3.7554814999999997</v>
      </c>
      <c r="F17" s="159">
        <v>4.2676798</v>
      </c>
      <c r="G17" s="163">
        <v>-1.3300041694387224</v>
      </c>
    </row>
    <row r="18" spans="1:7" ht="12.75">
      <c r="A18" s="143" t="s">
        <v>95</v>
      </c>
      <c r="B18" s="136">
        <v>1.5433233000000002</v>
      </c>
      <c r="C18" s="119">
        <v>2.5712491</v>
      </c>
      <c r="D18" s="119">
        <v>1.8604903999999998</v>
      </c>
      <c r="E18" s="120">
        <v>3.3047606000000003</v>
      </c>
      <c r="F18" s="156">
        <v>0.07946677999999999</v>
      </c>
      <c r="G18" s="164">
        <v>2.095821928795158</v>
      </c>
    </row>
    <row r="19" spans="1:7" ht="12.75">
      <c r="A19" s="143" t="s">
        <v>97</v>
      </c>
      <c r="B19" s="136">
        <v>-1.2868986999999998</v>
      </c>
      <c r="C19" s="119">
        <v>-0.49304512</v>
      </c>
      <c r="D19" s="119">
        <v>-1.04804904</v>
      </c>
      <c r="E19" s="119">
        <v>-1.4421134</v>
      </c>
      <c r="F19" s="157">
        <v>-7.458743699999999</v>
      </c>
      <c r="G19" s="164">
        <v>-1.8989248508318415</v>
      </c>
    </row>
    <row r="20" spans="1:7" ht="12.75">
      <c r="A20" s="143" t="s">
        <v>99</v>
      </c>
      <c r="B20" s="135">
        <v>0.35613119</v>
      </c>
      <c r="C20" s="118">
        <v>-0.28842198</v>
      </c>
      <c r="D20" s="118">
        <v>0.172407</v>
      </c>
      <c r="E20" s="118">
        <v>0.36377928</v>
      </c>
      <c r="F20" s="158">
        <v>2.0891489</v>
      </c>
      <c r="G20" s="163">
        <v>0.3897633408042163</v>
      </c>
    </row>
    <row r="21" spans="1:7" ht="12.75">
      <c r="A21" s="143" t="s">
        <v>101</v>
      </c>
      <c r="B21" s="136">
        <v>0.144248287</v>
      </c>
      <c r="C21" s="119">
        <v>-0.2155082</v>
      </c>
      <c r="D21" s="119">
        <v>-0.37225933</v>
      </c>
      <c r="E21" s="119">
        <v>-0.050499613</v>
      </c>
      <c r="F21" s="156">
        <v>0.19768314999999997</v>
      </c>
      <c r="G21" s="163">
        <v>-0.10647736294359156</v>
      </c>
    </row>
    <row r="22" spans="1:7" ht="12.75">
      <c r="A22" s="143" t="s">
        <v>103</v>
      </c>
      <c r="B22" s="136">
        <v>0.35313955999999996</v>
      </c>
      <c r="C22" s="119">
        <v>-0.08470866600000002</v>
      </c>
      <c r="D22" s="119">
        <v>-0.32392339</v>
      </c>
      <c r="E22" s="119">
        <v>-0.223691166</v>
      </c>
      <c r="F22" s="156">
        <v>-0.12051576</v>
      </c>
      <c r="G22" s="163">
        <v>-0.1173237699057652</v>
      </c>
    </row>
    <row r="23" spans="1:7" ht="12.75">
      <c r="A23" s="143" t="s">
        <v>105</v>
      </c>
      <c r="B23" s="136">
        <v>0.08231369799999999</v>
      </c>
      <c r="C23" s="119">
        <v>-0.153357978</v>
      </c>
      <c r="D23" s="119">
        <v>-0.077134459</v>
      </c>
      <c r="E23" s="119">
        <v>-0.02867538</v>
      </c>
      <c r="F23" s="156">
        <v>0.26298242</v>
      </c>
      <c r="G23" s="163">
        <v>-0.015422677895918332</v>
      </c>
    </row>
    <row r="24" spans="1:7" ht="12.75">
      <c r="A24" s="143" t="s">
        <v>107</v>
      </c>
      <c r="B24" s="135">
        <v>0.048609779</v>
      </c>
      <c r="C24" s="118">
        <v>0.08733822299999999</v>
      </c>
      <c r="D24" s="118">
        <v>-0.008823769299999997</v>
      </c>
      <c r="E24" s="118">
        <v>-0.0126442747</v>
      </c>
      <c r="F24" s="159">
        <v>0.32222685999999995</v>
      </c>
      <c r="G24" s="163">
        <v>0.06585119630126408</v>
      </c>
    </row>
    <row r="25" spans="1:7" ht="12.75">
      <c r="A25" s="143" t="s">
        <v>109</v>
      </c>
      <c r="B25" s="136">
        <v>-0.059590246</v>
      </c>
      <c r="C25" s="119">
        <v>0.078336001</v>
      </c>
      <c r="D25" s="119">
        <v>-0.036974099</v>
      </c>
      <c r="E25" s="119">
        <v>0.014905750499999999</v>
      </c>
      <c r="F25" s="156">
        <v>0.053914423</v>
      </c>
      <c r="G25" s="163">
        <v>0.012122473581744342</v>
      </c>
    </row>
    <row r="26" spans="1:7" ht="12.75">
      <c r="A26" s="143" t="s">
        <v>111</v>
      </c>
      <c r="B26" s="136">
        <v>-0.014542503000000002</v>
      </c>
      <c r="C26" s="120">
        <v>-0.21630725</v>
      </c>
      <c r="D26" s="119">
        <v>-0.075913265</v>
      </c>
      <c r="E26" s="119">
        <v>-0.10165920700000002</v>
      </c>
      <c r="F26" s="156">
        <v>0.080469693</v>
      </c>
      <c r="G26" s="163">
        <v>-0.08617707567216831</v>
      </c>
    </row>
    <row r="27" spans="1:7" ht="12.75">
      <c r="A27" s="143" t="s">
        <v>113</v>
      </c>
      <c r="B27" s="138">
        <v>0.15073856000000002</v>
      </c>
      <c r="C27" s="120">
        <v>0.15118479</v>
      </c>
      <c r="D27" s="119">
        <v>0.13752389</v>
      </c>
      <c r="E27" s="119">
        <v>0.1401879</v>
      </c>
      <c r="F27" s="156">
        <v>0.090711421</v>
      </c>
      <c r="G27" s="164">
        <v>0.13711692612765955</v>
      </c>
    </row>
    <row r="28" spans="1:7" ht="12.75">
      <c r="A28" s="143" t="s">
        <v>115</v>
      </c>
      <c r="B28" s="136">
        <v>-0.0030672015999999996</v>
      </c>
      <c r="C28" s="119">
        <v>0.004889460369999999</v>
      </c>
      <c r="D28" s="119">
        <v>-0.0013510279299999998</v>
      </c>
      <c r="E28" s="119">
        <v>-0.00029117512900000004</v>
      </c>
      <c r="F28" s="156">
        <v>-0.022543446</v>
      </c>
      <c r="G28" s="163">
        <v>-0.0026686508025407603</v>
      </c>
    </row>
    <row r="29" spans="1:7" ht="13.5" thickBot="1">
      <c r="A29" s="144" t="s">
        <v>117</v>
      </c>
      <c r="B29" s="139">
        <v>-0.0061198899</v>
      </c>
      <c r="C29" s="122">
        <v>0.00689335766</v>
      </c>
      <c r="D29" s="122">
        <v>0.0033656996999999996</v>
      </c>
      <c r="E29" s="122">
        <v>0.0005134244000000003</v>
      </c>
      <c r="F29" s="160">
        <v>0.0036584225799999996</v>
      </c>
      <c r="G29" s="165">
        <v>0.0021974353519751658</v>
      </c>
    </row>
    <row r="30" spans="1:7" ht="13.5" thickTop="1">
      <c r="A30" s="145" t="s">
        <v>118</v>
      </c>
      <c r="B30" s="140">
        <v>0.21050905433236036</v>
      </c>
      <c r="C30" s="128">
        <v>0.33473657924808775</v>
      </c>
      <c r="D30" s="128">
        <v>0.36622730591834074</v>
      </c>
      <c r="E30" s="128">
        <v>0.312868068080176</v>
      </c>
      <c r="F30" s="124">
        <v>0.3639629060443915</v>
      </c>
      <c r="G30" s="166" t="s">
        <v>129</v>
      </c>
    </row>
    <row r="31" spans="1:7" ht="13.5" thickBot="1">
      <c r="A31" s="146" t="s">
        <v>119</v>
      </c>
      <c r="B31" s="134">
        <v>28.146363</v>
      </c>
      <c r="C31" s="125">
        <v>28.143311</v>
      </c>
      <c r="D31" s="125">
        <v>28.097535</v>
      </c>
      <c r="E31" s="125">
        <v>28.085328</v>
      </c>
      <c r="F31" s="126">
        <v>28.100587</v>
      </c>
      <c r="G31" s="168">
        <v>-210.48</v>
      </c>
    </row>
    <row r="32" spans="1:7" ht="15.75" thickBot="1" thickTop="1">
      <c r="A32" s="147" t="s">
        <v>120</v>
      </c>
      <c r="B32" s="141">
        <v>-0.32200001180171967</v>
      </c>
      <c r="C32" s="129">
        <v>0.17899999395012856</v>
      </c>
      <c r="D32" s="129">
        <v>-0.1959999967366457</v>
      </c>
      <c r="E32" s="129">
        <v>0.10700000450015068</v>
      </c>
      <c r="F32" s="127">
        <v>-0.21900000423192978</v>
      </c>
      <c r="G32" s="132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130</v>
      </c>
      <c r="B1" s="169" t="s">
        <v>131</v>
      </c>
      <c r="C1" s="169" t="s">
        <v>132</v>
      </c>
      <c r="D1" s="169" t="s">
        <v>133</v>
      </c>
      <c r="E1" s="169" t="s">
        <v>134</v>
      </c>
    </row>
    <row r="3" spans="1:8" ht="12.75">
      <c r="A3" s="169" t="s">
        <v>135</v>
      </c>
      <c r="B3" s="169" t="s">
        <v>85</v>
      </c>
      <c r="C3" s="169" t="s">
        <v>86</v>
      </c>
      <c r="D3" s="169" t="s">
        <v>87</v>
      </c>
      <c r="E3" s="169" t="s">
        <v>88</v>
      </c>
      <c r="F3" s="169" t="s">
        <v>89</v>
      </c>
      <c r="G3" s="169" t="s">
        <v>136</v>
      </c>
      <c r="H3"/>
    </row>
    <row r="4" spans="1:8" ht="12.75">
      <c r="A4" s="169" t="s">
        <v>137</v>
      </c>
      <c r="B4" s="169">
        <v>0.002259</v>
      </c>
      <c r="C4" s="169">
        <v>0.003765</v>
      </c>
      <c r="D4" s="169">
        <v>0.003768</v>
      </c>
      <c r="E4" s="169">
        <v>0.003765</v>
      </c>
      <c r="F4" s="169">
        <v>0.002087</v>
      </c>
      <c r="G4" s="169">
        <v>0.011731</v>
      </c>
      <c r="H4"/>
    </row>
    <row r="5" spans="1:8" ht="12.75">
      <c r="A5" s="169" t="s">
        <v>138</v>
      </c>
      <c r="B5" s="169">
        <v>1.9705</v>
      </c>
      <c r="C5" s="169">
        <v>-0.030957</v>
      </c>
      <c r="D5" s="169">
        <v>-0.910477</v>
      </c>
      <c r="E5" s="169">
        <v>0.183109</v>
      </c>
      <c r="F5" s="169">
        <v>-0.773301</v>
      </c>
      <c r="G5" s="169">
        <v>-5.556906</v>
      </c>
      <c r="H5"/>
    </row>
    <row r="6" spans="1:8" ht="12.75">
      <c r="A6" s="169" t="s">
        <v>139</v>
      </c>
      <c r="B6" s="170">
        <v>-186.6767</v>
      </c>
      <c r="C6" s="170">
        <v>-464.4167</v>
      </c>
      <c r="D6" s="170">
        <v>-146.2128</v>
      </c>
      <c r="E6" s="170">
        <v>-250.2538</v>
      </c>
      <c r="F6" s="170">
        <v>85.14118</v>
      </c>
      <c r="G6" s="170">
        <v>860.1168</v>
      </c>
      <c r="H6"/>
    </row>
    <row r="7" spans="1:8" ht="12.75">
      <c r="A7" s="169" t="s">
        <v>140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  <c r="H7"/>
    </row>
    <row r="8" spans="1:8" ht="12.75">
      <c r="A8" s="169" t="s">
        <v>92</v>
      </c>
      <c r="B8" s="170">
        <v>0.7027037</v>
      </c>
      <c r="C8" s="170">
        <v>0.2977693</v>
      </c>
      <c r="D8" s="170">
        <v>-0.7144399</v>
      </c>
      <c r="E8" s="170">
        <v>0.2247349</v>
      </c>
      <c r="F8" s="170">
        <v>-2.63969</v>
      </c>
      <c r="G8" s="170">
        <v>-1.284635</v>
      </c>
      <c r="H8"/>
    </row>
    <row r="9" spans="1:8" ht="12.75">
      <c r="A9" s="169" t="s">
        <v>94</v>
      </c>
      <c r="B9" s="170">
        <v>0.2131505</v>
      </c>
      <c r="C9" s="170">
        <v>0.3819303</v>
      </c>
      <c r="D9" s="170">
        <v>0.4414691</v>
      </c>
      <c r="E9" s="170">
        <v>-0.4463967</v>
      </c>
      <c r="F9" s="170">
        <v>-2.279592</v>
      </c>
      <c r="G9" s="170">
        <v>0.1825206</v>
      </c>
      <c r="H9"/>
    </row>
    <row r="10" spans="1:8" ht="12.75">
      <c r="A10" s="169" t="s">
        <v>141</v>
      </c>
      <c r="B10" s="170">
        <v>-0.6154562</v>
      </c>
      <c r="C10" s="170">
        <v>-0.7534154</v>
      </c>
      <c r="D10" s="170">
        <v>0.5137089</v>
      </c>
      <c r="E10" s="170">
        <v>0.5463081</v>
      </c>
      <c r="F10" s="170">
        <v>1.524797</v>
      </c>
      <c r="G10" s="170">
        <v>1.931676</v>
      </c>
      <c r="H10"/>
    </row>
    <row r="11" spans="1:8" ht="12.75">
      <c r="A11" s="169" t="s">
        <v>98</v>
      </c>
      <c r="B11" s="170">
        <v>2.451384</v>
      </c>
      <c r="C11" s="170">
        <v>2.127522</v>
      </c>
      <c r="D11" s="170">
        <v>1.218576</v>
      </c>
      <c r="E11" s="170">
        <v>1.877079</v>
      </c>
      <c r="F11" s="170">
        <v>13.42545</v>
      </c>
      <c r="G11" s="170">
        <v>3.402166</v>
      </c>
      <c r="H11"/>
    </row>
    <row r="12" spans="1:8" ht="12.75">
      <c r="A12" s="169" t="s">
        <v>100</v>
      </c>
      <c r="B12" s="170">
        <v>0.128603</v>
      </c>
      <c r="C12" s="170">
        <v>0.08061437</v>
      </c>
      <c r="D12" s="170">
        <v>0.08892412</v>
      </c>
      <c r="E12" s="170">
        <v>0.4025499</v>
      </c>
      <c r="F12" s="170">
        <v>-0.4011089</v>
      </c>
      <c r="G12" s="170">
        <v>-0.1138939</v>
      </c>
      <c r="H12"/>
    </row>
    <row r="13" spans="1:8" ht="12.75">
      <c r="A13" s="169" t="s">
        <v>102</v>
      </c>
      <c r="B13" s="170">
        <v>-0.1489574</v>
      </c>
      <c r="C13" s="170">
        <v>0.1556507</v>
      </c>
      <c r="D13" s="170">
        <v>-0.03860656</v>
      </c>
      <c r="E13" s="170">
        <v>-0.2811233</v>
      </c>
      <c r="F13" s="170">
        <v>-0.1151163</v>
      </c>
      <c r="G13" s="170">
        <v>0.07636769</v>
      </c>
      <c r="H13"/>
    </row>
    <row r="14" spans="1:8" ht="12.75">
      <c r="A14" s="169" t="s">
        <v>104</v>
      </c>
      <c r="B14" s="170">
        <v>0.02789827</v>
      </c>
      <c r="C14" s="170">
        <v>0.05794568</v>
      </c>
      <c r="D14" s="170">
        <v>0.02656925</v>
      </c>
      <c r="E14" s="170">
        <v>0.09721324</v>
      </c>
      <c r="F14" s="170">
        <v>0.2619492</v>
      </c>
      <c r="G14" s="170">
        <v>0.02293199</v>
      </c>
      <c r="H14"/>
    </row>
    <row r="15" spans="1:8" ht="12.75">
      <c r="A15" s="169" t="s">
        <v>106</v>
      </c>
      <c r="B15" s="170">
        <v>-0.3118749</v>
      </c>
      <c r="C15" s="170">
        <v>0.1693857</v>
      </c>
      <c r="D15" s="170">
        <v>0.1564421</v>
      </c>
      <c r="E15" s="170">
        <v>0.1958659</v>
      </c>
      <c r="F15" s="170">
        <v>-0.2045578</v>
      </c>
      <c r="G15" s="170">
        <v>0.05326479</v>
      </c>
      <c r="H15"/>
    </row>
    <row r="16" spans="1:8" ht="12.75">
      <c r="A16" s="169" t="s">
        <v>108</v>
      </c>
      <c r="B16" s="170">
        <v>-0.004705186</v>
      </c>
      <c r="C16" s="170">
        <v>-0.09736788</v>
      </c>
      <c r="D16" s="170">
        <v>-0.05401891</v>
      </c>
      <c r="E16" s="170">
        <v>-0.09280381</v>
      </c>
      <c r="F16" s="170">
        <v>0.006846862</v>
      </c>
      <c r="G16" s="170">
        <v>0.001203416</v>
      </c>
      <c r="H16"/>
    </row>
    <row r="17" spans="1:8" ht="12.75">
      <c r="A17" s="169" t="s">
        <v>110</v>
      </c>
      <c r="B17" s="170">
        <v>0.1042516</v>
      </c>
      <c r="C17" s="170">
        <v>0.05580083</v>
      </c>
      <c r="D17" s="170">
        <v>0.08630055</v>
      </c>
      <c r="E17" s="170">
        <v>0.08803673</v>
      </c>
      <c r="F17" s="170">
        <v>0.0463351</v>
      </c>
      <c r="G17" s="170">
        <v>-0.07664041</v>
      </c>
      <c r="H17"/>
    </row>
    <row r="18" spans="1:8" ht="12.75">
      <c r="A18" s="169" t="s">
        <v>142</v>
      </c>
      <c r="B18" s="170">
        <v>0.03597109</v>
      </c>
      <c r="C18" s="170">
        <v>0.117182</v>
      </c>
      <c r="D18" s="170">
        <v>0.02385266</v>
      </c>
      <c r="E18" s="170">
        <v>0.05300478</v>
      </c>
      <c r="F18" s="170">
        <v>-0.05181051</v>
      </c>
      <c r="G18" s="170">
        <v>-0.1378605</v>
      </c>
      <c r="H18"/>
    </row>
    <row r="19" spans="1:8" ht="12.75">
      <c r="A19" s="169" t="s">
        <v>143</v>
      </c>
      <c r="B19" s="170">
        <v>-0.2005885</v>
      </c>
      <c r="C19" s="170">
        <v>-0.1966614</v>
      </c>
      <c r="D19" s="170">
        <v>-0.1954921</v>
      </c>
      <c r="E19" s="170">
        <v>-0.1936786</v>
      </c>
      <c r="F19" s="170">
        <v>-0.1433032</v>
      </c>
      <c r="G19" s="170">
        <v>-0.1891112</v>
      </c>
      <c r="H19"/>
    </row>
    <row r="20" spans="1:8" ht="12.75">
      <c r="A20" s="169" t="s">
        <v>116</v>
      </c>
      <c r="B20" s="170">
        <v>0.002348243</v>
      </c>
      <c r="C20" s="170">
        <v>-0.003128607</v>
      </c>
      <c r="D20" s="170">
        <v>-0.003297119</v>
      </c>
      <c r="E20" s="170">
        <v>-0.004727025</v>
      </c>
      <c r="F20" s="170">
        <v>0.001135066</v>
      </c>
      <c r="G20" s="170">
        <v>0.002216029</v>
      </c>
      <c r="H20"/>
    </row>
    <row r="21" spans="1:8" ht="12.75">
      <c r="A21" s="169" t="s">
        <v>144</v>
      </c>
      <c r="B21" s="170">
        <v>-876.3542</v>
      </c>
      <c r="C21" s="170">
        <v>-883.1642</v>
      </c>
      <c r="D21" s="170">
        <v>-830.4224</v>
      </c>
      <c r="E21" s="170">
        <v>-840.3197</v>
      </c>
      <c r="F21" s="170">
        <v>-890.2893</v>
      </c>
      <c r="G21" s="170">
        <v>-222.8181</v>
      </c>
      <c r="H21"/>
    </row>
    <row r="22" spans="1:8" ht="12.75">
      <c r="A22" s="169" t="s">
        <v>145</v>
      </c>
      <c r="B22" s="170">
        <v>39.4102</v>
      </c>
      <c r="C22" s="170">
        <v>-0.6191323</v>
      </c>
      <c r="D22" s="170">
        <v>-18.20956</v>
      </c>
      <c r="E22" s="170">
        <v>3.662178</v>
      </c>
      <c r="F22" s="170">
        <v>-15.46603</v>
      </c>
      <c r="G22" s="170">
        <v>0</v>
      </c>
      <c r="H22"/>
    </row>
    <row r="23" spans="1:8" ht="12.75">
      <c r="A23" s="169" t="s">
        <v>93</v>
      </c>
      <c r="B23" s="170">
        <v>-1.857422</v>
      </c>
      <c r="C23" s="170">
        <v>-0.4778062</v>
      </c>
      <c r="D23" s="170">
        <v>-2.372798</v>
      </c>
      <c r="E23" s="170">
        <v>-3.7136</v>
      </c>
      <c r="F23" s="170">
        <v>4.227266</v>
      </c>
      <c r="G23" s="170">
        <v>0.2969474</v>
      </c>
      <c r="H23"/>
    </row>
    <row r="24" spans="1:8" ht="12.75">
      <c r="A24" s="169" t="s">
        <v>146</v>
      </c>
      <c r="B24" s="170">
        <v>1.553156</v>
      </c>
      <c r="C24" s="170">
        <v>2.509822</v>
      </c>
      <c r="D24" s="170">
        <v>1.880463</v>
      </c>
      <c r="E24" s="170">
        <v>3.278244</v>
      </c>
      <c r="F24" s="170">
        <v>1.052822</v>
      </c>
      <c r="G24" s="170">
        <v>-2.210707</v>
      </c>
      <c r="H24"/>
    </row>
    <row r="25" spans="1:8" ht="12.75">
      <c r="A25" s="169" t="s">
        <v>97</v>
      </c>
      <c r="B25" s="170">
        <v>-1.278393</v>
      </c>
      <c r="C25" s="170">
        <v>-0.5100605</v>
      </c>
      <c r="D25" s="170">
        <v>-1.080313</v>
      </c>
      <c r="E25" s="170">
        <v>-1.460803</v>
      </c>
      <c r="F25" s="170">
        <v>-7.590527</v>
      </c>
      <c r="G25" s="170">
        <v>0.1884289</v>
      </c>
      <c r="H25"/>
    </row>
    <row r="26" spans="1:8" ht="12.75">
      <c r="A26" s="169" t="s">
        <v>99</v>
      </c>
      <c r="B26" s="170">
        <v>0.374061</v>
      </c>
      <c r="C26" s="170">
        <v>-0.3213602</v>
      </c>
      <c r="D26" s="170">
        <v>0.1772884</v>
      </c>
      <c r="E26" s="170">
        <v>0.3583306</v>
      </c>
      <c r="F26" s="170">
        <v>1.97412</v>
      </c>
      <c r="G26" s="170">
        <v>0.3689812</v>
      </c>
      <c r="H26"/>
    </row>
    <row r="27" spans="1:8" ht="12.75">
      <c r="A27" s="169" t="s">
        <v>101</v>
      </c>
      <c r="B27" s="170">
        <v>0.121316</v>
      </c>
      <c r="C27" s="170">
        <v>-0.241427</v>
      </c>
      <c r="D27" s="170">
        <v>-0.3651643</v>
      </c>
      <c r="E27" s="170">
        <v>-0.06114185</v>
      </c>
      <c r="F27" s="170">
        <v>0.2200473</v>
      </c>
      <c r="G27" s="170">
        <v>-0.1027769</v>
      </c>
      <c r="H27"/>
    </row>
    <row r="28" spans="1:8" ht="12.75">
      <c r="A28" s="169" t="s">
        <v>103</v>
      </c>
      <c r="B28" s="170">
        <v>0.3527263</v>
      </c>
      <c r="C28" s="170">
        <v>-0.1065771</v>
      </c>
      <c r="D28" s="170">
        <v>-0.3151715</v>
      </c>
      <c r="E28" s="170">
        <v>-0.2215505</v>
      </c>
      <c r="F28" s="170">
        <v>-0.162484</v>
      </c>
      <c r="G28" s="170">
        <v>0.1256225</v>
      </c>
      <c r="H28"/>
    </row>
    <row r="29" spans="1:8" ht="12.75">
      <c r="A29" s="169" t="s">
        <v>105</v>
      </c>
      <c r="B29" s="170">
        <v>0.07667204</v>
      </c>
      <c r="C29" s="170">
        <v>-0.1271713</v>
      </c>
      <c r="D29" s="170">
        <v>-0.07908432</v>
      </c>
      <c r="E29" s="170">
        <v>-0.02993728</v>
      </c>
      <c r="F29" s="170">
        <v>0.1713277</v>
      </c>
      <c r="G29" s="170">
        <v>0.08271481</v>
      </c>
      <c r="H29"/>
    </row>
    <row r="30" spans="1:8" ht="12.75">
      <c r="A30" s="169" t="s">
        <v>107</v>
      </c>
      <c r="B30" s="170">
        <v>0.04379964</v>
      </c>
      <c r="C30" s="170">
        <v>0.09605812</v>
      </c>
      <c r="D30" s="170">
        <v>-0.006144717</v>
      </c>
      <c r="E30" s="170">
        <v>-0.01117724</v>
      </c>
      <c r="F30" s="170">
        <v>0.3109588</v>
      </c>
      <c r="G30" s="170">
        <v>0.06675332</v>
      </c>
      <c r="H30"/>
    </row>
    <row r="31" spans="1:8" ht="12.75">
      <c r="A31" s="169" t="s">
        <v>109</v>
      </c>
      <c r="B31" s="170">
        <v>-0.05343751</v>
      </c>
      <c r="C31" s="170">
        <v>0.0325291</v>
      </c>
      <c r="D31" s="170">
        <v>-0.02883698</v>
      </c>
      <c r="E31" s="170">
        <v>0.01366045</v>
      </c>
      <c r="F31" s="170">
        <v>0.03560073</v>
      </c>
      <c r="G31" s="170">
        <v>0.05854707</v>
      </c>
      <c r="H31"/>
    </row>
    <row r="32" spans="1:8" ht="12.75">
      <c r="A32" s="169" t="s">
        <v>111</v>
      </c>
      <c r="B32" s="170">
        <v>-0.02066045</v>
      </c>
      <c r="C32" s="170">
        <v>-0.170786</v>
      </c>
      <c r="D32" s="170">
        <v>-0.09169543</v>
      </c>
      <c r="E32" s="170">
        <v>-0.09992148</v>
      </c>
      <c r="F32" s="170">
        <v>0.04129305</v>
      </c>
      <c r="G32" s="170">
        <v>0.08471156</v>
      </c>
      <c r="H32"/>
    </row>
    <row r="33" spans="1:8" ht="12.75">
      <c r="A33" s="169" t="s">
        <v>113</v>
      </c>
      <c r="B33" s="170">
        <v>0.1509684</v>
      </c>
      <c r="C33" s="170">
        <v>0.1496907</v>
      </c>
      <c r="D33" s="170">
        <v>0.1395772</v>
      </c>
      <c r="E33" s="170">
        <v>0.1417525</v>
      </c>
      <c r="F33" s="170">
        <v>0.09219855</v>
      </c>
      <c r="G33" s="170">
        <v>0.04498572</v>
      </c>
      <c r="H33"/>
    </row>
    <row r="34" spans="1:8" ht="12.75">
      <c r="A34" s="169" t="s">
        <v>115</v>
      </c>
      <c r="B34" s="170">
        <v>-0.008533465</v>
      </c>
      <c r="C34" s="170">
        <v>0.005095614</v>
      </c>
      <c r="D34" s="170">
        <v>0.001180932</v>
      </c>
      <c r="E34" s="170">
        <v>-0.0007404613</v>
      </c>
      <c r="F34" s="170">
        <v>-0.02100489</v>
      </c>
      <c r="G34" s="170">
        <v>-0.00270496</v>
      </c>
      <c r="H34"/>
    </row>
    <row r="35" spans="1:8" ht="12.75">
      <c r="A35" s="169" t="s">
        <v>117</v>
      </c>
      <c r="B35" s="170">
        <v>-0.006063637</v>
      </c>
      <c r="C35" s="170">
        <v>0.006891665</v>
      </c>
      <c r="D35" s="170">
        <v>0.003425255</v>
      </c>
      <c r="E35" s="170">
        <v>0.0005001092</v>
      </c>
      <c r="F35" s="170">
        <v>0.003656506</v>
      </c>
      <c r="G35" s="170">
        <v>0.002194357</v>
      </c>
      <c r="H35"/>
    </row>
    <row r="36" spans="1:6" ht="12.75">
      <c r="A36" s="169" t="s">
        <v>147</v>
      </c>
      <c r="B36" s="170">
        <v>28.10059</v>
      </c>
      <c r="C36" s="170">
        <v>28.10669</v>
      </c>
      <c r="D36" s="170">
        <v>28.12195</v>
      </c>
      <c r="E36" s="170">
        <v>28.12195</v>
      </c>
      <c r="F36" s="170">
        <v>28.1311</v>
      </c>
    </row>
    <row r="37" spans="1:6" ht="12.75">
      <c r="A37" s="169" t="s">
        <v>148</v>
      </c>
      <c r="B37" s="170">
        <v>-0.2151489</v>
      </c>
      <c r="C37" s="170">
        <v>-0.1815796</v>
      </c>
      <c r="D37" s="170">
        <v>-0.163269</v>
      </c>
      <c r="E37" s="170">
        <v>-0.1556397</v>
      </c>
      <c r="F37" s="170">
        <v>-0.1363119</v>
      </c>
    </row>
    <row r="38" spans="1:7" ht="12.75">
      <c r="A38" s="169" t="s">
        <v>149</v>
      </c>
      <c r="B38" s="170">
        <v>0.0003232167</v>
      </c>
      <c r="C38" s="170">
        <v>0.0007894155</v>
      </c>
      <c r="D38" s="170">
        <v>0.0002459903</v>
      </c>
      <c r="E38" s="170">
        <v>0.0004259545</v>
      </c>
      <c r="F38" s="170">
        <v>-0.0001470804</v>
      </c>
      <c r="G38" s="170">
        <v>0.0001853239</v>
      </c>
    </row>
    <row r="39" spans="1:7" ht="12.75">
      <c r="A39" s="169" t="s">
        <v>150</v>
      </c>
      <c r="B39" s="170">
        <v>0.001488528</v>
      </c>
      <c r="C39" s="170">
        <v>0.001501428</v>
      </c>
      <c r="D39" s="170">
        <v>0.001412166</v>
      </c>
      <c r="E39" s="170">
        <v>0.001428388</v>
      </c>
      <c r="F39" s="170">
        <v>0.001513264</v>
      </c>
      <c r="G39" s="170">
        <v>0.0007321149</v>
      </c>
    </row>
    <row r="40" spans="2:5" ht="12.75">
      <c r="B40" s="169" t="s">
        <v>151</v>
      </c>
      <c r="C40" s="169">
        <v>0.003766</v>
      </c>
      <c r="D40" s="169" t="s">
        <v>152</v>
      </c>
      <c r="E40" s="169">
        <v>3.115025</v>
      </c>
    </row>
    <row r="42" ht="12.75">
      <c r="A42" s="169" t="s">
        <v>153</v>
      </c>
    </row>
    <row r="50" spans="1:8" ht="12.75">
      <c r="A50" s="169" t="s">
        <v>154</v>
      </c>
      <c r="B50" s="169">
        <f>-0.017/(B7*B7+B22*B22)*(B21*B22+B6*B7)</f>
        <v>0.0003232167099446414</v>
      </c>
      <c r="C50" s="169">
        <f>-0.017/(C7*C7+C22*C22)*(C21*C22+C6*C7)</f>
        <v>0.0007894154317419628</v>
      </c>
      <c r="D50" s="169">
        <f>-0.017/(D7*D7+D22*D22)*(D21*D22+D6*D7)</f>
        <v>0.0002459902678175208</v>
      </c>
      <c r="E50" s="169">
        <f>-0.017/(E7*E7+E22*E22)*(E21*E22+E6*E7)</f>
        <v>0.000425954560927013</v>
      </c>
      <c r="F50" s="169">
        <f>-0.017/(F7*F7+F22*F22)*(F21*F22+F6*F7)</f>
        <v>-0.00014708042516026258</v>
      </c>
      <c r="G50" s="169">
        <f>(B50*B$4+C50*C$4+D50*D$4+E50*E$4+F50*F$4)/SUM(B$4:F$4)</f>
        <v>0.00037880011838344345</v>
      </c>
      <c r="H50"/>
    </row>
    <row r="51" spans="1:8" ht="12.75">
      <c r="A51" s="169" t="s">
        <v>155</v>
      </c>
      <c r="B51" s="169">
        <f>-0.017/(B7*B7+B22*B22)*(B21*B7-B6*B22)</f>
        <v>0.001488528336481774</v>
      </c>
      <c r="C51" s="169">
        <f>-0.017/(C7*C7+C22*C22)*(C21*C7-C6*C22)</f>
        <v>0.001501428015259191</v>
      </c>
      <c r="D51" s="169">
        <f>-0.017/(D7*D7+D22*D22)*(D21*D7-D6*D22)</f>
        <v>0.0014121660174541242</v>
      </c>
      <c r="E51" s="169">
        <f>-0.017/(E7*E7+E22*E22)*(E21*E7-E6*E22)</f>
        <v>0.0014283874978577977</v>
      </c>
      <c r="F51" s="169">
        <f>-0.017/(F7*F7+F22*F22)*(F21*F7-F6*F22)</f>
        <v>0.001513264334973206</v>
      </c>
      <c r="G51" s="169">
        <f>(B51*B$4+C51*C$4+D51*D$4+E51*E$4+F51*F$4)/SUM(B$4:F$4)</f>
        <v>0.0014620662963343144</v>
      </c>
      <c r="H51"/>
    </row>
    <row r="58" ht="12.75">
      <c r="A58" s="169" t="s">
        <v>156</v>
      </c>
    </row>
    <row r="60" spans="2:6" ht="12.75">
      <c r="B60" s="169" t="s">
        <v>85</v>
      </c>
      <c r="C60" s="169" t="s">
        <v>86</v>
      </c>
      <c r="D60" s="169" t="s">
        <v>87</v>
      </c>
      <c r="E60" s="169" t="s">
        <v>88</v>
      </c>
      <c r="F60" s="169" t="s">
        <v>89</v>
      </c>
    </row>
    <row r="61" spans="1:6" ht="12.75">
      <c r="A61" s="169" t="s">
        <v>158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161</v>
      </c>
      <c r="B62" s="169">
        <f>B7+(2/0.017)*(B8*B50-B23*B51)</f>
        <v>10000.351994218563</v>
      </c>
      <c r="C62" s="169">
        <f>C7+(2/0.017)*(C8*C50-C23*C51)</f>
        <v>10000.112053564126</v>
      </c>
      <c r="D62" s="169">
        <f>D7+(2/0.017)*(D8*D50-D23*D51)</f>
        <v>10000.37353405171</v>
      </c>
      <c r="E62" s="169">
        <f>E7+(2/0.017)*(E8*E50-E23*E51)</f>
        <v>10000.635316078553</v>
      </c>
      <c r="F62" s="169">
        <f>F7+(2/0.017)*(F8*F50-F23*F51)</f>
        <v>9999.293091277088</v>
      </c>
    </row>
    <row r="63" spans="1:6" ht="12.75">
      <c r="A63" s="169" t="s">
        <v>162</v>
      </c>
      <c r="B63" s="169">
        <f>B8+(3/0.017)*(B9*B50-B24*B51)</f>
        <v>0.3068761270040652</v>
      </c>
      <c r="C63" s="169">
        <f>C8+(3/0.017)*(C9*C50-C24*C51)</f>
        <v>-0.314021651431297</v>
      </c>
      <c r="D63" s="169">
        <f>D8+(3/0.017)*(D9*D50-D24*D51)</f>
        <v>-1.1638979312125308</v>
      </c>
      <c r="E63" s="169">
        <f>E8+(3/0.017)*(E9*E50-E24*E51)</f>
        <v>-0.6351617096838422</v>
      </c>
      <c r="F63" s="169">
        <f>F8+(3/0.017)*(F9*F50-F24*F51)</f>
        <v>-2.861674933492334</v>
      </c>
    </row>
    <row r="64" spans="1:6" ht="12.75">
      <c r="A64" s="169" t="s">
        <v>163</v>
      </c>
      <c r="B64" s="169">
        <f>B9+(4/0.017)*(B10*B50-B25*B51)</f>
        <v>0.6140913182543324</v>
      </c>
      <c r="C64" s="169">
        <f>C9+(4/0.017)*(C10*C50-C25*C51)</f>
        <v>0.42218003668354515</v>
      </c>
      <c r="D64" s="169">
        <f>D9+(4/0.017)*(D10*D50-D25*D51)</f>
        <v>0.8301629109894497</v>
      </c>
      <c r="E64" s="169">
        <f>E9+(4/0.017)*(E10*E50-E25*E51)</f>
        <v>0.09931981032930237</v>
      </c>
      <c r="F64" s="169">
        <f>F9+(4/0.017)*(F10*F50-F25*F51)</f>
        <v>0.37033882393131057</v>
      </c>
    </row>
    <row r="65" spans="1:6" ht="12.75">
      <c r="A65" s="169" t="s">
        <v>164</v>
      </c>
      <c r="B65" s="169">
        <f>B10+(5/0.017)*(B11*B50-B26*B51)</f>
        <v>-0.5461832961122864</v>
      </c>
      <c r="C65" s="169">
        <f>C10+(5/0.017)*(C11*C50-C26*C51)</f>
        <v>-0.11753366310593494</v>
      </c>
      <c r="D65" s="169">
        <f>D10+(5/0.017)*(D11*D50-D26*D51)</f>
        <v>0.5282374831844675</v>
      </c>
      <c r="E65" s="169">
        <f>E10+(5/0.017)*(E11*E50-E26*E51)</f>
        <v>0.6309302800383627</v>
      </c>
      <c r="F65" s="169">
        <f>F10+(5/0.017)*(F11*F50-F26*F51)</f>
        <v>0.06538926972789638</v>
      </c>
    </row>
    <row r="66" spans="1:6" ht="12.75">
      <c r="A66" s="169" t="s">
        <v>165</v>
      </c>
      <c r="B66" s="169">
        <f>B11+(6/0.017)*(B12*B50-B27*B51)</f>
        <v>2.402319647604843</v>
      </c>
      <c r="C66" s="169">
        <f>C11+(6/0.017)*(C12*C50-C27*C51)</f>
        <v>2.277918525578166</v>
      </c>
      <c r="D66" s="169">
        <f>D11+(6/0.017)*(D12*D50-D27*D51)</f>
        <v>1.408298500002939</v>
      </c>
      <c r="E66" s="169">
        <f>E11+(6/0.017)*(E12*E50-E27*E51)</f>
        <v>1.9684209600146858</v>
      </c>
      <c r="F66" s="169">
        <f>F11+(6/0.017)*(F12*F50-F27*F51)</f>
        <v>13.328746071688382</v>
      </c>
    </row>
    <row r="67" spans="1:6" ht="12.75">
      <c r="A67" s="169" t="s">
        <v>166</v>
      </c>
      <c r="B67" s="169">
        <f>B12+(7/0.017)*(B13*B50-B28*B51)</f>
        <v>-0.10741584077976193</v>
      </c>
      <c r="C67" s="169">
        <f>C12+(7/0.017)*(C13*C50-C28*C51)</f>
        <v>0.1970988616391549</v>
      </c>
      <c r="D67" s="169">
        <f>D12+(7/0.017)*(D13*D50-D28*D51)</f>
        <v>0.26827962044428855</v>
      </c>
      <c r="E67" s="169">
        <f>E12+(7/0.017)*(E13*E50-E28*E51)</f>
        <v>0.4835498698637669</v>
      </c>
      <c r="F67" s="169">
        <f>F12+(7/0.017)*(F13*F50-F28*F51)</f>
        <v>-0.2928919484791389</v>
      </c>
    </row>
    <row r="68" spans="1:6" ht="12.75">
      <c r="A68" s="169" t="s">
        <v>167</v>
      </c>
      <c r="B68" s="169">
        <f>B13+(8/0.017)*(B14*B50-B29*B51)</f>
        <v>-0.1984215492297961</v>
      </c>
      <c r="C68" s="169">
        <f>C13+(8/0.017)*(C14*C50-C29*C51)</f>
        <v>0.2670303548478648</v>
      </c>
      <c r="D68" s="169">
        <f>D13+(8/0.017)*(D14*D50-D29*D51)</f>
        <v>0.01702448288973092</v>
      </c>
      <c r="E68" s="169">
        <f>E13+(8/0.017)*(E14*E50-E29*E51)</f>
        <v>-0.24151367203183033</v>
      </c>
      <c r="F68" s="169">
        <f>F13+(8/0.017)*(F14*F50-F29*F51)</f>
        <v>-0.25525356951029626</v>
      </c>
    </row>
    <row r="69" spans="1:6" ht="12.75">
      <c r="A69" s="169" t="s">
        <v>168</v>
      </c>
      <c r="B69" s="169">
        <f>B14+(9/0.017)*(B15*B50-B30*B51)</f>
        <v>-0.059984180543537144</v>
      </c>
      <c r="C69" s="169">
        <f>C14+(9/0.017)*(C15*C50-C30*C51)</f>
        <v>0.052382268077504034</v>
      </c>
      <c r="D69" s="169">
        <f>D14+(9/0.017)*(D15*D50-D30*D51)</f>
        <v>0.05153662361769837</v>
      </c>
      <c r="E69" s="169">
        <f>E14+(9/0.017)*(E15*E50-E30*E51)</f>
        <v>0.14983433587086312</v>
      </c>
      <c r="F69" s="169">
        <f>F14+(9/0.017)*(F15*F50-F30*F51)</f>
        <v>0.028755804621766884</v>
      </c>
    </row>
    <row r="70" spans="1:6" ht="12.75">
      <c r="A70" s="169" t="s">
        <v>169</v>
      </c>
      <c r="B70" s="169">
        <f>B15+(10/0.017)*(B16*B50-B31*B51)</f>
        <v>-0.26597933933680556</v>
      </c>
      <c r="C70" s="169">
        <f>C15+(10/0.017)*(C16*C50-C31*C51)</f>
        <v>0.09544228289460742</v>
      </c>
      <c r="D70" s="169">
        <f>D15+(10/0.017)*(D16*D50-D31*D51)</f>
        <v>0.17258002768464334</v>
      </c>
      <c r="E70" s="169">
        <f>E15+(10/0.017)*(E16*E50-E31*E51)</f>
        <v>0.16113494580234383</v>
      </c>
      <c r="F70" s="169">
        <f>F15+(10/0.017)*(F16*F50-F31*F51)</f>
        <v>-0.23684036140116724</v>
      </c>
    </row>
    <row r="71" spans="1:6" ht="12.75">
      <c r="A71" s="169" t="s">
        <v>170</v>
      </c>
      <c r="B71" s="169">
        <f>B16+(11/0.017)*(B17*B50-B32*B51)</f>
        <v>0.03699744745336623</v>
      </c>
      <c r="C71" s="169">
        <f>C16+(11/0.017)*(C17*C50-C32*C51)</f>
        <v>0.09705577497180744</v>
      </c>
      <c r="D71" s="169">
        <f>D16+(11/0.017)*(D17*D50-D32*D51)</f>
        <v>0.04350467362944531</v>
      </c>
      <c r="E71" s="169">
        <f>E16+(11/0.017)*(E17*E50-E32*E51)</f>
        <v>0.023813168481913366</v>
      </c>
      <c r="F71" s="169">
        <f>F16+(11/0.017)*(F17*F50-F32*F51)</f>
        <v>-0.03799579368271734</v>
      </c>
    </row>
    <row r="72" spans="1:6" ht="12.75">
      <c r="A72" s="169" t="s">
        <v>171</v>
      </c>
      <c r="B72" s="169">
        <f>B17+(12/0.017)*(B18*B50-B33*B51)</f>
        <v>-0.04616789455321821</v>
      </c>
      <c r="C72" s="169">
        <f>C17+(12/0.017)*(C18*C50-C33*C51)</f>
        <v>-0.03754825104567457</v>
      </c>
      <c r="D72" s="169">
        <f>D17+(12/0.017)*(D18*D50-D33*D51)</f>
        <v>-0.048691442774002947</v>
      </c>
      <c r="E72" s="169">
        <f>E17+(12/0.017)*(E18*E50-E33*E51)</f>
        <v>-0.03895141423399147</v>
      </c>
      <c r="F72" s="169">
        <f>F17+(12/0.017)*(F18*F50-F33*F51)</f>
        <v>-0.04677111102071096</v>
      </c>
    </row>
    <row r="73" spans="1:6" ht="12.75">
      <c r="A73" s="169" t="s">
        <v>172</v>
      </c>
      <c r="B73" s="169">
        <f>B18+(13/0.017)*(B19*B50-B34*B51)</f>
        <v>-0.0038939839590657888</v>
      </c>
      <c r="C73" s="169">
        <f>C18+(13/0.017)*(C19*C50-C34*C51)</f>
        <v>-0.00738724357840205</v>
      </c>
      <c r="D73" s="169">
        <f>D18+(13/0.017)*(D19*D50-D34*D51)</f>
        <v>-0.01419667758640811</v>
      </c>
      <c r="E73" s="169">
        <f>E18+(13/0.017)*(E19*E50-E34*E51)</f>
        <v>-0.009273339157946085</v>
      </c>
      <c r="F73" s="169">
        <f>F18+(13/0.017)*(F19*F50-F34*F51)</f>
        <v>-0.011385827397752984</v>
      </c>
    </row>
    <row r="74" spans="1:6" ht="12.75">
      <c r="A74" s="169" t="s">
        <v>173</v>
      </c>
      <c r="B74" s="169">
        <f>B19+(14/0.017)*(B20*B50-B35*B51)</f>
        <v>-0.19253035786908834</v>
      </c>
      <c r="C74" s="169">
        <f>C19+(14/0.017)*(C20*C50-C35*C51)</f>
        <v>-0.20721666668694824</v>
      </c>
      <c r="D74" s="169">
        <f>D19+(14/0.017)*(D20*D50-D35*D51)</f>
        <v>-0.20014346650419498</v>
      </c>
      <c r="E74" s="169">
        <f>E19+(14/0.017)*(E20*E50-E35*E51)</f>
        <v>-0.19592506271887855</v>
      </c>
      <c r="F74" s="169">
        <f>F19+(14/0.017)*(F20*F50-F35*F51)</f>
        <v>-0.14799748738493687</v>
      </c>
    </row>
    <row r="75" spans="1:6" ht="12.75">
      <c r="A75" s="169" t="s">
        <v>174</v>
      </c>
      <c r="B75" s="170">
        <f>B20</f>
        <v>0.002348243</v>
      </c>
      <c r="C75" s="170">
        <f>C20</f>
        <v>-0.003128607</v>
      </c>
      <c r="D75" s="170">
        <f>D20</f>
        <v>-0.003297119</v>
      </c>
      <c r="E75" s="170">
        <f>E20</f>
        <v>-0.004727025</v>
      </c>
      <c r="F75" s="170">
        <f>F20</f>
        <v>0.001135066</v>
      </c>
    </row>
    <row r="78" ht="12.75">
      <c r="A78" s="169" t="s">
        <v>156</v>
      </c>
    </row>
    <row r="80" spans="2:6" ht="12.75">
      <c r="B80" s="169" t="s">
        <v>85</v>
      </c>
      <c r="C80" s="169" t="s">
        <v>86</v>
      </c>
      <c r="D80" s="169" t="s">
        <v>87</v>
      </c>
      <c r="E80" s="169" t="s">
        <v>88</v>
      </c>
      <c r="F80" s="169" t="s">
        <v>89</v>
      </c>
    </row>
    <row r="81" spans="1:6" ht="12.75">
      <c r="A81" s="169" t="s">
        <v>175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176</v>
      </c>
      <c r="B82" s="169">
        <f>B22+(2/0.017)*(B8*B51+B23*B50)</f>
        <v>39.46262876962139</v>
      </c>
      <c r="C82" s="169">
        <f>C22+(2/0.017)*(C8*C51+C23*C50)</f>
        <v>-0.6109097610068079</v>
      </c>
      <c r="D82" s="169">
        <f>D22+(2/0.017)*(D8*D51+D23*D50)</f>
        <v>-18.396923878092963</v>
      </c>
      <c r="E82" s="169">
        <f>E22+(2/0.017)*(E8*E51+E23*E50)</f>
        <v>3.5138466663569137</v>
      </c>
      <c r="F82" s="169">
        <f>F22+(2/0.017)*(F8*F51+F23*F50)</f>
        <v>-16.009123742697756</v>
      </c>
    </row>
    <row r="83" spans="1:6" ht="12.75">
      <c r="A83" s="169" t="s">
        <v>177</v>
      </c>
      <c r="B83" s="169">
        <f>B23+(3/0.017)*(B9*B51+B24*B50)</f>
        <v>-1.7128420238465814</v>
      </c>
      <c r="C83" s="169">
        <f>C23+(3/0.017)*(C9*C51+C24*C50)</f>
        <v>-0.02697095234908986</v>
      </c>
      <c r="D83" s="169">
        <f>D23+(3/0.017)*(D9*D51+D24*D50)</f>
        <v>-2.1811503662764125</v>
      </c>
      <c r="E83" s="169">
        <f>E23+(3/0.017)*(E9*E51+E24*E50)</f>
        <v>-3.579701967364711</v>
      </c>
      <c r="F83" s="169">
        <f>F23+(3/0.017)*(F9*F51+F24*F50)</f>
        <v>3.5911822154232382</v>
      </c>
    </row>
    <row r="84" spans="1:6" ht="12.75">
      <c r="A84" s="169" t="s">
        <v>178</v>
      </c>
      <c r="B84" s="169">
        <f>B24+(4/0.017)*(B10*B51+B25*B50)</f>
        <v>1.2403743592847873</v>
      </c>
      <c r="C84" s="169">
        <f>C24+(4/0.017)*(C10*C51+C25*C50)</f>
        <v>2.1489164427035927</v>
      </c>
      <c r="D84" s="169">
        <f>D24+(4/0.017)*(D10*D51+D25*D50)</f>
        <v>1.9886267099404682</v>
      </c>
      <c r="E84" s="169">
        <f>E24+(4/0.017)*(E10*E51+E25*E50)</f>
        <v>3.3154449316594317</v>
      </c>
      <c r="F84" s="169">
        <f>F24+(4/0.017)*(F10*F51+F25*F50)</f>
        <v>1.8584311427116686</v>
      </c>
    </row>
    <row r="85" spans="1:6" ht="12.75">
      <c r="A85" s="169" t="s">
        <v>179</v>
      </c>
      <c r="B85" s="169">
        <f>B25+(5/0.017)*(B11*B51+B26*B50)</f>
        <v>-0.16961143725392946</v>
      </c>
      <c r="C85" s="169">
        <f>C25+(5/0.017)*(C11*C51+C26*C50)</f>
        <v>0.3548319802507591</v>
      </c>
      <c r="D85" s="169">
        <f>D25+(5/0.017)*(D11*D51+D26*D50)</f>
        <v>-0.5613592241523186</v>
      </c>
      <c r="E85" s="169">
        <f>E25+(5/0.017)*(E11*E51+E26*E50)</f>
        <v>-0.6273239619173148</v>
      </c>
      <c r="F85" s="169">
        <f>F25+(5/0.017)*(F11*F51+F26*F50)</f>
        <v>-1.7005563361621618</v>
      </c>
    </row>
    <row r="86" spans="1:6" ht="12.75">
      <c r="A86" s="169" t="s">
        <v>180</v>
      </c>
      <c r="B86" s="169">
        <f>B26+(6/0.017)*(B12*B51+B27*B50)</f>
        <v>0.45546355342595635</v>
      </c>
      <c r="C86" s="169">
        <f>C26+(6/0.017)*(C12*C51+C27*C50)</f>
        <v>-0.34590709149012827</v>
      </c>
      <c r="D86" s="169">
        <f>D26+(6/0.017)*(D12*D51+D27*D50)</f>
        <v>0.18990560815586416</v>
      </c>
      <c r="E86" s="169">
        <f>E26+(6/0.017)*(E12*E51+E27*E50)</f>
        <v>0.5520789274892558</v>
      </c>
      <c r="F86" s="169">
        <f>F26+(6/0.017)*(F12*F51+F27*F50)</f>
        <v>1.7484676082648112</v>
      </c>
    </row>
    <row r="87" spans="1:6" ht="12.75">
      <c r="A87" s="169" t="s">
        <v>181</v>
      </c>
      <c r="B87" s="169">
        <f>B27+(7/0.017)*(B13*B51+B28*B50)</f>
        <v>0.07696059197518085</v>
      </c>
      <c r="C87" s="169">
        <f>C27+(7/0.017)*(C13*C51+C28*C50)</f>
        <v>-0.17984152946171872</v>
      </c>
      <c r="D87" s="169">
        <f>D27+(7/0.017)*(D13*D51+D28*D50)</f>
        <v>-0.4195370033196338</v>
      </c>
      <c r="E87" s="169">
        <f>E27+(7/0.017)*(E13*E51+E28*E50)</f>
        <v>-0.2653456247759006</v>
      </c>
      <c r="F87" s="169">
        <f>F27+(7/0.017)*(F13*F51+F28*F50)</f>
        <v>0.15815775720374403</v>
      </c>
    </row>
    <row r="88" spans="1:6" ht="12.75">
      <c r="A88" s="169" t="s">
        <v>182</v>
      </c>
      <c r="B88" s="169">
        <f>B28+(8/0.017)*(B14*B51+B29*B50)</f>
        <v>0.3839305587987592</v>
      </c>
      <c r="C88" s="169">
        <f>C28+(8/0.017)*(C14*C51+C29*C50)</f>
        <v>-0.11287814441385527</v>
      </c>
      <c r="D88" s="169">
        <f>D28+(8/0.017)*(D14*D51+D29*D50)</f>
        <v>-0.30666974992834045</v>
      </c>
      <c r="E88" s="169">
        <f>E28+(8/0.017)*(E14*E51+E29*E50)</f>
        <v>-0.16220637967788212</v>
      </c>
      <c r="F88" s="169">
        <f>F28+(8/0.017)*(F14*F51+F29*F50)</f>
        <v>0.012198085165662759</v>
      </c>
    </row>
    <row r="89" spans="1:6" ht="12.75">
      <c r="A89" s="169" t="s">
        <v>183</v>
      </c>
      <c r="B89" s="169">
        <f>B29+(9/0.017)*(B15*B51+B30*B50)</f>
        <v>-0.1616044691146317</v>
      </c>
      <c r="C89" s="169">
        <f>C29+(9/0.017)*(C15*C51+C30*C50)</f>
        <v>0.04761409874868766</v>
      </c>
      <c r="D89" s="169">
        <f>D29+(9/0.017)*(D15*D51+D30*D50)</f>
        <v>0.037074273567529556</v>
      </c>
      <c r="E89" s="169">
        <f>E29+(9/0.017)*(E15*E51+E30*E50)</f>
        <v>0.11565699400828282</v>
      </c>
      <c r="F89" s="169">
        <f>F29+(9/0.017)*(F15*F51+F30*F50)</f>
        <v>-0.016764875366303778</v>
      </c>
    </row>
    <row r="90" spans="1:6" ht="12.75">
      <c r="A90" s="169" t="s">
        <v>184</v>
      </c>
      <c r="B90" s="169">
        <f>B30+(10/0.017)*(B16*B51+B31*B50)</f>
        <v>0.029519817141616937</v>
      </c>
      <c r="C90" s="169">
        <f>C30+(10/0.017)*(C16*C51+C31*C50)</f>
        <v>0.02516877335428376</v>
      </c>
      <c r="D90" s="169">
        <f>D30+(10/0.017)*(D16*D51+D31*D50)</f>
        <v>-0.05519017902068309</v>
      </c>
      <c r="E90" s="169">
        <f>E30+(10/0.017)*(E16*E51+E31*E50)</f>
        <v>-0.08573081116220886</v>
      </c>
      <c r="F90" s="169">
        <f>F30+(10/0.017)*(F16*F51+F31*F50)</f>
        <v>0.3139734715098044</v>
      </c>
    </row>
    <row r="91" spans="1:6" ht="12.75">
      <c r="A91" s="169" t="s">
        <v>185</v>
      </c>
      <c r="B91" s="169">
        <f>B31+(11/0.017)*(B17*B51+B32*B50)</f>
        <v>0.042653092266733104</v>
      </c>
      <c r="C91" s="169">
        <f>C31+(11/0.017)*(C17*C51+C32*C50)</f>
        <v>-0.0004968952574376864</v>
      </c>
      <c r="D91" s="169">
        <f>D31+(11/0.017)*(D17*D51+D32*D50)</f>
        <v>0.03542535686804915</v>
      </c>
      <c r="E91" s="169">
        <f>E31+(11/0.017)*(E17*E51+E32*E50)</f>
        <v>0.06748833810475041</v>
      </c>
      <c r="F91" s="169">
        <f>F31+(11/0.017)*(F17*F51+F32*F50)</f>
        <v>0.07704087142998724</v>
      </c>
    </row>
    <row r="92" spans="1:6" ht="12.75">
      <c r="A92" s="169" t="s">
        <v>186</v>
      </c>
      <c r="B92" s="169">
        <f>B32+(12/0.017)*(B18*B51+B33*B50)</f>
        <v>0.05157919445605372</v>
      </c>
      <c r="C92" s="169">
        <f>C32+(12/0.017)*(C18*C51+C33*C50)</f>
        <v>0.03681999029578295</v>
      </c>
      <c r="D92" s="169">
        <f>D32+(12/0.017)*(D18*D51+D33*D50)</f>
        <v>-0.04368233680910096</v>
      </c>
      <c r="E92" s="169">
        <f>E32+(12/0.017)*(E18*E51+E33*E50)</f>
        <v>-0.003856899545993317</v>
      </c>
      <c r="F92" s="169">
        <f>F32+(12/0.017)*(F18*F51+F33*F50)</f>
        <v>-0.023622431571481667</v>
      </c>
    </row>
    <row r="93" spans="1:6" ht="12.75">
      <c r="A93" s="169" t="s">
        <v>187</v>
      </c>
      <c r="B93" s="169">
        <f>B33+(13/0.017)*(B19*B51+B34*B50)</f>
        <v>-0.07946793653843098</v>
      </c>
      <c r="C93" s="169">
        <f>C33+(13/0.017)*(C19*C51+C34*C50)</f>
        <v>-0.07303017817681262</v>
      </c>
      <c r="D93" s="169">
        <f>D33+(13/0.017)*(D19*D51+D34*D50)</f>
        <v>-0.0713109431048975</v>
      </c>
      <c r="E93" s="169">
        <f>E33+(13/0.017)*(E19*E51+E34*E50)</f>
        <v>-0.07004311283746115</v>
      </c>
      <c r="F93" s="169">
        <f>F33+(13/0.017)*(F19*F51+F34*F50)</f>
        <v>-0.07126973090862003</v>
      </c>
    </row>
    <row r="94" spans="1:6" ht="12.75">
      <c r="A94" s="169" t="s">
        <v>188</v>
      </c>
      <c r="B94" s="169">
        <f>B34+(14/0.017)*(B20*B51+B35*B50)</f>
        <v>-0.007268888280582987</v>
      </c>
      <c r="C94" s="169">
        <f>C34+(14/0.017)*(C20*C51+C35*C50)</f>
        <v>0.005707503355296439</v>
      </c>
      <c r="D94" s="169">
        <f>D34+(14/0.017)*(D20*D51+D35*D50)</f>
        <v>-0.0019595974220662535</v>
      </c>
      <c r="E94" s="169">
        <f>E34+(14/0.017)*(E20*E51+E35*E50)</f>
        <v>-0.006125519808413868</v>
      </c>
      <c r="F94" s="169">
        <f>F34+(14/0.017)*(F20*F51+F35*F50)</f>
        <v>-0.020033245168244996</v>
      </c>
    </row>
    <row r="95" spans="1:6" ht="12.75">
      <c r="A95" s="169" t="s">
        <v>189</v>
      </c>
      <c r="B95" s="170">
        <f>B35</f>
        <v>-0.006063637</v>
      </c>
      <c r="C95" s="170">
        <f>C35</f>
        <v>0.006891665</v>
      </c>
      <c r="D95" s="170">
        <f>D35</f>
        <v>0.003425255</v>
      </c>
      <c r="E95" s="170">
        <f>E35</f>
        <v>0.0005001092</v>
      </c>
      <c r="F95" s="170">
        <f>F35</f>
        <v>0.003656506</v>
      </c>
    </row>
    <row r="98" ht="12.75">
      <c r="A98" s="169" t="s">
        <v>157</v>
      </c>
    </row>
    <row r="100" spans="2:11" ht="12.75">
      <c r="B100" s="169" t="s">
        <v>85</v>
      </c>
      <c r="C100" s="169" t="s">
        <v>86</v>
      </c>
      <c r="D100" s="169" t="s">
        <v>87</v>
      </c>
      <c r="E100" s="169" t="s">
        <v>88</v>
      </c>
      <c r="F100" s="169" t="s">
        <v>89</v>
      </c>
      <c r="G100" s="169" t="s">
        <v>159</v>
      </c>
      <c r="H100" s="169" t="s">
        <v>160</v>
      </c>
      <c r="I100" s="169" t="s">
        <v>193</v>
      </c>
      <c r="K100" s="169" t="s">
        <v>190</v>
      </c>
    </row>
    <row r="101" spans="1:9" ht="12.75">
      <c r="A101" s="169" t="s">
        <v>158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161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10000.000000000002</v>
      </c>
    </row>
    <row r="103" spans="1:11" ht="12.75">
      <c r="A103" s="169" t="s">
        <v>162</v>
      </c>
      <c r="B103" s="169">
        <f>B63*10000/B62</f>
        <v>0.30686532552201906</v>
      </c>
      <c r="C103" s="169">
        <f>C63*10000/C62</f>
        <v>-0.31401813274619955</v>
      </c>
      <c r="D103" s="169">
        <f>D63*10000/D62</f>
        <v>-1.1638544572854277</v>
      </c>
      <c r="E103" s="169">
        <f>E63*10000/E62</f>
        <v>-0.6351213594026961</v>
      </c>
      <c r="F103" s="169">
        <f>F63*10000/F62</f>
        <v>-2.861877242090968</v>
      </c>
      <c r="G103" s="169">
        <f>AVERAGE(C103:E103)</f>
        <v>-0.7043313164781079</v>
      </c>
      <c r="H103" s="169">
        <f>STDEV(C103:E103)</f>
        <v>0.42912464185289</v>
      </c>
      <c r="I103" s="169">
        <f>(B103*B4+C103*C4+D103*D4+E103*E4+F103*F4)/SUM(B4:F4)</f>
        <v>-0.8462313229916706</v>
      </c>
      <c r="K103" s="169">
        <f>(LN(H103)+LN(H123))/2-LN(K114*K115^3)</f>
        <v>-4.010559036915555</v>
      </c>
    </row>
    <row r="104" spans="1:11" ht="12.75">
      <c r="A104" s="169" t="s">
        <v>163</v>
      </c>
      <c r="B104" s="169">
        <f>B64*10000/B62</f>
        <v>0.6140697033557948</v>
      </c>
      <c r="C104" s="169">
        <f>C64*10000/C62</f>
        <v>0.4221753060587722</v>
      </c>
      <c r="D104" s="169">
        <f>D64*10000/D62</f>
        <v>0.8301319027361413</v>
      </c>
      <c r="E104" s="169">
        <f>E64*10000/E62</f>
        <v>0.0993135007829159</v>
      </c>
      <c r="F104" s="169">
        <f>F64*10000/F62</f>
        <v>0.3703650053566054</v>
      </c>
      <c r="G104" s="169">
        <f>AVERAGE(C104:E104)</f>
        <v>0.45054023652594316</v>
      </c>
      <c r="H104" s="169">
        <f>STDEV(C104:E104)</f>
        <v>0.36623395680721926</v>
      </c>
      <c r="I104" s="169">
        <f>(B104*B4+C104*C4+D104*D4+E104*E4+F104*F4)/SUM(B4:F4)</f>
        <v>0.46353091238357924</v>
      </c>
      <c r="K104" s="169">
        <f>(LN(H104)+LN(H124))/2-LN(K114*K115^4)</f>
        <v>-3.950874359476592</v>
      </c>
    </row>
    <row r="105" spans="1:11" ht="12.75">
      <c r="A105" s="169" t="s">
        <v>164</v>
      </c>
      <c r="B105" s="169">
        <f>B65*10000/B62</f>
        <v>-0.5461640714527326</v>
      </c>
      <c r="C105" s="169">
        <f>C65*10000/C62</f>
        <v>-0.11753234611410673</v>
      </c>
      <c r="D105" s="169">
        <f>D65*10000/D62</f>
        <v>0.5282177524527416</v>
      </c>
      <c r="E105" s="169">
        <f>E65*10000/E62</f>
        <v>0.6308901985696674</v>
      </c>
      <c r="F105" s="169">
        <f>F65*10000/F62</f>
        <v>0.06539389247919826</v>
      </c>
      <c r="G105" s="169">
        <f>AVERAGE(C105:E105)</f>
        <v>0.34719186830276744</v>
      </c>
      <c r="H105" s="169">
        <f>STDEV(C105:E105)</f>
        <v>0.4057238647121264</v>
      </c>
      <c r="I105" s="169">
        <f>(B105*B4+C105*C4+D105*D4+E105*E4+F105*F4)/SUM(B4:F4)</f>
        <v>0.18063214151939916</v>
      </c>
      <c r="K105" s="169">
        <f>(LN(H105)+LN(H125))/2-LN(K114*K115^5)</f>
        <v>-3.446815527660224</v>
      </c>
    </row>
    <row r="106" spans="1:11" ht="12.75">
      <c r="A106" s="169" t="s">
        <v>165</v>
      </c>
      <c r="B106" s="169">
        <f>B66*10000/B62</f>
        <v>2.402235090318501</v>
      </c>
      <c r="C106" s="169">
        <f>C66*10000/C62</f>
        <v>2.2778930009752205</v>
      </c>
      <c r="D106" s="169">
        <f>D66*10000/D62</f>
        <v>1.4082458972233598</v>
      </c>
      <c r="E106" s="169">
        <f>E66*10000/E62</f>
        <v>1.968295911010724</v>
      </c>
      <c r="F106" s="169">
        <f>F66*10000/F62</f>
        <v>13.32968835898585</v>
      </c>
      <c r="G106" s="169">
        <f>AVERAGE(C106:E106)</f>
        <v>1.8848116030697681</v>
      </c>
      <c r="H106" s="169">
        <f>STDEV(C106:E106)</f>
        <v>0.4407933115648254</v>
      </c>
      <c r="I106" s="169">
        <f>(B106*B4+C106*C4+D106*D4+E106*E4+F106*F4)/SUM(B4:F4)</f>
        <v>3.486249071119769</v>
      </c>
      <c r="K106" s="169">
        <f>(LN(H106)+LN(H126))/2-LN(K114*K115^6)</f>
        <v>-2.9114997372652525</v>
      </c>
    </row>
    <row r="107" spans="1:11" ht="12.75">
      <c r="A107" s="169" t="s">
        <v>166</v>
      </c>
      <c r="B107" s="169">
        <f>B67*10000/B62</f>
        <v>-0.10741205993735174</v>
      </c>
      <c r="C107" s="169">
        <f>C67*10000/C62</f>
        <v>0.1970966531009092</v>
      </c>
      <c r="D107" s="169">
        <f>D67*10000/D62</f>
        <v>0.2682695996612373</v>
      </c>
      <c r="E107" s="169">
        <f>E67*10000/E62</f>
        <v>0.48351915111466776</v>
      </c>
      <c r="F107" s="169">
        <f>F67*10000/F62</f>
        <v>-0.29291265473020694</v>
      </c>
      <c r="G107" s="169">
        <f>AVERAGE(C107:E107)</f>
        <v>0.3162951346256047</v>
      </c>
      <c r="H107" s="169">
        <f>STDEV(C107:E107)</f>
        <v>0.14912847095229897</v>
      </c>
      <c r="I107" s="169">
        <f>(B107*B4+C107*C4+D107*D4+E107*E4+F107*F4)/SUM(B4:F4)</f>
        <v>0.17383059323541106</v>
      </c>
      <c r="K107" s="169">
        <f>(LN(H107)+LN(H127))/2-LN(K114*K115^7)</f>
        <v>-3.5188127356040977</v>
      </c>
    </row>
    <row r="108" spans="1:9" ht="12.75">
      <c r="A108" s="169" t="s">
        <v>167</v>
      </c>
      <c r="B108" s="169">
        <f>B68*10000/B62</f>
        <v>-0.19841456515181488</v>
      </c>
      <c r="C108" s="169">
        <f>C68*10000/C62</f>
        <v>0.2670273627110937</v>
      </c>
      <c r="D108" s="169">
        <f>D68*10000/D62</f>
        <v>0.017023846991076695</v>
      </c>
      <c r="E108" s="169">
        <f>E68*10000/E62</f>
        <v>-0.2414983292546784</v>
      </c>
      <c r="F108" s="169">
        <f>F68*10000/F62</f>
        <v>-0.25527161488342354</v>
      </c>
      <c r="G108" s="169">
        <f>AVERAGE(C108:E108)</f>
        <v>0.014184293482497315</v>
      </c>
      <c r="H108" s="169">
        <f>STDEV(C108:E108)</f>
        <v>0.2542747375289431</v>
      </c>
      <c r="I108" s="169">
        <f>(B108*B4+C108*C4+D108*D4+E108*E4+F108*F4)/SUM(B4:F4)</f>
        <v>-0.052461499393625315</v>
      </c>
    </row>
    <row r="109" spans="1:9" ht="12.75">
      <c r="A109" s="169" t="s">
        <v>168</v>
      </c>
      <c r="B109" s="169">
        <f>B69*10000/B62</f>
        <v>-0.05998206920937922</v>
      </c>
      <c r="C109" s="169">
        <f>C69*10000/C62</f>
        <v>0.052381681122097574</v>
      </c>
      <c r="D109" s="169">
        <f>D69*10000/D62</f>
        <v>0.0515346986212204</v>
      </c>
      <c r="E109" s="169">
        <f>E69*10000/E62</f>
        <v>0.149824817259326</v>
      </c>
      <c r="F109" s="169">
        <f>F69*10000/F62</f>
        <v>0.028757837538387683</v>
      </c>
      <c r="G109" s="169">
        <f>AVERAGE(C109:E109)</f>
        <v>0.08458039900088132</v>
      </c>
      <c r="H109" s="169">
        <f>STDEV(C109:E109)</f>
        <v>0.05650491067377552</v>
      </c>
      <c r="I109" s="169">
        <f>(B109*B4+C109*C4+D109*D4+E109*E4+F109*F4)/SUM(B4:F4)</f>
        <v>0.05625213010799321</v>
      </c>
    </row>
    <row r="110" spans="1:11" ht="12.75">
      <c r="A110" s="169" t="s">
        <v>169</v>
      </c>
      <c r="B110" s="169">
        <f>B70*10000/B62</f>
        <v>-0.2659699773473718</v>
      </c>
      <c r="C110" s="169">
        <f>C70*10000/C62</f>
        <v>0.09544121344179436</v>
      </c>
      <c r="D110" s="169">
        <f>D70*10000/D62</f>
        <v>0.17257358147373275</v>
      </c>
      <c r="E110" s="169">
        <f>E70*10000/E62</f>
        <v>0.16112470929049738</v>
      </c>
      <c r="F110" s="169">
        <f>F70*10000/F62</f>
        <v>-0.23685710503653062</v>
      </c>
      <c r="G110" s="169">
        <f>AVERAGE(C110:E110)</f>
        <v>0.14304650140200817</v>
      </c>
      <c r="H110" s="169">
        <f>STDEV(C110:E110)</f>
        <v>0.04162291135778675</v>
      </c>
      <c r="I110" s="169">
        <f>(B110*B4+C110*C4+D110*D4+E110*E4+F110*F4)/SUM(B4:F4)</f>
        <v>0.03330868045520015</v>
      </c>
      <c r="K110" s="169">
        <f>EXP(AVERAGE(K103:K107))</f>
        <v>0.028220340142595477</v>
      </c>
    </row>
    <row r="111" spans="1:9" ht="12.75">
      <c r="A111" s="169" t="s">
        <v>170</v>
      </c>
      <c r="B111" s="169">
        <f>B71*10000/B62</f>
        <v>0.03699614521044391</v>
      </c>
      <c r="C111" s="169">
        <f>C71*10000/C62</f>
        <v>0.09705468743944316</v>
      </c>
      <c r="D111" s="169">
        <f>D71*10000/D62</f>
        <v>0.04350304864244319</v>
      </c>
      <c r="E111" s="169">
        <f>E71*10000/E62</f>
        <v>0.023811655689141738</v>
      </c>
      <c r="F111" s="169">
        <f>F71*10000/F62</f>
        <v>-0.03799847982840215</v>
      </c>
      <c r="G111" s="169">
        <f>AVERAGE(C111:E111)</f>
        <v>0.05478979725700936</v>
      </c>
      <c r="H111" s="169">
        <f>STDEV(C111:E111)</f>
        <v>0.03790354133468567</v>
      </c>
      <c r="I111" s="169">
        <f>(B111*B4+C111*C4+D111*D4+E111*E4+F111*F4)/SUM(B4:F4)</f>
        <v>0.039839729851212334</v>
      </c>
    </row>
    <row r="112" spans="1:9" ht="12.75">
      <c r="A112" s="169" t="s">
        <v>171</v>
      </c>
      <c r="B112" s="169">
        <f>B72*10000/B62</f>
        <v>-0.04616626952722159</v>
      </c>
      <c r="C112" s="169">
        <f>C72*10000/C62</f>
        <v>-0.03754783030885344</v>
      </c>
      <c r="D112" s="169">
        <f>D72*10000/D62</f>
        <v>-0.04868962405074815</v>
      </c>
      <c r="E112" s="169">
        <f>E72*10000/E62</f>
        <v>-0.038948939745225196</v>
      </c>
      <c r="F112" s="169">
        <f>F72*10000/F62</f>
        <v>-0.04677441754508813</v>
      </c>
      <c r="G112" s="169">
        <f>AVERAGE(C112:E112)</f>
        <v>-0.04172879803494226</v>
      </c>
      <c r="H112" s="169">
        <f>STDEV(C112:E112)</f>
        <v>0.006068822046321078</v>
      </c>
      <c r="I112" s="169">
        <f>(B112*B4+C112*C4+D112*D4+E112*E4+F112*F4)/SUM(B4:F4)</f>
        <v>-0.04304402038835449</v>
      </c>
    </row>
    <row r="113" spans="1:9" ht="12.75">
      <c r="A113" s="169" t="s">
        <v>172</v>
      </c>
      <c r="B113" s="169">
        <f>B73*10000/B62</f>
        <v>-0.003893846897906186</v>
      </c>
      <c r="C113" s="169">
        <f>C73*10000/C62</f>
        <v>-0.007387160802632379</v>
      </c>
      <c r="D113" s="169">
        <f>D73*10000/D62</f>
        <v>-0.014196147311965699</v>
      </c>
      <c r="E113" s="169">
        <f>E73*10000/E62</f>
        <v>-0.009272750045226472</v>
      </c>
      <c r="F113" s="169">
        <f>F73*10000/F62</f>
        <v>-0.011386632328724762</v>
      </c>
      <c r="G113" s="169">
        <f>AVERAGE(C113:E113)</f>
        <v>-0.010285352719941515</v>
      </c>
      <c r="H113" s="169">
        <f>STDEV(C113:E113)</f>
        <v>0.0035156219156361026</v>
      </c>
      <c r="I113" s="169">
        <f>(B113*B4+C113*C4+D113*D4+E113*E4+F113*F4)/SUM(B4:F4)</f>
        <v>-0.009510083688704549</v>
      </c>
    </row>
    <row r="114" spans="1:11" ht="12.75">
      <c r="A114" s="169" t="s">
        <v>173</v>
      </c>
      <c r="B114" s="169">
        <f>B74*10000/B62</f>
        <v>-0.19252358115033813</v>
      </c>
      <c r="C114" s="169">
        <f>C74*10000/C62</f>
        <v>-0.20721434477636122</v>
      </c>
      <c r="D114" s="169">
        <f>D74*10000/D62</f>
        <v>-0.20013599074344343</v>
      </c>
      <c r="E114" s="169">
        <f>E74*10000/E62</f>
        <v>-0.19591261607538016</v>
      </c>
      <c r="F114" s="169">
        <f>F74*10000/F62</f>
        <v>-0.14800795019604226</v>
      </c>
      <c r="G114" s="169">
        <f>AVERAGE(C114:E114)</f>
        <v>-0.20108765053172828</v>
      </c>
      <c r="H114" s="169">
        <f>STDEV(C114:E114)</f>
        <v>0.005710648839853634</v>
      </c>
      <c r="I114" s="169">
        <f>(B114*B4+C114*C4+D114*D4+E114*E4+F114*F4)/SUM(B4:F4)</f>
        <v>-0.19276967416299257</v>
      </c>
      <c r="J114" s="169" t="s">
        <v>191</v>
      </c>
      <c r="K114" s="169">
        <v>285</v>
      </c>
    </row>
    <row r="115" spans="1:11" ht="12.75">
      <c r="A115" s="169" t="s">
        <v>174</v>
      </c>
      <c r="B115" s="169">
        <f>B75*10000/B62</f>
        <v>0.0023481603461133907</v>
      </c>
      <c r="C115" s="169">
        <f>C75*10000/C62</f>
        <v>-0.0031285719432363134</v>
      </c>
      <c r="D115" s="169">
        <f>D75*10000/D62</f>
        <v>-0.003296995845978318</v>
      </c>
      <c r="E115" s="169">
        <f>E75*10000/E62</f>
        <v>-0.004726724703579693</v>
      </c>
      <c r="F115" s="169">
        <f>F75*10000/F62</f>
        <v>0.0011351462444782001</v>
      </c>
      <c r="G115" s="169">
        <f>AVERAGE(C115:E115)</f>
        <v>-0.003717430830931441</v>
      </c>
      <c r="H115" s="169">
        <f>STDEV(C115:E115)</f>
        <v>0.0008781214288341278</v>
      </c>
      <c r="I115" s="169">
        <f>(B115*B4+C115*C4+D115*D4+E115*E4+F115*F4)/SUM(B4:F4)</f>
        <v>-0.00219411453520918</v>
      </c>
      <c r="J115" s="169" t="s">
        <v>192</v>
      </c>
      <c r="K115" s="169">
        <v>0.5536</v>
      </c>
    </row>
    <row r="118" ht="12.75">
      <c r="A118" s="169" t="s">
        <v>157</v>
      </c>
    </row>
    <row r="120" spans="2:9" ht="12.75">
      <c r="B120" s="169" t="s">
        <v>85</v>
      </c>
      <c r="C120" s="169" t="s">
        <v>86</v>
      </c>
      <c r="D120" s="169" t="s">
        <v>87</v>
      </c>
      <c r="E120" s="169" t="s">
        <v>88</v>
      </c>
      <c r="F120" s="169" t="s">
        <v>89</v>
      </c>
      <c r="G120" s="169" t="s">
        <v>159</v>
      </c>
      <c r="H120" s="169" t="s">
        <v>160</v>
      </c>
      <c r="I120" s="169" t="s">
        <v>193</v>
      </c>
    </row>
    <row r="121" spans="1:9" ht="12.75">
      <c r="A121" s="169" t="s">
        <v>175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176</v>
      </c>
      <c r="B122" s="169">
        <f>B82*10000/B62</f>
        <v>39.46123975679622</v>
      </c>
      <c r="C122" s="169">
        <f>C82*10000/C62</f>
        <v>-0.6109029156219049</v>
      </c>
      <c r="D122" s="169">
        <f>D82*10000/D62</f>
        <v>-18.396236716009287</v>
      </c>
      <c r="E122" s="169">
        <f>E82*10000/E62</f>
        <v>3.513623440210359</v>
      </c>
      <c r="F122" s="169">
        <f>F82*10000/F62</f>
        <v>-16.010255521626185</v>
      </c>
      <c r="G122" s="169">
        <f>AVERAGE(C122:E122)</f>
        <v>-5.164505397140278</v>
      </c>
      <c r="H122" s="169">
        <f>STDEV(C122:E122)</f>
        <v>11.643108033770151</v>
      </c>
      <c r="I122" s="169">
        <f>(B122*B4+C122*C4+D122*D4+E122*E4+F122*F4)/SUM(B4:F4)</f>
        <v>-0.16995268690096296</v>
      </c>
    </row>
    <row r="123" spans="1:9" ht="12.75">
      <c r="A123" s="169" t="s">
        <v>177</v>
      </c>
      <c r="B123" s="169">
        <f>B83*10000/B62</f>
        <v>-1.712781734919746</v>
      </c>
      <c r="C123" s="169">
        <f>C83*10000/C62</f>
        <v>-0.02697065013334244</v>
      </c>
      <c r="D123" s="169">
        <f>D83*10000/D62</f>
        <v>-2.181068895926237</v>
      </c>
      <c r="E123" s="169">
        <f>E83*10000/E62</f>
        <v>-3.5794745575907903</v>
      </c>
      <c r="F123" s="169">
        <f>F83*10000/F62</f>
        <v>3.5914360971737254</v>
      </c>
      <c r="G123" s="169">
        <f>AVERAGE(C123:E123)</f>
        <v>-1.9291713678834566</v>
      </c>
      <c r="H123" s="169">
        <f>STDEV(C123:E123)</f>
        <v>1.7895977974395962</v>
      </c>
      <c r="I123" s="169">
        <f>(B123*B4+C123*C4+D123*D4+E123*E4+F123*F4)/SUM(B4:F4)</f>
        <v>-1.1614919848704657</v>
      </c>
    </row>
    <row r="124" spans="1:9" ht="12.75">
      <c r="A124" s="169" t="s">
        <v>178</v>
      </c>
      <c r="B124" s="169">
        <f>B84*10000/B62</f>
        <v>1.240330700361224</v>
      </c>
      <c r="C124" s="169">
        <f>C84*10000/C62</f>
        <v>2.1488923635987667</v>
      </c>
      <c r="D124" s="169">
        <f>D84*10000/D62</f>
        <v>1.988552430735819</v>
      </c>
      <c r="E124" s="169">
        <f>E84*10000/E62</f>
        <v>3.315234309493332</v>
      </c>
      <c r="F124" s="169">
        <f>F84*10000/F62</f>
        <v>1.8585625261178476</v>
      </c>
      <c r="G124" s="169">
        <f>AVERAGE(C124:E124)</f>
        <v>2.4842263679426395</v>
      </c>
      <c r="H124" s="169">
        <f>STDEV(C124:E124)</f>
        <v>0.7241255918056354</v>
      </c>
      <c r="I124" s="169">
        <f>(B124*B4+C124*C4+D124*D4+E124*E4+F124*F4)/SUM(B4:F4)</f>
        <v>2.2210450989087365</v>
      </c>
    </row>
    <row r="125" spans="1:9" ht="12.75">
      <c r="A125" s="169" t="s">
        <v>179</v>
      </c>
      <c r="B125" s="169">
        <f>B85*10000/B62</f>
        <v>-0.16960546723953895</v>
      </c>
      <c r="C125" s="169">
        <f>C85*10000/C62</f>
        <v>0.35482800427650607</v>
      </c>
      <c r="D125" s="169">
        <f>D85*10000/D62</f>
        <v>-0.5613382562569946</v>
      </c>
      <c r="E125" s="169">
        <f>E85*10000/E62</f>
        <v>-0.6272841095492531</v>
      </c>
      <c r="F125" s="169">
        <f>F85*10000/F62</f>
        <v>-1.7006765584715653</v>
      </c>
      <c r="G125" s="169">
        <f>AVERAGE(C125:E125)</f>
        <v>-0.2779314538432472</v>
      </c>
      <c r="H125" s="169">
        <f>STDEV(C125:E125)</f>
        <v>0.5489768781757697</v>
      </c>
      <c r="I125" s="169">
        <f>(B125*B4+C125*C4+D125*D4+E125*E4+F125*F4)/SUM(B4:F4)</f>
        <v>-0.45214590347433675</v>
      </c>
    </row>
    <row r="126" spans="1:9" ht="12.75">
      <c r="A126" s="169" t="s">
        <v>180</v>
      </c>
      <c r="B126" s="169">
        <f>B86*10000/B62</f>
        <v>0.4554475219364983</v>
      </c>
      <c r="C126" s="169">
        <f>C86*10000/C62</f>
        <v>-0.3459032155213141</v>
      </c>
      <c r="D126" s="169">
        <f>D86*10000/D62</f>
        <v>0.18989851479969946</v>
      </c>
      <c r="E126" s="169">
        <f>E86*10000/E62</f>
        <v>0.5520438552555248</v>
      </c>
      <c r="F126" s="169">
        <f>F86*10000/F62</f>
        <v>1.7485912177032712</v>
      </c>
      <c r="G126" s="169">
        <f>AVERAGE(C126:E126)</f>
        <v>0.13201305151130338</v>
      </c>
      <c r="H126" s="169">
        <f>STDEV(C126:E126)</f>
        <v>0.4517635229013743</v>
      </c>
      <c r="I126" s="169">
        <f>(B126*B4+C126*C4+D126*D4+E126*E4+F126*F4)/SUM(B4:F4)</f>
        <v>0.3943890907546566</v>
      </c>
    </row>
    <row r="127" spans="1:9" ht="12.75">
      <c r="A127" s="169" t="s">
        <v>181</v>
      </c>
      <c r="B127" s="169">
        <f>B87*10000/B62</f>
        <v>0.07695788310218837</v>
      </c>
      <c r="C127" s="169">
        <f>C87*10000/C62</f>
        <v>-0.17983951429586395</v>
      </c>
      <c r="D127" s="169">
        <f>D87*10000/D62</f>
        <v>-0.41952133276931297</v>
      </c>
      <c r="E127" s="169">
        <f>E87*10000/E62</f>
        <v>-0.26532876801265853</v>
      </c>
      <c r="F127" s="169">
        <f>F87*10000/F62</f>
        <v>0.15816893830396211</v>
      </c>
      <c r="G127" s="169">
        <f>AVERAGE(C127:E127)</f>
        <v>-0.28822987169261177</v>
      </c>
      <c r="H127" s="169">
        <f>STDEV(C127:E127)</f>
        <v>0.12147093866026078</v>
      </c>
      <c r="I127" s="169">
        <f>(B127*B4+C127*C4+D127*D4+E127*E4+F127*F4)/SUM(B4:F4)</f>
        <v>-0.1759696070441157</v>
      </c>
    </row>
    <row r="128" spans="1:9" ht="12.75">
      <c r="A128" s="169" t="s">
        <v>182</v>
      </c>
      <c r="B128" s="169">
        <f>B88*10000/B62</f>
        <v>0.38391704514072944</v>
      </c>
      <c r="C128" s="169">
        <f>C88*10000/C62</f>
        <v>-0.11287687958818873</v>
      </c>
      <c r="D128" s="169">
        <f>D88*10000/D62</f>
        <v>-0.3066582951967909</v>
      </c>
      <c r="E128" s="169">
        <f>E88*10000/E62</f>
        <v>-0.16219607510044318</v>
      </c>
      <c r="F128" s="169">
        <f>F88*10000/F62</f>
        <v>0.012198947519903976</v>
      </c>
      <c r="G128" s="169">
        <f>AVERAGE(C128:E128)</f>
        <v>-0.19391041662847427</v>
      </c>
      <c r="H128" s="169">
        <f>STDEV(C128:E128)</f>
        <v>0.10070828591896448</v>
      </c>
      <c r="I128" s="169">
        <f>(B128*B4+C128*C4+D128*D4+E128*E4+F128*F4)/SUM(B4:F4)</f>
        <v>-0.08299733586405396</v>
      </c>
    </row>
    <row r="129" spans="1:9" ht="12.75">
      <c r="A129" s="169" t="s">
        <v>183</v>
      </c>
      <c r="B129" s="169">
        <f>B89*10000/B62</f>
        <v>-0.16159878093097024</v>
      </c>
      <c r="C129" s="169">
        <f>C89*10000/C62</f>
        <v>0.04761356522171928</v>
      </c>
      <c r="D129" s="169">
        <f>D89*10000/D62</f>
        <v>0.03707288876889451</v>
      </c>
      <c r="E129" s="169">
        <f>E89*10000/E62</f>
        <v>0.11564964660028641</v>
      </c>
      <c r="F129" s="169">
        <f>F89*10000/F62</f>
        <v>-0.016766060573750623</v>
      </c>
      <c r="G129" s="169">
        <f>AVERAGE(C129:E129)</f>
        <v>0.06677870019696673</v>
      </c>
      <c r="H129" s="169">
        <f>STDEV(C129:E129)</f>
        <v>0.04265036361847215</v>
      </c>
      <c r="I129" s="169">
        <f>(B129*B4+C129*C4+D129*D4+E129*E4+F129*F4)/SUM(B4:F4)</f>
        <v>0.02264984804721086</v>
      </c>
    </row>
    <row r="130" spans="1:9" ht="12.75">
      <c r="A130" s="169" t="s">
        <v>184</v>
      </c>
      <c r="B130" s="169">
        <f>B90*10000/B62</f>
        <v>0.029518778097693994</v>
      </c>
      <c r="C130" s="169">
        <f>C90*10000/C62</f>
        <v>0.025168491332368016</v>
      </c>
      <c r="D130" s="169">
        <f>D90*10000/D62</f>
        <v>-0.05518811755656738</v>
      </c>
      <c r="E130" s="169">
        <f>E90*10000/E62</f>
        <v>-0.0857253648919433</v>
      </c>
      <c r="F130" s="169">
        <f>F90*10000/F62</f>
        <v>0.3139956681374807</v>
      </c>
      <c r="G130" s="169">
        <f>AVERAGE(C130:E130)</f>
        <v>-0.03858166370538089</v>
      </c>
      <c r="H130" s="169">
        <f>STDEV(C130:E130)</f>
        <v>0.057281694887706035</v>
      </c>
      <c r="I130" s="169">
        <f>(B130*B4+C130*C4+D130*D4+E130*E4+F130*F4)/SUM(B4:F4)</f>
        <v>0.018284736846117755</v>
      </c>
    </row>
    <row r="131" spans="1:9" ht="12.75">
      <c r="A131" s="169" t="s">
        <v>185</v>
      </c>
      <c r="B131" s="169">
        <f>B91*10000/B62</f>
        <v>0.04265159095539022</v>
      </c>
      <c r="C131" s="169">
        <f>C91*10000/C62</f>
        <v>-0.0004968896896116165</v>
      </c>
      <c r="D131" s="169">
        <f>D91*10000/D62</f>
        <v>0.03542403365976707</v>
      </c>
      <c r="E131" s="169">
        <f>E91*10000/E62</f>
        <v>0.06748405073450266</v>
      </c>
      <c r="F131" s="169">
        <f>F91*10000/F62</f>
        <v>0.07704631790140651</v>
      </c>
      <c r="G131" s="169">
        <f>AVERAGE(C131:E131)</f>
        <v>0.0341370649015527</v>
      </c>
      <c r="H131" s="169">
        <f>STDEV(C131:E131)</f>
        <v>0.03400873831348655</v>
      </c>
      <c r="I131" s="169">
        <f>(B131*B4+C131*C4+D131*D4+E131*E4+F131*F4)/SUM(B4:F4)</f>
        <v>0.04109115504937861</v>
      </c>
    </row>
    <row r="132" spans="1:9" ht="12.75">
      <c r="A132" s="169" t="s">
        <v>186</v>
      </c>
      <c r="B132" s="169">
        <f>B92*10000/B62</f>
        <v>0.051577378962133394</v>
      </c>
      <c r="C132" s="169">
        <f>C92*10000/C62</f>
        <v>0.036819577719291646</v>
      </c>
      <c r="D132" s="169">
        <f>D92*10000/D62</f>
        <v>-0.04368070518602199</v>
      </c>
      <c r="E132" s="169">
        <f>E92*10000/E62</f>
        <v>-0.0038566545265303043</v>
      </c>
      <c r="F132" s="169">
        <f>F92*10000/F62</f>
        <v>-0.02362410157982944</v>
      </c>
      <c r="G132" s="169">
        <f>AVERAGE(C132:E132)</f>
        <v>-0.0035725939977535493</v>
      </c>
      <c r="H132" s="169">
        <f>STDEV(C132:E132)</f>
        <v>0.04025089321675843</v>
      </c>
      <c r="I132" s="169">
        <f>(B132*B4+C132*C4+D132*D4+E132*E4+F132*F4)/SUM(B4:F4)</f>
        <v>0.0017084062744931552</v>
      </c>
    </row>
    <row r="133" spans="1:9" ht="12.75">
      <c r="A133" s="169" t="s">
        <v>187</v>
      </c>
      <c r="B133" s="169">
        <f>B93*10000/B62</f>
        <v>-0.07946513941146596</v>
      </c>
      <c r="C133" s="169">
        <f>C93*10000/C62</f>
        <v>-0.07302935985680685</v>
      </c>
      <c r="D133" s="169">
        <f>D93*10000/D62</f>
        <v>-0.07130827949784135</v>
      </c>
      <c r="E133" s="169">
        <f>E93*10000/E62</f>
        <v>-0.07003866316857801</v>
      </c>
      <c r="F133" s="169">
        <f>F93*10000/F62</f>
        <v>-0.07127476938424016</v>
      </c>
      <c r="G133" s="169">
        <f>AVERAGE(C133:E133)</f>
        <v>-0.07145876750774208</v>
      </c>
      <c r="H133" s="169">
        <f>STDEV(C133:E133)</f>
        <v>0.001501016872352781</v>
      </c>
      <c r="I133" s="169">
        <f>(B133*B4+C133*C4+D133*D4+E133*E4+F133*F4)/SUM(B4:F4)</f>
        <v>-0.0725903156145392</v>
      </c>
    </row>
    <row r="134" spans="1:9" ht="12.75">
      <c r="A134" s="169" t="s">
        <v>188</v>
      </c>
      <c r="B134" s="169">
        <f>B94*10000/B62</f>
        <v>-0.007268632428923802</v>
      </c>
      <c r="C134" s="169">
        <f>C94*10000/C62</f>
        <v>0.0057074394014037435</v>
      </c>
      <c r="D134" s="169">
        <f>D94*10000/D62</f>
        <v>-0.0019595242271638535</v>
      </c>
      <c r="E134" s="169">
        <f>E94*10000/E62</f>
        <v>-0.006125130669014142</v>
      </c>
      <c r="F134" s="169">
        <f>F94*10000/F62</f>
        <v>-0.02003466143593796</v>
      </c>
      <c r="G134" s="169">
        <f>AVERAGE(C134:E134)</f>
        <v>-0.0007924051649247508</v>
      </c>
      <c r="H134" s="169">
        <f>STDEV(C134:E134)</f>
        <v>0.006002004148359005</v>
      </c>
      <c r="I134" s="169">
        <f>(B134*B4+C134*C4+D134*D4+E134*E4+F134*F4)/SUM(B4:F4)</f>
        <v>-0.004294827025329069</v>
      </c>
    </row>
    <row r="135" spans="1:9" ht="12.75">
      <c r="A135" s="169" t="s">
        <v>189</v>
      </c>
      <c r="B135" s="169">
        <f>B95*10000/B62</f>
        <v>-0.006063423570995831</v>
      </c>
      <c r="C135" s="169">
        <f>C95*10000/C62</f>
        <v>0.006891587777302707</v>
      </c>
      <c r="D135" s="169">
        <f>D95*10000/D62</f>
        <v>0.0034251270598411715</v>
      </c>
      <c r="E135" s="169">
        <f>E95*10000/E62</f>
        <v>0.0005000774292768659</v>
      </c>
      <c r="F135" s="169">
        <f>F95*10000/F62</f>
        <v>0.0036567644998722598</v>
      </c>
      <c r="G135" s="169">
        <f>AVERAGE(C135:E135)</f>
        <v>0.003605597422140248</v>
      </c>
      <c r="H135" s="169">
        <f>STDEV(C135:E135)</f>
        <v>0.0031995747054853435</v>
      </c>
      <c r="I135" s="169">
        <f>(B135*B4+C135*C4+D135*D4+E135*E4+F135*F4)/SUM(B4:F4)</f>
        <v>0.0022161782107266333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1473576440</vt:i4>
  </property>
  <property fmtid="{D5CDD505-2E9C-101B-9397-08002B2CF9AE}" pid="3" name="_EmailSubject">
    <vt:lpwstr>WFM results of aperture 75     for CERN agreement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