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86_pos5ap2" sheetId="2" r:id="rId2"/>
    <sheet name="HCMQAP086_pos1ap2" sheetId="3" r:id="rId3"/>
    <sheet name="HCMQAP086_pos2ap2" sheetId="4" r:id="rId4"/>
    <sheet name="HCMQAP086_pos3ap2" sheetId="5" r:id="rId5"/>
    <sheet name="HCMQAP086_pos4ap2" sheetId="6" r:id="rId6"/>
    <sheet name="Lmag_hcmqap" sheetId="7" r:id="rId7"/>
    <sheet name="Result_HCMQAP" sheetId="8" r:id="rId8"/>
  </sheets>
  <definedNames>
    <definedName name="_xlnm.Print_Area" localSheetId="2">'HCMQAP086_pos1ap2'!$A$1:$N$28</definedName>
    <definedName name="_xlnm.Print_Area" localSheetId="3">'HCMQAP086_pos2ap2'!$A$1:$N$28</definedName>
    <definedName name="_xlnm.Print_Area" localSheetId="4">'HCMQAP086_pos3ap2'!$A$1:$N$28</definedName>
    <definedName name="_xlnm.Print_Area" localSheetId="5">'HCMQAP086_pos4ap2'!$A$1:$N$28</definedName>
    <definedName name="_xlnm.Print_Area" localSheetId="1">'HCMQAP086_pos5ap2'!$A$1:$N$28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<sst xmlns="http://schemas.openxmlformats.org/spreadsheetml/2006/main" count="505" uniqueCount="191">
  <si>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</si>
  <si>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</si>
  <si>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</si>
  <si>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</si>
  <si>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</si>
  <si>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</si>
  <si>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</si>
  <si>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</si>
  <si>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</si>
  <si>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</si>
  <si>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</si>
  <si>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</si>
  <si>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</si>
  <si>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</si>
  <si>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</si>
  <si>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hcmqap086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</si>
  <si>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</si>
  <si>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</si>
  <si>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</si>
  <si>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</si>
  <si>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</si>
  <si>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</si>
  <si>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</si>
  <si>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</si>
  <si>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</si>
  <si>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</si>
  <si>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</si>
  <si>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</si>
  <si>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</si>
  <si>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</si>
  <si>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</si>
  <si>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</si>
  <si>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</si>
  <si>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</si>
  <si>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</si>
  <si>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</si>
  <si>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</si>
  <si>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</si>
  <si>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</si>
  <si>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</si>
  <si>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</si>
  <si>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</si>
  <si>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</si>
  <si>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</si>
  <si>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</si>
  <si>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</si>
  <si>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</si>
  <si>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</si>
  <si>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</si>
  <si>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</si>
  <si>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</si>
  <si>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</si>
  <si>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</si>
  <si>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</si>
  <si>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</si>
  <si>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-2.098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</si>
  <si>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</si>
  <si>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</si>
  <si>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</si>
  <si>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</si>
  <si>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</si>
  <si>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</si>
  <si>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</si>
  <si>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</si>
  <si>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</si>
  <si>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</si>
  <si>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</si>
  <si>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</si>
  <si>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HCMQAP086_pos5ap2</t>
  </si>
  <si>
    <t>±12.5</t>
  </si>
  <si>
    <t>THCMQAP086_pos5ap2.xls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</si>
  <si>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-2.251 mT)</t>
    </r>
  </si>
  <si>
    <t>HCMQAP086_pos1ap2</t>
  </si>
  <si>
    <t>THCMQAP086_pos1ap2.xls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</si>
  <si>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</si>
  <si>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HCMQAP086_pos2ap2</t>
  </si>
  <si>
    <t>THCMQAP086_pos2ap2.xls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</si>
  <si>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</si>
  <si>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HCMQAP086_pos3ap2</t>
  </si>
  <si>
    <t>THCMQAP086_pos3ap2.xls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</si>
  <si>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-3.761 mT)</t>
    </r>
  </si>
  <si>
    <t>HCMQAP086_pos4ap2</t>
  </si>
  <si>
    <t>THCMQAP086_pos4ap2.xls</t>
  </si>
  <si>
    <t>Sommaire : Valeurs intégrales calculées avec les fichiers: HCMQAP086_pos5ap2+HCMQAP086_pos1ap2+HCMQAP086_pos2ap2+HCMQAP086_pos3ap2+HCMQAP086_pos4ap2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</si>
  <si>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</si>
  <si>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</si>
  <si>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</si>
  <si>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</si>
  <si>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</si>
  <si>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</si>
  <si>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</si>
  <si>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</si>
  <si>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</si>
  <si>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</si>
  <si>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</si>
  <si>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</si>
  <si>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</si>
  <si>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</si>
  <si>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</si>
  <si>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</si>
  <si>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</si>
  <si>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</si>
  <si>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</si>
  <si>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</si>
  <si>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</si>
  <si>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</si>
  <si>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</si>
  <si>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</si>
  <si>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</si>
  <si>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</si>
  <si>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</si>
  <si>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</si>
  <si>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</si>
  <si>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</si>
  <si>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</si>
  <si>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</si>
  <si>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</si>
  <si>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</si>
  <si>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</si>
  <si>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</si>
  <si>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</si>
  <si>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</si>
  <si>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</si>
  <si>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</si>
  <si>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</si>
  <si>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</si>
  <si>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</si>
  <si>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=-3.761</t>
    </r>
  </si>
  <si>
    <t>Gradient (T/m)</t>
  </si>
  <si>
    <t xml:space="preserve"> Fri 12/09/2003       12:32:56</t>
  </si>
  <si>
    <t>LISSNER</t>
  </si>
  <si>
    <t>HCMQAP086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</si>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</sst>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86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991141"/>
        <c:axId val="59593678"/>
      </c:lineChart>
      <c:catAx>
        <c:axId val="289911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9593678"/>
        <c:crosses val="autoZero"/>
        <c:auto val="1"/>
        <c:lblOffset val="100"/>
        <c:noMultiLvlLbl val="0"/>
      </c:catAx>
      <c:valAx>
        <c:axId val="59593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899114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0</xdr:rowOff>
    </xdr:from>
    <xdr:to>
      <xdr:col>7</xdr:col>
      <xdr:colOff>19050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171450" y="5981700"/>
        <a:ext cx="53816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37964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2267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37964</v>
      </c>
      <c r="B3" s="24">
        <v>80</v>
      </c>
      <c r="C3" s="24" t="s">
        <v>69</v>
      </c>
      <c r="D3" s="25">
        <v>5</v>
      </c>
      <c r="E3" s="25">
        <v>1</v>
      </c>
      <c r="F3" s="26"/>
      <c r="G3" s="26" t="s">
        <v>72</v>
      </c>
      <c r="H3" s="25">
        <v>2267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37964</v>
      </c>
      <c r="B4" s="24">
        <v>80</v>
      </c>
      <c r="C4" s="24" t="s">
        <v>69</v>
      </c>
      <c r="D4" s="25">
        <v>5</v>
      </c>
      <c r="E4" s="25">
        <v>2</v>
      </c>
      <c r="F4" s="26"/>
      <c r="G4" s="26" t="s">
        <v>75</v>
      </c>
      <c r="H4" s="25">
        <v>2267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37964</v>
      </c>
      <c r="B5" s="24">
        <v>80</v>
      </c>
      <c r="C5" s="24" t="s">
        <v>69</v>
      </c>
      <c r="D5" s="25">
        <v>5</v>
      </c>
      <c r="E5" s="25">
        <v>3</v>
      </c>
      <c r="F5" s="26"/>
      <c r="G5" s="26" t="s">
        <v>78</v>
      </c>
      <c r="H5" s="25">
        <v>2267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37964</v>
      </c>
      <c r="B6" s="24">
        <v>80</v>
      </c>
      <c r="C6" s="24" t="s">
        <v>69</v>
      </c>
      <c r="D6" s="25">
        <v>5</v>
      </c>
      <c r="E6" s="25">
        <v>4</v>
      </c>
      <c r="F6" s="26"/>
      <c r="G6" s="26" t="s">
        <v>81</v>
      </c>
      <c r="H6" s="25">
        <v>2267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2.6268168899999997E-05</v>
      </c>
      <c r="L2" s="54">
        <v>1.4577877597137811E-06</v>
      </c>
      <c r="M2" s="54">
        <v>6.7923682E-05</v>
      </c>
      <c r="N2" s="55">
        <v>2.0625544471870302E-07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-3.08049031E-05</v>
      </c>
      <c r="L3" s="54">
        <v>1.2057146252269875E-07</v>
      </c>
      <c r="M3" s="54">
        <v>9.81495E-06</v>
      </c>
      <c r="N3" s="55">
        <v>6.821693323502925E-08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-0.002097432111619174</v>
      </c>
      <c r="L4" s="54">
        <v>-2.952434962436245E-05</v>
      </c>
      <c r="M4" s="54">
        <v>8.834840305213175E-08</v>
      </c>
      <c r="N4" s="55">
        <v>7.0377486000000005</v>
      </c>
    </row>
    <row r="5" spans="1:14" ht="15" customHeight="1" thickBot="1">
      <c r="A5" t="s">
        <v>18</v>
      </c>
      <c r="B5" s="58">
        <v>37876.519375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2267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-2.7353579</v>
      </c>
      <c r="E8" s="77">
        <v>0.026640139105098385</v>
      </c>
      <c r="F8" s="78">
        <v>6.764179999999999</v>
      </c>
      <c r="G8" s="77">
        <v>0.03847021501379009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-1.2080473</v>
      </c>
      <c r="E9" s="80">
        <v>0.04418253133716511</v>
      </c>
      <c r="F9" s="80">
        <v>2.3164985</v>
      </c>
      <c r="G9" s="80">
        <v>0.037728545525924494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-1.2973896100000002</v>
      </c>
      <c r="E10" s="80">
        <v>0.08870092655699434</v>
      </c>
      <c r="F10" s="84">
        <v>-6.080405300000001</v>
      </c>
      <c r="G10" s="80">
        <v>0.02363274396793247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13.649752000000001</v>
      </c>
      <c r="E11" s="77">
        <v>0.009202790119453949</v>
      </c>
      <c r="F11" s="77">
        <v>1.563781</v>
      </c>
      <c r="G11" s="77">
        <v>0.009295222267405248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0.11369399100000002</v>
      </c>
      <c r="E12" s="80">
        <v>0.002214053522425003</v>
      </c>
      <c r="F12" s="80">
        <v>0.32608925</v>
      </c>
      <c r="G12" s="80">
        <v>0.002828446331468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21.832276</v>
      </c>
      <c r="D13" s="83">
        <v>-0.079716797</v>
      </c>
      <c r="E13" s="80">
        <v>0.0038255577338507114</v>
      </c>
      <c r="F13" s="80">
        <v>-0.08621190199999999</v>
      </c>
      <c r="G13" s="80">
        <v>0.001983588260375025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0.133277063</v>
      </c>
      <c r="E14" s="80">
        <v>0.007453994939508553</v>
      </c>
      <c r="F14" s="80">
        <v>0.20495332</v>
      </c>
      <c r="G14" s="80">
        <v>0.004428250497723998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-0.30816885000000005</v>
      </c>
      <c r="E15" s="77">
        <v>0.005899435474008372</v>
      </c>
      <c r="F15" s="77">
        <v>0.13413044</v>
      </c>
      <c r="G15" s="77">
        <v>0.004019715936033783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-0.0017312769999999998</v>
      </c>
      <c r="E16" s="80">
        <v>0.004209314887305048</v>
      </c>
      <c r="F16" s="80">
        <v>0.033214362000000004</v>
      </c>
      <c r="G16" s="80">
        <v>0.0024592792874225966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0.42800000309944153</v>
      </c>
      <c r="D17" s="83">
        <v>0.0147420099</v>
      </c>
      <c r="E17" s="80">
        <v>0.003367494599028654</v>
      </c>
      <c r="F17" s="80">
        <v>-0.007852705</v>
      </c>
      <c r="G17" s="80">
        <v>0.0009955751700073195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-13.732999801635742</v>
      </c>
      <c r="D18" s="83">
        <v>0.0023056765</v>
      </c>
      <c r="E18" s="80">
        <v>0.002166462319739164</v>
      </c>
      <c r="F18" s="80">
        <v>0.06920503</v>
      </c>
      <c r="G18" s="80">
        <v>0.001996741766558664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-0.12300000339746475</v>
      </c>
      <c r="D19" s="83">
        <v>-0.14218707</v>
      </c>
      <c r="E19" s="80">
        <v>0.0009860651878023157</v>
      </c>
      <c r="F19" s="80">
        <v>-0.03798676399999999</v>
      </c>
      <c r="G19" s="80">
        <v>0.001729438930727096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0.20510489999999998</v>
      </c>
      <c r="D20" s="89">
        <v>-0.000659211119</v>
      </c>
      <c r="E20" s="90">
        <v>0.0006250944654335326</v>
      </c>
      <c r="F20" s="90">
        <v>0.0026827831900000003</v>
      </c>
      <c r="G20" s="90">
        <v>0.0005479361269058138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0.5533962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0.4032336326509825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-2.0976399</v>
      </c>
      <c r="I25" s="102" t="s">
        <v>65</v>
      </c>
      <c r="J25" s="103"/>
      <c r="K25" s="102"/>
      <c r="L25" s="105">
        <v>13.739037108817525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7.29632194420534</v>
      </c>
      <c r="I26" s="107" t="s">
        <v>67</v>
      </c>
      <c r="J26" s="108"/>
      <c r="K26" s="107"/>
      <c r="L26" s="110">
        <v>0.3360937593067091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HCMQAP086_pos5ap2res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6.1295137E-05</v>
      </c>
      <c r="L2" s="54">
        <v>4.938549544818721E-07</v>
      </c>
      <c r="M2" s="54">
        <v>8.1338042E-05</v>
      </c>
      <c r="N2" s="55">
        <v>4.929000175168958E-07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-3.190532099999999E-05</v>
      </c>
      <c r="L3" s="54">
        <v>2.066482499182256E-07</v>
      </c>
      <c r="M3" s="54">
        <v>1.3841644000000002E-05</v>
      </c>
      <c r="N3" s="55">
        <v>1.37534533387076E-07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-0.0022504676165236485</v>
      </c>
      <c r="L4" s="54">
        <v>-3.115804674972391E-05</v>
      </c>
      <c r="M4" s="54">
        <v>4.68749556799138E-08</v>
      </c>
      <c r="N4" s="55">
        <v>6.9221294</v>
      </c>
    </row>
    <row r="5" spans="1:14" ht="15" customHeight="1" thickBot="1">
      <c r="A5" t="s">
        <v>18</v>
      </c>
      <c r="B5" s="58">
        <v>37876.50127314815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2267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1.2935310000000002</v>
      </c>
      <c r="E8" s="77">
        <v>0.01193815790647836</v>
      </c>
      <c r="F8" s="77">
        <v>-2.4115366</v>
      </c>
      <c r="G8" s="77">
        <v>0.022156427456634327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-0.44024867</v>
      </c>
      <c r="E9" s="80">
        <v>0.052297503219184124</v>
      </c>
      <c r="F9" s="80">
        <v>-0.31562417</v>
      </c>
      <c r="G9" s="80">
        <v>0.056887581778491854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-1.2697626</v>
      </c>
      <c r="E10" s="80">
        <v>0.01620168630236894</v>
      </c>
      <c r="F10" s="80">
        <v>-2.0840159999999996</v>
      </c>
      <c r="G10" s="80">
        <v>0.0076404951148808615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3.6720281</v>
      </c>
      <c r="E11" s="77">
        <v>0.011082760528852176</v>
      </c>
      <c r="F11" s="77">
        <v>0.7996211500000001</v>
      </c>
      <c r="G11" s="77">
        <v>0.00789924847482175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0.26341271</v>
      </c>
      <c r="E12" s="80">
        <v>0.005323717119588992</v>
      </c>
      <c r="F12" s="80">
        <v>-0.22719229</v>
      </c>
      <c r="G12" s="80">
        <v>0.004984239007351148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20.800782</v>
      </c>
      <c r="D13" s="83">
        <v>0.06443459516</v>
      </c>
      <c r="E13" s="80">
        <v>0.00483968247137882</v>
      </c>
      <c r="F13" s="80">
        <v>0.0557314917</v>
      </c>
      <c r="G13" s="80">
        <v>0.004117083709213594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0.092275187</v>
      </c>
      <c r="E14" s="80">
        <v>0.005296567714982899</v>
      </c>
      <c r="F14" s="80">
        <v>0.15334676</v>
      </c>
      <c r="G14" s="80">
        <v>0.0016674496452356944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-0.37537631</v>
      </c>
      <c r="E15" s="77">
        <v>0.004148578236743126</v>
      </c>
      <c r="F15" s="77">
        <v>0.0314134361</v>
      </c>
      <c r="G15" s="77">
        <v>0.00389644948607666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0.016577464200000003</v>
      </c>
      <c r="E16" s="80">
        <v>0.002182197094816705</v>
      </c>
      <c r="F16" s="80">
        <v>0.00950058733</v>
      </c>
      <c r="G16" s="80">
        <v>0.005663594822391852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0.2590000033378601</v>
      </c>
      <c r="D17" s="83">
        <v>0.060658129000000005</v>
      </c>
      <c r="E17" s="80">
        <v>0.002947980207113704</v>
      </c>
      <c r="F17" s="80">
        <v>-0.07515938</v>
      </c>
      <c r="G17" s="80">
        <v>0.0017854780373445483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50.354000091552734</v>
      </c>
      <c r="D18" s="83">
        <v>0.073545175</v>
      </c>
      <c r="E18" s="80">
        <v>0.0030845396614793763</v>
      </c>
      <c r="F18" s="80">
        <v>0.13068154</v>
      </c>
      <c r="G18" s="80">
        <v>0.0010080990117032904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0.03700000047683716</v>
      </c>
      <c r="D19" s="115">
        <v>-0.20012850000000001</v>
      </c>
      <c r="E19" s="80">
        <v>0.001335764758849</v>
      </c>
      <c r="F19" s="80">
        <v>-0.0008789484</v>
      </c>
      <c r="G19" s="80">
        <v>0.0010597579825056002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0.45442859999999996</v>
      </c>
      <c r="D20" s="89">
        <v>0.0054367881</v>
      </c>
      <c r="E20" s="90">
        <v>0.0010516514589701451</v>
      </c>
      <c r="F20" s="90">
        <v>-0.0001080897</v>
      </c>
      <c r="G20" s="90">
        <v>0.001379964359903991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0.6207185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0.3966091348648296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-2.2506833</v>
      </c>
      <c r="I25" s="102" t="s">
        <v>65</v>
      </c>
      <c r="J25" s="103"/>
      <c r="K25" s="102"/>
      <c r="L25" s="105">
        <v>3.7580825364428776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2.7365546260033913</v>
      </c>
      <c r="I26" s="107" t="s">
        <v>67</v>
      </c>
      <c r="J26" s="108"/>
      <c r="K26" s="107"/>
      <c r="L26" s="110">
        <v>0.3766884363460403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HCMQAP086_pos1ap2res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-2.751041E-06</v>
      </c>
      <c r="L2" s="54">
        <v>4.03325774713122E-06</v>
      </c>
      <c r="M2" s="54">
        <v>0.00016055561999999999</v>
      </c>
      <c r="N2" s="55">
        <v>1.0004637467707206E-06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-3.1383562999999994E-05</v>
      </c>
      <c r="L3" s="54">
        <v>4.147926630210101E-06</v>
      </c>
      <c r="M3" s="54">
        <v>1.2102119999999999E-05</v>
      </c>
      <c r="N3" s="55">
        <v>1.4843379603715558E-06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-0.003761262383887205</v>
      </c>
      <c r="L4" s="54">
        <v>-5.0434126892311104E-05</v>
      </c>
      <c r="M4" s="54">
        <v>5.8081814951781525E-08</v>
      </c>
      <c r="N4" s="55">
        <v>6.7040131</v>
      </c>
    </row>
    <row r="5" spans="1:14" ht="15" customHeight="1" thickBot="1">
      <c r="A5" t="s">
        <v>18</v>
      </c>
      <c r="B5" s="58">
        <v>37876.50582175926</v>
      </c>
      <c r="D5" s="59"/>
      <c r="E5" s="60" t="s">
        <v>74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2267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0.073802171</v>
      </c>
      <c r="E8" s="77">
        <v>0.013624323664754702</v>
      </c>
      <c r="F8" s="77">
        <v>-1.3490975</v>
      </c>
      <c r="G8" s="77">
        <v>0.01571663869281745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-0.21971474</v>
      </c>
      <c r="E9" s="80">
        <v>0.017537255431720276</v>
      </c>
      <c r="F9" s="80">
        <v>0.47467515000000005</v>
      </c>
      <c r="G9" s="80">
        <v>0.03771793248098286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-0.7276801299999999</v>
      </c>
      <c r="E10" s="80">
        <v>0.04755890353914606</v>
      </c>
      <c r="F10" s="84">
        <v>-2.9015043</v>
      </c>
      <c r="G10" s="80">
        <v>0.018931730905024247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4.5094079</v>
      </c>
      <c r="E11" s="77">
        <v>0.0059966106544392305</v>
      </c>
      <c r="F11" s="77">
        <v>0.48515495</v>
      </c>
      <c r="G11" s="77">
        <v>0.008175865948203189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-0.10671641300000001</v>
      </c>
      <c r="E12" s="80">
        <v>0.005895366642404372</v>
      </c>
      <c r="F12" s="80">
        <v>0.28360200999999996</v>
      </c>
      <c r="G12" s="80">
        <v>0.005447336379775753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21.041871</v>
      </c>
      <c r="D13" s="83">
        <v>0.065686754</v>
      </c>
      <c r="E13" s="80">
        <v>0.004753543072427512</v>
      </c>
      <c r="F13" s="80">
        <v>0.17960439</v>
      </c>
      <c r="G13" s="80">
        <v>0.0036428295533004096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-0.115353336</v>
      </c>
      <c r="E14" s="80">
        <v>0.002860618062348792</v>
      </c>
      <c r="F14" s="80">
        <v>0.010892170320000002</v>
      </c>
      <c r="G14" s="80">
        <v>0.0019335461970099298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-0.108950678</v>
      </c>
      <c r="E15" s="77">
        <v>0.0034865613709979468</v>
      </c>
      <c r="F15" s="77">
        <v>0.014732874200000001</v>
      </c>
      <c r="G15" s="77">
        <v>0.001709079270492303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0.07297411799999999</v>
      </c>
      <c r="E16" s="80">
        <v>0.0041778113579658115</v>
      </c>
      <c r="F16" s="80">
        <v>-0.029121980999999998</v>
      </c>
      <c r="G16" s="80">
        <v>0.0033144928281856564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0.39800000190734863</v>
      </c>
      <c r="D17" s="83">
        <v>0.11408526999999999</v>
      </c>
      <c r="E17" s="80">
        <v>0.0026434068218121527</v>
      </c>
      <c r="F17" s="80">
        <v>0.030325431899999998</v>
      </c>
      <c r="G17" s="80">
        <v>0.004407393132605747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201.9250030517578</v>
      </c>
      <c r="D18" s="83">
        <v>-0.009750220810000002</v>
      </c>
      <c r="E18" s="80">
        <v>0.002680911779785991</v>
      </c>
      <c r="F18" s="84">
        <v>0.15436368</v>
      </c>
      <c r="G18" s="80">
        <v>0.0013153824757847915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-0.3840000033378601</v>
      </c>
      <c r="D19" s="115">
        <v>-0.17360092999999996</v>
      </c>
      <c r="E19" s="80">
        <v>0.0011974702821374685</v>
      </c>
      <c r="F19" s="80">
        <v>0.00093833033</v>
      </c>
      <c r="G19" s="80">
        <v>0.0011484681286982872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-0.022145599999999998</v>
      </c>
      <c r="D20" s="89">
        <v>0.008924944</v>
      </c>
      <c r="E20" s="90">
        <v>0.0012078301924787213</v>
      </c>
      <c r="F20" s="90">
        <v>-0.0090600728</v>
      </c>
      <c r="G20" s="90">
        <v>0.0008168464302419828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0.7253939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0.3841119808759259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-3.7616005</v>
      </c>
      <c r="I25" s="102" t="s">
        <v>65</v>
      </c>
      <c r="J25" s="103"/>
      <c r="K25" s="102"/>
      <c r="L25" s="105">
        <v>4.535431063756996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1.351114660178981</v>
      </c>
      <c r="I26" s="107" t="s">
        <v>67</v>
      </c>
      <c r="J26" s="108"/>
      <c r="K26" s="107"/>
      <c r="L26" s="110">
        <v>0.10994229313077251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HCMQAP086_pos2ap2res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2.2105568899999997E-05</v>
      </c>
      <c r="L2" s="54">
        <v>5.590303665711007E-07</v>
      </c>
      <c r="M2" s="54">
        <v>0.00016889188000000001</v>
      </c>
      <c r="N2" s="55">
        <v>1.563695769800385E-07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-2.8210747099999998E-05</v>
      </c>
      <c r="L3" s="54">
        <v>6.839499802877911E-08</v>
      </c>
      <c r="M3" s="54">
        <v>1.0788279999999998E-05</v>
      </c>
      <c r="N3" s="55">
        <v>1.919044569570891E-07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-0.003759153086771791</v>
      </c>
      <c r="L4" s="54">
        <v>-5.099805109136874E-05</v>
      </c>
      <c r="M4" s="54">
        <v>5.386555936699077E-08</v>
      </c>
      <c r="N4" s="55">
        <v>6.7827675</v>
      </c>
    </row>
    <row r="5" spans="1:14" ht="15" customHeight="1" thickBot="1">
      <c r="A5" t="s">
        <v>18</v>
      </c>
      <c r="B5" s="58">
        <v>37876.51028935185</v>
      </c>
      <c r="D5" s="59"/>
      <c r="E5" s="60" t="s">
        <v>77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2267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1.170434</v>
      </c>
      <c r="E8" s="77">
        <v>0.018245321975793108</v>
      </c>
      <c r="F8" s="77">
        <v>-1.4114236</v>
      </c>
      <c r="G8" s="77">
        <v>0.012128472312684527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-0.33721356999999996</v>
      </c>
      <c r="E9" s="80">
        <v>0.029532913397710137</v>
      </c>
      <c r="F9" s="80">
        <v>0.66550069</v>
      </c>
      <c r="G9" s="80">
        <v>0.026167966831095027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-0.9602278200000001</v>
      </c>
      <c r="E10" s="80">
        <v>0.005630427862916226</v>
      </c>
      <c r="F10" s="84">
        <v>-3.2660565</v>
      </c>
      <c r="G10" s="80">
        <v>0.0036968089213175854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4.842526599999999</v>
      </c>
      <c r="E11" s="77">
        <v>0.002634016598916886</v>
      </c>
      <c r="F11" s="77">
        <v>-0.07685611300000002</v>
      </c>
      <c r="G11" s="77">
        <v>0.0034517530270305806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0.19718378999999997</v>
      </c>
      <c r="E12" s="80">
        <v>0.003191517747938771</v>
      </c>
      <c r="F12" s="80">
        <v>0.0703750576</v>
      </c>
      <c r="G12" s="80">
        <v>0.0024049596368207497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21.298218</v>
      </c>
      <c r="D13" s="83">
        <v>0.09815566</v>
      </c>
      <c r="E13" s="80">
        <v>0.003937422632225461</v>
      </c>
      <c r="F13" s="80">
        <v>0.15735854999999999</v>
      </c>
      <c r="G13" s="80">
        <v>0.0028413341711255526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-0.0135633274</v>
      </c>
      <c r="E14" s="80">
        <v>0.002036401143066817</v>
      </c>
      <c r="F14" s="80">
        <v>-0.014141658909999999</v>
      </c>
      <c r="G14" s="80">
        <v>0.0034411096947789127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-0.03596373199999999</v>
      </c>
      <c r="E15" s="77">
        <v>0.003189699412321874</v>
      </c>
      <c r="F15" s="77">
        <v>-0.018246398000000004</v>
      </c>
      <c r="G15" s="77">
        <v>0.003429620977479273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0.0299891136</v>
      </c>
      <c r="E16" s="80">
        <v>0.0012268348388621596</v>
      </c>
      <c r="F16" s="80">
        <v>-0.0031395930399999994</v>
      </c>
      <c r="G16" s="80">
        <v>0.003904537325213009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0.15800000727176666</v>
      </c>
      <c r="D17" s="83">
        <v>0.106481873</v>
      </c>
      <c r="E17" s="80">
        <v>0.0016764070169757003</v>
      </c>
      <c r="F17" s="80">
        <v>-0.0002861919999999997</v>
      </c>
      <c r="G17" s="80">
        <v>0.0014240102812009472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25.940000534057617</v>
      </c>
      <c r="D18" s="83">
        <v>0.0197730104</v>
      </c>
      <c r="E18" s="80">
        <v>0.0018819633347811786</v>
      </c>
      <c r="F18" s="84">
        <v>0.153693</v>
      </c>
      <c r="G18" s="80">
        <v>0.0015581849591767552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-0.15700000524520874</v>
      </c>
      <c r="D19" s="115">
        <v>-0.18235797000000004</v>
      </c>
      <c r="E19" s="80">
        <v>0.0012251331864695117</v>
      </c>
      <c r="F19" s="80">
        <v>-0.00027451217200000005</v>
      </c>
      <c r="G19" s="80">
        <v>0.0012123107121123553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0.0896065</v>
      </c>
      <c r="D20" s="89">
        <v>0.00318502574</v>
      </c>
      <c r="E20" s="90">
        <v>0.001070295879393681</v>
      </c>
      <c r="F20" s="90">
        <v>-0.0026075979</v>
      </c>
      <c r="G20" s="90">
        <v>0.0004777466087731442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0.7649883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0.3886242794253865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-3.7594990000000004</v>
      </c>
      <c r="I25" s="102" t="s">
        <v>65</v>
      </c>
      <c r="J25" s="103"/>
      <c r="K25" s="102"/>
      <c r="L25" s="105">
        <v>4.843136456245376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1.8335845568156817</v>
      </c>
      <c r="I26" s="107" t="s">
        <v>67</v>
      </c>
      <c r="J26" s="108"/>
      <c r="K26" s="107"/>
      <c r="L26" s="110">
        <v>0.04032767113710173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HCMQAP086_pos3ap2res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-4.310328099999999E-05</v>
      </c>
      <c r="L2" s="54">
        <v>1.3518531097846392E-06</v>
      </c>
      <c r="M2" s="54">
        <v>0.00012244386999999999</v>
      </c>
      <c r="N2" s="55">
        <v>4.6307009685643894E-07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-2.9306663E-05</v>
      </c>
      <c r="L3" s="54">
        <v>4.1394470213541613E-07</v>
      </c>
      <c r="M3" s="54">
        <v>1.0027329999999997E-05</v>
      </c>
      <c r="N3" s="55">
        <v>1.8344616267445307E-07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-0.003760538106470867</v>
      </c>
      <c r="L4" s="54">
        <v>-4.821629940536236E-05</v>
      </c>
      <c r="M4" s="54">
        <v>8.801168331801492E-08</v>
      </c>
      <c r="N4" s="55">
        <v>6.4104732</v>
      </c>
    </row>
    <row r="5" spans="1:14" ht="15" customHeight="1" thickBot="1">
      <c r="A5" t="s">
        <v>18</v>
      </c>
      <c r="B5" s="58">
        <v>37876.51482638889</v>
      </c>
      <c r="D5" s="59"/>
      <c r="E5" s="60" t="s">
        <v>80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2267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1.7461359</v>
      </c>
      <c r="E8" s="77">
        <v>0.011744632077636766</v>
      </c>
      <c r="F8" s="77">
        <v>-1.6836778</v>
      </c>
      <c r="G8" s="77">
        <v>0.016783770123561813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-0.37744489999999997</v>
      </c>
      <c r="E9" s="80">
        <v>0.008813845429437936</v>
      </c>
      <c r="F9" s="80">
        <v>2.414754</v>
      </c>
      <c r="G9" s="80">
        <v>0.032125984260415304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-0.287722241</v>
      </c>
      <c r="E10" s="80">
        <v>0.013277770583928232</v>
      </c>
      <c r="F10" s="84">
        <v>-2.4265502</v>
      </c>
      <c r="G10" s="80">
        <v>0.0037611448072744696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4.1041641</v>
      </c>
      <c r="E11" s="77">
        <v>0.0048660383724069035</v>
      </c>
      <c r="F11" s="77">
        <v>-0.122315569</v>
      </c>
      <c r="G11" s="77">
        <v>0.009515985558191224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0.44668602999999996</v>
      </c>
      <c r="E12" s="80">
        <v>0.00766660825767554</v>
      </c>
      <c r="F12" s="80">
        <v>-0.0037660814000000003</v>
      </c>
      <c r="G12" s="80">
        <v>0.003275822807332509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21.572877</v>
      </c>
      <c r="D13" s="83">
        <v>0.09908388399999998</v>
      </c>
      <c r="E13" s="80">
        <v>0.0035271973021130075</v>
      </c>
      <c r="F13" s="80">
        <v>0.24649162999999996</v>
      </c>
      <c r="G13" s="80">
        <v>0.005168942898950976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-0.032253191</v>
      </c>
      <c r="E14" s="80">
        <v>0.0016864952013135842</v>
      </c>
      <c r="F14" s="80">
        <v>-0.034197782</v>
      </c>
      <c r="G14" s="80">
        <v>0.00334309033289049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-0.006219852</v>
      </c>
      <c r="E15" s="77">
        <v>0.001865554039741653</v>
      </c>
      <c r="F15" s="77">
        <v>-0.0085890065</v>
      </c>
      <c r="G15" s="77">
        <v>0.002466414982919664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0.067695482</v>
      </c>
      <c r="E16" s="80">
        <v>0.002150196968760429</v>
      </c>
      <c r="F16" s="80">
        <v>0.007027106997999999</v>
      </c>
      <c r="G16" s="80">
        <v>0.002184786014919315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-0.11699999868869781</v>
      </c>
      <c r="D17" s="83">
        <v>0.049715843</v>
      </c>
      <c r="E17" s="80">
        <v>0.0013128229032833996</v>
      </c>
      <c r="F17" s="80">
        <v>0.061875826</v>
      </c>
      <c r="G17" s="80">
        <v>0.0015453255726722269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115.96700286865234</v>
      </c>
      <c r="D18" s="83">
        <v>-0.043342891</v>
      </c>
      <c r="E18" s="80">
        <v>0.0015905564785427392</v>
      </c>
      <c r="F18" s="80">
        <v>0.11052053000000002</v>
      </c>
      <c r="G18" s="80">
        <v>0.001143250495996889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-0.38499999046325684</v>
      </c>
      <c r="D19" s="115">
        <v>-0.17345550999999998</v>
      </c>
      <c r="E19" s="80">
        <v>0.001344905934777395</v>
      </c>
      <c r="F19" s="80">
        <v>-0.0030143753948</v>
      </c>
      <c r="G19" s="80">
        <v>0.0005803989755838304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-0.20189949999999998</v>
      </c>
      <c r="D20" s="89">
        <v>0.007178740099999999</v>
      </c>
      <c r="E20" s="90">
        <v>0.0004843989995006882</v>
      </c>
      <c r="F20" s="90">
        <v>-0.0019588482889999997</v>
      </c>
      <c r="G20" s="90">
        <v>0.001523816648799887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0.5509413000000001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0.3672933692811602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-3.7608472000000006</v>
      </c>
      <c r="I25" s="102" t="s">
        <v>65</v>
      </c>
      <c r="J25" s="103"/>
      <c r="K25" s="102"/>
      <c r="L25" s="105">
        <v>4.105986368480612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2.425646618013772</v>
      </c>
      <c r="I26" s="107" t="s">
        <v>67</v>
      </c>
      <c r="J26" s="108"/>
      <c r="K26" s="107"/>
      <c r="L26" s="110">
        <v>0.010604602376277304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HCMQAP086_pos4ap2res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120</v>
      </c>
      <c r="B1" s="131" t="s">
        <v>72</v>
      </c>
      <c r="C1" s="121" t="s">
        <v>75</v>
      </c>
      <c r="D1" s="121" t="s">
        <v>78</v>
      </c>
      <c r="E1" s="121" t="s">
        <v>81</v>
      </c>
      <c r="F1" s="128" t="s">
        <v>68</v>
      </c>
      <c r="G1" s="163" t="s">
        <v>121</v>
      </c>
    </row>
    <row r="2" spans="1:7" ht="13.5" thickBot="1">
      <c r="A2" s="140" t="s">
        <v>90</v>
      </c>
      <c r="B2" s="132">
        <v>-2.2506833</v>
      </c>
      <c r="C2" s="123">
        <v>-3.7616005</v>
      </c>
      <c r="D2" s="123">
        <v>-3.7594990000000004</v>
      </c>
      <c r="E2" s="123">
        <v>-3.7608472000000006</v>
      </c>
      <c r="F2" s="129">
        <v>-2.0976399</v>
      </c>
      <c r="G2" s="164">
        <v>3.116786413645262</v>
      </c>
    </row>
    <row r="3" spans="1:7" ht="14.25" thickBot="1" thickTop="1">
      <c r="A3" s="148" t="s">
        <v>89</v>
      </c>
      <c r="B3" s="149" t="s">
        <v>84</v>
      </c>
      <c r="C3" s="150" t="s">
        <v>85</v>
      </c>
      <c r="D3" s="150" t="s">
        <v>86</v>
      </c>
      <c r="E3" s="150" t="s">
        <v>87</v>
      </c>
      <c r="F3" s="151" t="s">
        <v>88</v>
      </c>
      <c r="G3" s="158" t="s">
        <v>122</v>
      </c>
    </row>
    <row r="4" spans="1:7" ht="12.75">
      <c r="A4" s="145" t="s">
        <v>91</v>
      </c>
      <c r="B4" s="146">
        <v>1.2935310000000002</v>
      </c>
      <c r="C4" s="147">
        <v>0.073802171</v>
      </c>
      <c r="D4" s="147">
        <v>1.170434</v>
      </c>
      <c r="E4" s="147">
        <v>1.7461359</v>
      </c>
      <c r="F4" s="152">
        <v>-2.7353579</v>
      </c>
      <c r="G4" s="159">
        <v>0.5385922858662382</v>
      </c>
    </row>
    <row r="5" spans="1:7" ht="12.75">
      <c r="A5" s="140" t="s">
        <v>93</v>
      </c>
      <c r="B5" s="134">
        <v>-0.44024867</v>
      </c>
      <c r="C5" s="118">
        <v>-0.21971474</v>
      </c>
      <c r="D5" s="118">
        <v>-0.33721356999999996</v>
      </c>
      <c r="E5" s="118">
        <v>-0.37744489999999997</v>
      </c>
      <c r="F5" s="153">
        <v>-1.2080473</v>
      </c>
      <c r="G5" s="160">
        <v>-0.4503219933102729</v>
      </c>
    </row>
    <row r="6" spans="1:7" ht="12.75">
      <c r="A6" s="140" t="s">
        <v>95</v>
      </c>
      <c r="B6" s="134">
        <v>-1.2697626</v>
      </c>
      <c r="C6" s="118">
        <v>-0.7276801299999999</v>
      </c>
      <c r="D6" s="118">
        <v>-0.9602278200000001</v>
      </c>
      <c r="E6" s="118">
        <v>-0.287722241</v>
      </c>
      <c r="F6" s="153">
        <v>-1.2973896100000002</v>
      </c>
      <c r="G6" s="160">
        <v>-0.8322688365681287</v>
      </c>
    </row>
    <row r="7" spans="1:7" ht="12.75">
      <c r="A7" s="140" t="s">
        <v>97</v>
      </c>
      <c r="B7" s="133">
        <v>3.6720281</v>
      </c>
      <c r="C7" s="117">
        <v>4.5094079</v>
      </c>
      <c r="D7" s="117">
        <v>4.842526599999999</v>
      </c>
      <c r="E7" s="117">
        <v>4.1041641</v>
      </c>
      <c r="F7" s="154">
        <v>13.649752000000001</v>
      </c>
      <c r="G7" s="160">
        <v>5.59811419043048</v>
      </c>
    </row>
    <row r="8" spans="1:7" ht="12.75">
      <c r="A8" s="140" t="s">
        <v>99</v>
      </c>
      <c r="B8" s="134">
        <v>0.26341271</v>
      </c>
      <c r="C8" s="118">
        <v>-0.10671641300000001</v>
      </c>
      <c r="D8" s="118">
        <v>0.19718378999999997</v>
      </c>
      <c r="E8" s="118">
        <v>0.44668602999999996</v>
      </c>
      <c r="F8" s="153">
        <v>0.11369399100000002</v>
      </c>
      <c r="G8" s="160">
        <v>0.18241228792494513</v>
      </c>
    </row>
    <row r="9" spans="1:7" ht="12.75">
      <c r="A9" s="140" t="s">
        <v>101</v>
      </c>
      <c r="B9" s="134">
        <v>0.06443459516</v>
      </c>
      <c r="C9" s="118">
        <v>0.065686754</v>
      </c>
      <c r="D9" s="118">
        <v>0.09815566</v>
      </c>
      <c r="E9" s="118">
        <v>0.09908388399999998</v>
      </c>
      <c r="F9" s="153">
        <v>-0.079716797</v>
      </c>
      <c r="G9" s="160">
        <v>0.06183818445720597</v>
      </c>
    </row>
    <row r="10" spans="1:7" ht="12.75">
      <c r="A10" s="140" t="s">
        <v>103</v>
      </c>
      <c r="B10" s="134">
        <v>0.092275187</v>
      </c>
      <c r="C10" s="118">
        <v>-0.115353336</v>
      </c>
      <c r="D10" s="118">
        <v>-0.0135633274</v>
      </c>
      <c r="E10" s="118">
        <v>-0.032253191</v>
      </c>
      <c r="F10" s="153">
        <v>0.133277063</v>
      </c>
      <c r="G10" s="160">
        <v>-0.007610508232219655</v>
      </c>
    </row>
    <row r="11" spans="1:7" ht="12.75">
      <c r="A11" s="140" t="s">
        <v>105</v>
      </c>
      <c r="B11" s="133">
        <v>-0.37537631</v>
      </c>
      <c r="C11" s="117">
        <v>-0.108950678</v>
      </c>
      <c r="D11" s="117">
        <v>-0.03596373199999999</v>
      </c>
      <c r="E11" s="117">
        <v>-0.006219852</v>
      </c>
      <c r="F11" s="155">
        <v>-0.30816885000000005</v>
      </c>
      <c r="G11" s="160">
        <v>-0.13177679805380452</v>
      </c>
    </row>
    <row r="12" spans="1:7" ht="12.75">
      <c r="A12" s="140" t="s">
        <v>107</v>
      </c>
      <c r="B12" s="134">
        <v>0.016577464200000003</v>
      </c>
      <c r="C12" s="118">
        <v>0.07297411799999999</v>
      </c>
      <c r="D12" s="118">
        <v>0.0299891136</v>
      </c>
      <c r="E12" s="118">
        <v>0.067695482</v>
      </c>
      <c r="F12" s="153">
        <v>-0.0017312769999999998</v>
      </c>
      <c r="G12" s="160">
        <v>0.043218377911467244</v>
      </c>
    </row>
    <row r="13" spans="1:7" ht="12.75">
      <c r="A13" s="140" t="s">
        <v>109</v>
      </c>
      <c r="B13" s="134">
        <v>0.060658129000000005</v>
      </c>
      <c r="C13" s="118">
        <v>0.11408526999999999</v>
      </c>
      <c r="D13" s="118">
        <v>0.106481873</v>
      </c>
      <c r="E13" s="118">
        <v>0.049715843</v>
      </c>
      <c r="F13" s="153">
        <v>0.0147420099</v>
      </c>
      <c r="G13" s="160">
        <v>0.07574284170233248</v>
      </c>
    </row>
    <row r="14" spans="1:7" ht="12.75">
      <c r="A14" s="140" t="s">
        <v>111</v>
      </c>
      <c r="B14" s="134">
        <v>0.073545175</v>
      </c>
      <c r="C14" s="118">
        <v>-0.009750220810000002</v>
      </c>
      <c r="D14" s="118">
        <v>0.0197730104</v>
      </c>
      <c r="E14" s="118">
        <v>-0.043342891</v>
      </c>
      <c r="F14" s="153">
        <v>0.0023056765</v>
      </c>
      <c r="G14" s="160">
        <v>0.002880152650818769</v>
      </c>
    </row>
    <row r="15" spans="1:7" ht="12.75">
      <c r="A15" s="140" t="s">
        <v>113</v>
      </c>
      <c r="B15" s="135">
        <v>-0.20012850000000001</v>
      </c>
      <c r="C15" s="119">
        <v>-0.17360092999999996</v>
      </c>
      <c r="D15" s="119">
        <v>-0.18235797000000004</v>
      </c>
      <c r="E15" s="119">
        <v>-0.17345550999999998</v>
      </c>
      <c r="F15" s="153">
        <v>-0.14218707</v>
      </c>
      <c r="G15" s="160">
        <v>-0.175276228861135</v>
      </c>
    </row>
    <row r="16" spans="1:7" ht="12.75">
      <c r="A16" s="140" t="s">
        <v>115</v>
      </c>
      <c r="B16" s="134">
        <v>0.0054367881</v>
      </c>
      <c r="C16" s="118">
        <v>0.008924944</v>
      </c>
      <c r="D16" s="118">
        <v>0.00318502574</v>
      </c>
      <c r="E16" s="118">
        <v>0.007178740099999999</v>
      </c>
      <c r="F16" s="153">
        <v>-0.000659211119</v>
      </c>
      <c r="G16" s="160">
        <v>0.005335673706988237</v>
      </c>
    </row>
    <row r="17" spans="1:7" ht="12.75">
      <c r="A17" s="140" t="s">
        <v>92</v>
      </c>
      <c r="B17" s="133">
        <v>-2.4115366</v>
      </c>
      <c r="C17" s="117">
        <v>-1.3490975</v>
      </c>
      <c r="D17" s="117">
        <v>-1.4114236</v>
      </c>
      <c r="E17" s="117">
        <v>-1.6836778</v>
      </c>
      <c r="F17" s="154">
        <v>6.764179999999999</v>
      </c>
      <c r="G17" s="160">
        <v>-0.5087473043145655</v>
      </c>
    </row>
    <row r="18" spans="1:7" ht="12.75">
      <c r="A18" s="140" t="s">
        <v>94</v>
      </c>
      <c r="B18" s="134">
        <v>-0.31562417</v>
      </c>
      <c r="C18" s="118">
        <v>0.47467515000000005</v>
      </c>
      <c r="D18" s="118">
        <v>0.66550069</v>
      </c>
      <c r="E18" s="118">
        <v>2.414754</v>
      </c>
      <c r="F18" s="153">
        <v>2.3164985</v>
      </c>
      <c r="G18" s="160">
        <v>1.1207623428892597</v>
      </c>
    </row>
    <row r="19" spans="1:7" ht="12.75">
      <c r="A19" s="140" t="s">
        <v>96</v>
      </c>
      <c r="B19" s="134">
        <v>-2.0840159999999996</v>
      </c>
      <c r="C19" s="119">
        <v>-2.9015043</v>
      </c>
      <c r="D19" s="119">
        <v>-3.2660565</v>
      </c>
      <c r="E19" s="119">
        <v>-2.4265502</v>
      </c>
      <c r="F19" s="156">
        <v>-6.080405300000001</v>
      </c>
      <c r="G19" s="161">
        <v>-3.183814597484292</v>
      </c>
    </row>
    <row r="20" spans="1:7" ht="12.75">
      <c r="A20" s="140" t="s">
        <v>98</v>
      </c>
      <c r="B20" s="133">
        <v>0.7996211500000001</v>
      </c>
      <c r="C20" s="117">
        <v>0.48515495</v>
      </c>
      <c r="D20" s="117">
        <v>-0.07685611300000002</v>
      </c>
      <c r="E20" s="117">
        <v>-0.122315569</v>
      </c>
      <c r="F20" s="155">
        <v>1.563781</v>
      </c>
      <c r="G20" s="160">
        <v>0.39384808361074597</v>
      </c>
    </row>
    <row r="21" spans="1:7" ht="12.75">
      <c r="A21" s="140" t="s">
        <v>100</v>
      </c>
      <c r="B21" s="134">
        <v>-0.22719229</v>
      </c>
      <c r="C21" s="118">
        <v>0.28360200999999996</v>
      </c>
      <c r="D21" s="118">
        <v>0.0703750576</v>
      </c>
      <c r="E21" s="118">
        <v>-0.0037660814000000003</v>
      </c>
      <c r="F21" s="153">
        <v>0.32608925</v>
      </c>
      <c r="G21" s="160">
        <v>0.09532072721087836</v>
      </c>
    </row>
    <row r="22" spans="1:7" ht="12.75">
      <c r="A22" s="140" t="s">
        <v>102</v>
      </c>
      <c r="B22" s="134">
        <v>0.0557314917</v>
      </c>
      <c r="C22" s="118">
        <v>0.17960439</v>
      </c>
      <c r="D22" s="118">
        <v>0.15735854999999999</v>
      </c>
      <c r="E22" s="118">
        <v>0.24649162999999996</v>
      </c>
      <c r="F22" s="153">
        <v>-0.08621190199999999</v>
      </c>
      <c r="G22" s="160">
        <v>0.136836987265637</v>
      </c>
    </row>
    <row r="23" spans="1:7" ht="12.75">
      <c r="A23" s="140" t="s">
        <v>104</v>
      </c>
      <c r="B23" s="134">
        <v>0.15334676</v>
      </c>
      <c r="C23" s="118">
        <v>0.010892170320000002</v>
      </c>
      <c r="D23" s="118">
        <v>-0.014141658909999999</v>
      </c>
      <c r="E23" s="118">
        <v>-0.034197782</v>
      </c>
      <c r="F23" s="153">
        <v>0.20495332</v>
      </c>
      <c r="G23" s="160">
        <v>0.040578126013100804</v>
      </c>
    </row>
    <row r="24" spans="1:7" ht="12.75">
      <c r="A24" s="140" t="s">
        <v>106</v>
      </c>
      <c r="B24" s="133">
        <v>0.0314134361</v>
      </c>
      <c r="C24" s="117">
        <v>0.014732874200000001</v>
      </c>
      <c r="D24" s="117">
        <v>-0.018246398000000004</v>
      </c>
      <c r="E24" s="117">
        <v>-0.0085890065</v>
      </c>
      <c r="F24" s="155">
        <v>0.13413044</v>
      </c>
      <c r="G24" s="160">
        <v>0.019614439904885535</v>
      </c>
    </row>
    <row r="25" spans="1:7" ht="12.75">
      <c r="A25" s="140" t="s">
        <v>108</v>
      </c>
      <c r="B25" s="134">
        <v>0.00950058733</v>
      </c>
      <c r="C25" s="118">
        <v>-0.029121980999999998</v>
      </c>
      <c r="D25" s="118">
        <v>-0.0031395930399999994</v>
      </c>
      <c r="E25" s="118">
        <v>0.007027106997999999</v>
      </c>
      <c r="F25" s="153">
        <v>0.033214362000000004</v>
      </c>
      <c r="G25" s="160">
        <v>-0.00024734667437075803</v>
      </c>
    </row>
    <row r="26" spans="1:7" ht="12.75">
      <c r="A26" s="140" t="s">
        <v>110</v>
      </c>
      <c r="B26" s="134">
        <v>-0.07515938</v>
      </c>
      <c r="C26" s="118">
        <v>0.030325431899999998</v>
      </c>
      <c r="D26" s="118">
        <v>-0.0002861919999999997</v>
      </c>
      <c r="E26" s="118">
        <v>0.061875826</v>
      </c>
      <c r="F26" s="153">
        <v>-0.007852705</v>
      </c>
      <c r="G26" s="160">
        <v>0.010241002907086825</v>
      </c>
    </row>
    <row r="27" spans="1:7" ht="12.75">
      <c r="A27" s="140" t="s">
        <v>112</v>
      </c>
      <c r="B27" s="134">
        <v>0.13068154</v>
      </c>
      <c r="C27" s="119">
        <v>0.15436368</v>
      </c>
      <c r="D27" s="119">
        <v>0.153693</v>
      </c>
      <c r="E27" s="118">
        <v>0.11052053000000002</v>
      </c>
      <c r="F27" s="153">
        <v>0.06920503</v>
      </c>
      <c r="G27" s="161">
        <v>0.1288144098762386</v>
      </c>
    </row>
    <row r="28" spans="1:7" ht="12.75">
      <c r="A28" s="140" t="s">
        <v>114</v>
      </c>
      <c r="B28" s="134">
        <v>-0.0008789484</v>
      </c>
      <c r="C28" s="118">
        <v>0.00093833033</v>
      </c>
      <c r="D28" s="118">
        <v>-0.00027451217200000005</v>
      </c>
      <c r="E28" s="118">
        <v>-0.0030143753948</v>
      </c>
      <c r="F28" s="153">
        <v>-0.03798676399999999</v>
      </c>
      <c r="G28" s="160">
        <v>-0.005790034117365846</v>
      </c>
    </row>
    <row r="29" spans="1:7" ht="13.5" thickBot="1">
      <c r="A29" s="141" t="s">
        <v>116</v>
      </c>
      <c r="B29" s="136">
        <v>-0.0001080897</v>
      </c>
      <c r="C29" s="120">
        <v>-0.0090600728</v>
      </c>
      <c r="D29" s="120">
        <v>-0.0026075979</v>
      </c>
      <c r="E29" s="120">
        <v>-0.0019588482889999997</v>
      </c>
      <c r="F29" s="157">
        <v>0.0026827831900000003</v>
      </c>
      <c r="G29" s="162">
        <v>-0.0029344552646002396</v>
      </c>
    </row>
    <row r="30" spans="1:7" ht="13.5" thickTop="1">
      <c r="A30" s="142" t="s">
        <v>117</v>
      </c>
      <c r="B30" s="137">
        <v>0.3966091348648296</v>
      </c>
      <c r="C30" s="126">
        <v>0.3841119808759259</v>
      </c>
      <c r="D30" s="126">
        <v>0.3886242794253865</v>
      </c>
      <c r="E30" s="126">
        <v>0.3672933692811602</v>
      </c>
      <c r="F30" s="122">
        <v>0.4032336326509825</v>
      </c>
      <c r="G30" s="163" t="s">
        <v>128</v>
      </c>
    </row>
    <row r="31" spans="1:7" ht="13.5" thickBot="1">
      <c r="A31" s="143" t="s">
        <v>118</v>
      </c>
      <c r="B31" s="132">
        <v>20.800782</v>
      </c>
      <c r="C31" s="123">
        <v>21.041871</v>
      </c>
      <c r="D31" s="123">
        <v>21.298218</v>
      </c>
      <c r="E31" s="123">
        <v>21.572877</v>
      </c>
      <c r="F31" s="124">
        <v>21.832276</v>
      </c>
      <c r="G31" s="165">
        <v>-210.07</v>
      </c>
    </row>
    <row r="32" spans="1:7" ht="15.75" thickBot="1" thickTop="1">
      <c r="A32" s="144" t="s">
        <v>119</v>
      </c>
      <c r="B32" s="138">
        <v>0.14800000190734863</v>
      </c>
      <c r="C32" s="127">
        <v>0.006999999284744263</v>
      </c>
      <c r="D32" s="127">
        <v>0.0005000010132789612</v>
      </c>
      <c r="E32" s="127">
        <v>-0.2509999945759773</v>
      </c>
      <c r="F32" s="125">
        <v>0.1524999998509884</v>
      </c>
      <c r="G32" s="130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129</v>
      </c>
      <c r="B1" s="166" t="s">
        <v>130</v>
      </c>
      <c r="C1" s="166" t="s">
        <v>131</v>
      </c>
      <c r="D1" s="166" t="s">
        <v>132</v>
      </c>
      <c r="E1" s="166" t="s">
        <v>133</v>
      </c>
    </row>
    <row r="3" spans="1:7" ht="12.75">
      <c r="A3" s="166" t="s">
        <v>134</v>
      </c>
      <c r="B3" s="166" t="s">
        <v>84</v>
      </c>
      <c r="C3" s="166" t="s">
        <v>85</v>
      </c>
      <c r="D3" s="166" t="s">
        <v>86</v>
      </c>
      <c r="E3" s="166" t="s">
        <v>87</v>
      </c>
      <c r="F3" s="166" t="s">
        <v>88</v>
      </c>
      <c r="G3" s="166" t="s">
        <v>135</v>
      </c>
    </row>
    <row r="4" spans="1:7" ht="12.75">
      <c r="A4" s="166" t="s">
        <v>136</v>
      </c>
      <c r="B4" s="166">
        <v>0.00225</v>
      </c>
      <c r="C4" s="166">
        <v>0.00376</v>
      </c>
      <c r="D4" s="166">
        <v>0.003758</v>
      </c>
      <c r="E4" s="166">
        <v>0.003759</v>
      </c>
      <c r="F4" s="166">
        <v>0.002097</v>
      </c>
      <c r="G4" s="166">
        <v>0.011715</v>
      </c>
    </row>
    <row r="5" spans="1:7" ht="12.75">
      <c r="A5" s="166" t="s">
        <v>137</v>
      </c>
      <c r="B5" s="166">
        <v>-0.149505</v>
      </c>
      <c r="C5" s="166">
        <v>-0.063734</v>
      </c>
      <c r="D5" s="166">
        <v>-0.233059</v>
      </c>
      <c r="E5" s="166">
        <v>0.420753</v>
      </c>
      <c r="F5" s="166">
        <v>-0.121223</v>
      </c>
      <c r="G5" s="166">
        <v>-6.741179</v>
      </c>
    </row>
    <row r="6" spans="1:7" ht="12.75">
      <c r="A6" s="166" t="s">
        <v>138</v>
      </c>
      <c r="B6" s="167">
        <v>-308.2728</v>
      </c>
      <c r="C6" s="167">
        <v>-28.16368</v>
      </c>
      <c r="D6" s="167">
        <v>-94.29545</v>
      </c>
      <c r="E6" s="167">
        <v>78.90121</v>
      </c>
      <c r="F6" s="167">
        <v>-161.3431</v>
      </c>
      <c r="G6" s="167">
        <v>769.7611</v>
      </c>
    </row>
    <row r="7" spans="1:7" ht="12.75">
      <c r="A7" s="166" t="s">
        <v>139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</row>
    <row r="8" spans="1:7" ht="12.75">
      <c r="A8" s="166" t="s">
        <v>91</v>
      </c>
      <c r="B8" s="167">
        <v>1.250214</v>
      </c>
      <c r="C8" s="167">
        <v>0.06788042</v>
      </c>
      <c r="D8" s="167">
        <v>1.153763</v>
      </c>
      <c r="E8" s="167">
        <v>1.809754</v>
      </c>
      <c r="F8" s="167">
        <v>-2.724167</v>
      </c>
      <c r="G8" s="167">
        <v>-0.5270221</v>
      </c>
    </row>
    <row r="9" spans="1:7" ht="12.75">
      <c r="A9" s="166" t="s">
        <v>93</v>
      </c>
      <c r="B9" s="167">
        <v>-0.5599374</v>
      </c>
      <c r="C9" s="167">
        <v>-0.1593477</v>
      </c>
      <c r="D9" s="167">
        <v>-0.262244</v>
      </c>
      <c r="E9" s="167">
        <v>-0.4161925</v>
      </c>
      <c r="F9" s="167">
        <v>-1.421172</v>
      </c>
      <c r="G9" s="167">
        <v>0.4729646</v>
      </c>
    </row>
    <row r="10" spans="1:7" ht="12.75">
      <c r="A10" s="166" t="s">
        <v>140</v>
      </c>
      <c r="B10" s="167">
        <v>-0.8382062</v>
      </c>
      <c r="C10" s="167">
        <v>-0.8488281</v>
      </c>
      <c r="D10" s="167">
        <v>-0.9209059</v>
      </c>
      <c r="E10" s="167">
        <v>-0.6029302</v>
      </c>
      <c r="F10" s="167">
        <v>-0.6780839</v>
      </c>
      <c r="G10" s="167">
        <v>3.188978</v>
      </c>
    </row>
    <row r="11" spans="1:7" ht="12.75">
      <c r="A11" s="166" t="s">
        <v>97</v>
      </c>
      <c r="B11" s="167">
        <v>3.701527</v>
      </c>
      <c r="C11" s="167">
        <v>4.504712</v>
      </c>
      <c r="D11" s="167">
        <v>4.840412</v>
      </c>
      <c r="E11" s="167">
        <v>4.063015</v>
      </c>
      <c r="F11" s="167">
        <v>13.66864</v>
      </c>
      <c r="G11" s="167">
        <v>5.593409</v>
      </c>
    </row>
    <row r="12" spans="1:7" ht="12.75">
      <c r="A12" s="166" t="s">
        <v>99</v>
      </c>
      <c r="B12" s="167">
        <v>0.2839402</v>
      </c>
      <c r="C12" s="167">
        <v>-0.1110876</v>
      </c>
      <c r="D12" s="167">
        <v>0.1947657</v>
      </c>
      <c r="E12" s="167">
        <v>0.4487055</v>
      </c>
      <c r="F12" s="167">
        <v>0.1089264</v>
      </c>
      <c r="G12" s="167">
        <v>0.09091107</v>
      </c>
    </row>
    <row r="13" spans="1:7" ht="12.75">
      <c r="A13" s="166" t="s">
        <v>101</v>
      </c>
      <c r="B13" s="167">
        <v>0.07516094</v>
      </c>
      <c r="C13" s="167">
        <v>0.06854983</v>
      </c>
      <c r="D13" s="167">
        <v>0.09804064</v>
      </c>
      <c r="E13" s="167">
        <v>0.1002376</v>
      </c>
      <c r="F13" s="167">
        <v>-0.05945372</v>
      </c>
      <c r="G13" s="167">
        <v>-0.06703088</v>
      </c>
    </row>
    <row r="14" spans="1:7" ht="12.75">
      <c r="A14" s="166" t="s">
        <v>103</v>
      </c>
      <c r="B14" s="167">
        <v>0.0158558</v>
      </c>
      <c r="C14" s="167">
        <v>-0.1111096</v>
      </c>
      <c r="D14" s="167">
        <v>-0.01314504</v>
      </c>
      <c r="E14" s="167">
        <v>-0.03150776</v>
      </c>
      <c r="F14" s="167">
        <v>0.1173</v>
      </c>
      <c r="G14" s="167">
        <v>-0.0448217</v>
      </c>
    </row>
    <row r="15" spans="1:7" ht="12.75">
      <c r="A15" s="166" t="s">
        <v>105</v>
      </c>
      <c r="B15" s="167">
        <v>-0.3695234</v>
      </c>
      <c r="C15" s="167">
        <v>-0.1119814</v>
      </c>
      <c r="D15" s="167">
        <v>-0.03639405</v>
      </c>
      <c r="E15" s="167">
        <v>-0.01728257</v>
      </c>
      <c r="F15" s="167">
        <v>-0.3083651</v>
      </c>
      <c r="G15" s="167">
        <v>-0.1344581</v>
      </c>
    </row>
    <row r="16" spans="1:7" ht="12.75">
      <c r="A16" s="166" t="s">
        <v>107</v>
      </c>
      <c r="B16" s="167">
        <v>0.02901043</v>
      </c>
      <c r="C16" s="167">
        <v>0.06467009</v>
      </c>
      <c r="D16" s="167">
        <v>0.03059124</v>
      </c>
      <c r="E16" s="167">
        <v>0.06069197</v>
      </c>
      <c r="F16" s="167">
        <v>-0.001688609</v>
      </c>
      <c r="G16" s="167">
        <v>-0.004459805</v>
      </c>
    </row>
    <row r="17" spans="1:7" ht="12.75">
      <c r="A17" s="166" t="s">
        <v>109</v>
      </c>
      <c r="B17" s="167">
        <v>0.08315868</v>
      </c>
      <c r="C17" s="167">
        <v>0.1075639</v>
      </c>
      <c r="D17" s="167">
        <v>0.09549933</v>
      </c>
      <c r="E17" s="167">
        <v>0.0647606</v>
      </c>
      <c r="F17" s="167">
        <v>0.01986399</v>
      </c>
      <c r="G17" s="167">
        <v>-0.07907771</v>
      </c>
    </row>
    <row r="18" spans="1:7" ht="12.75">
      <c r="A18" s="166" t="s">
        <v>141</v>
      </c>
      <c r="B18" s="167">
        <v>0.05517092</v>
      </c>
      <c r="C18" s="167">
        <v>-0.006273856</v>
      </c>
      <c r="D18" s="167">
        <v>0.01904558</v>
      </c>
      <c r="E18" s="167">
        <v>-0.03300603</v>
      </c>
      <c r="F18" s="167">
        <v>-0.003226028</v>
      </c>
      <c r="G18" s="167">
        <v>-0.1285735</v>
      </c>
    </row>
    <row r="19" spans="1:7" ht="12.75">
      <c r="A19" s="166" t="s">
        <v>113</v>
      </c>
      <c r="B19" s="167">
        <v>-0.2001193</v>
      </c>
      <c r="C19" s="167">
        <v>-0.1735266</v>
      </c>
      <c r="D19" s="167">
        <v>-0.1823417</v>
      </c>
      <c r="E19" s="167">
        <v>-0.1735634</v>
      </c>
      <c r="F19" s="167">
        <v>-0.1422149</v>
      </c>
      <c r="G19" s="167">
        <v>-0.1752818</v>
      </c>
    </row>
    <row r="20" spans="1:7" ht="12.75">
      <c r="A20" s="166" t="s">
        <v>115</v>
      </c>
      <c r="B20" s="167">
        <v>0.005392341</v>
      </c>
      <c r="C20" s="167">
        <v>0.008910052</v>
      </c>
      <c r="D20" s="167">
        <v>0.00314537</v>
      </c>
      <c r="E20" s="167">
        <v>0.007198152</v>
      </c>
      <c r="F20" s="167">
        <v>-0.0006988139</v>
      </c>
      <c r="G20" s="167">
        <v>-0.002931345</v>
      </c>
    </row>
    <row r="21" spans="1:7" ht="12.75">
      <c r="A21" s="166" t="s">
        <v>142</v>
      </c>
      <c r="B21" s="167">
        <v>-748.1154</v>
      </c>
      <c r="C21" s="167">
        <v>-811.6576</v>
      </c>
      <c r="D21" s="167">
        <v>-834.4885</v>
      </c>
      <c r="E21" s="167">
        <v>-709.71</v>
      </c>
      <c r="F21" s="167">
        <v>-709.5112</v>
      </c>
      <c r="G21" s="167">
        <v>-76.51093</v>
      </c>
    </row>
    <row r="22" spans="1:7" ht="12.75">
      <c r="A22" s="166" t="s">
        <v>143</v>
      </c>
      <c r="B22" s="167">
        <v>-2.990096</v>
      </c>
      <c r="C22" s="167">
        <v>-1.274686</v>
      </c>
      <c r="D22" s="167">
        <v>-4.661171</v>
      </c>
      <c r="E22" s="167">
        <v>8.41507</v>
      </c>
      <c r="F22" s="167">
        <v>-2.424469</v>
      </c>
      <c r="G22" s="167">
        <v>0</v>
      </c>
    </row>
    <row r="23" spans="1:7" ht="12.75">
      <c r="A23" s="166" t="s">
        <v>92</v>
      </c>
      <c r="B23" s="167">
        <v>-2.433833</v>
      </c>
      <c r="C23" s="167">
        <v>-1.356642</v>
      </c>
      <c r="D23" s="167">
        <v>-1.412446</v>
      </c>
      <c r="E23" s="167">
        <v>-1.789346</v>
      </c>
      <c r="F23" s="167">
        <v>6.856168</v>
      </c>
      <c r="G23" s="167">
        <v>-0.5437112</v>
      </c>
    </row>
    <row r="24" spans="1:7" ht="12.75">
      <c r="A24" s="166" t="s">
        <v>94</v>
      </c>
      <c r="B24" s="167">
        <v>-0.4965369</v>
      </c>
      <c r="C24" s="167">
        <v>0.5186361</v>
      </c>
      <c r="D24" s="167">
        <v>0.6208335</v>
      </c>
      <c r="E24" s="167">
        <v>2.579937</v>
      </c>
      <c r="F24" s="167">
        <v>2.141749</v>
      </c>
      <c r="G24" s="167">
        <v>-1.110834</v>
      </c>
    </row>
    <row r="25" spans="1:7" ht="12.75">
      <c r="A25" s="166" t="s">
        <v>96</v>
      </c>
      <c r="B25" s="167">
        <v>-2.019641</v>
      </c>
      <c r="C25" s="167">
        <v>-2.816287</v>
      </c>
      <c r="D25" s="167">
        <v>-3.10643</v>
      </c>
      <c r="E25" s="167">
        <v>-2.539509</v>
      </c>
      <c r="F25" s="167">
        <v>-6.423888</v>
      </c>
      <c r="G25" s="167">
        <v>-0.7824269</v>
      </c>
    </row>
    <row r="26" spans="1:7" ht="12.75">
      <c r="A26" s="166" t="s">
        <v>98</v>
      </c>
      <c r="B26" s="167">
        <v>0.756634</v>
      </c>
      <c r="C26" s="167">
        <v>0.4703639</v>
      </c>
      <c r="D26" s="167">
        <v>-0.07763245</v>
      </c>
      <c r="E26" s="167">
        <v>-0.1278316</v>
      </c>
      <c r="F26" s="167">
        <v>1.563134</v>
      </c>
      <c r="G26" s="167">
        <v>0.3827751</v>
      </c>
    </row>
    <row r="27" spans="1:7" ht="12.75">
      <c r="A27" s="166" t="s">
        <v>100</v>
      </c>
      <c r="B27" s="167">
        <v>-0.2163854</v>
      </c>
      <c r="C27" s="167">
        <v>0.280899</v>
      </c>
      <c r="D27" s="167">
        <v>0.07737391</v>
      </c>
      <c r="E27" s="167">
        <v>-0.03267349</v>
      </c>
      <c r="F27" s="167">
        <v>0.3256715</v>
      </c>
      <c r="G27" s="167">
        <v>-0.1835742</v>
      </c>
    </row>
    <row r="28" spans="1:7" ht="12.75">
      <c r="A28" s="166" t="s">
        <v>102</v>
      </c>
      <c r="B28" s="167">
        <v>0.0844801</v>
      </c>
      <c r="C28" s="167">
        <v>0.17551</v>
      </c>
      <c r="D28" s="167">
        <v>0.1569105</v>
      </c>
      <c r="E28" s="167">
        <v>0.2527834</v>
      </c>
      <c r="F28" s="167">
        <v>-0.07867829</v>
      </c>
      <c r="G28" s="167">
        <v>-0.1424108</v>
      </c>
    </row>
    <row r="29" spans="1:7" ht="12.75">
      <c r="A29" s="166" t="s">
        <v>104</v>
      </c>
      <c r="B29" s="167">
        <v>0.1646308</v>
      </c>
      <c r="C29" s="167">
        <v>0.005681948</v>
      </c>
      <c r="D29" s="167">
        <v>-0.01663361</v>
      </c>
      <c r="E29" s="167">
        <v>-0.03154568</v>
      </c>
      <c r="F29" s="167">
        <v>0.2335198</v>
      </c>
      <c r="G29" s="167">
        <v>-0.01945964</v>
      </c>
    </row>
    <row r="30" spans="1:7" ht="12.75">
      <c r="A30" s="166" t="s">
        <v>106</v>
      </c>
      <c r="B30" s="167">
        <v>0.0327717</v>
      </c>
      <c r="C30" s="167">
        <v>0.01947025</v>
      </c>
      <c r="D30" s="167">
        <v>-0.01574004</v>
      </c>
      <c r="E30" s="167">
        <v>-0.01274733</v>
      </c>
      <c r="F30" s="167">
        <v>0.137202</v>
      </c>
      <c r="G30" s="167">
        <v>0.02095496</v>
      </c>
    </row>
    <row r="31" spans="1:7" ht="12.75">
      <c r="A31" s="166" t="s">
        <v>108</v>
      </c>
      <c r="B31" s="167">
        <v>-0.008410937</v>
      </c>
      <c r="C31" s="167">
        <v>-0.02680853</v>
      </c>
      <c r="D31" s="167">
        <v>0.00285234</v>
      </c>
      <c r="E31" s="167">
        <v>-0.006256774</v>
      </c>
      <c r="F31" s="167">
        <v>0.02994412</v>
      </c>
      <c r="G31" s="167">
        <v>-0.04147568</v>
      </c>
    </row>
    <row r="32" spans="1:7" ht="12.75">
      <c r="A32" s="166" t="s">
        <v>110</v>
      </c>
      <c r="B32" s="167">
        <v>-0.04214695</v>
      </c>
      <c r="C32" s="167">
        <v>0.0206428</v>
      </c>
      <c r="D32" s="167">
        <v>0.003615098</v>
      </c>
      <c r="E32" s="167">
        <v>0.04345683</v>
      </c>
      <c r="F32" s="167">
        <v>-0.001993944</v>
      </c>
      <c r="G32" s="167">
        <v>-0.009964661</v>
      </c>
    </row>
    <row r="33" spans="1:7" ht="12.75">
      <c r="A33" s="166" t="s">
        <v>112</v>
      </c>
      <c r="B33" s="167">
        <v>0.1327845</v>
      </c>
      <c r="C33" s="167">
        <v>0.1515109</v>
      </c>
      <c r="D33" s="167">
        <v>0.148946</v>
      </c>
      <c r="E33" s="167">
        <v>0.1147701</v>
      </c>
      <c r="F33" s="167">
        <v>0.07115939</v>
      </c>
      <c r="G33" s="167">
        <v>0.002627438</v>
      </c>
    </row>
    <row r="34" spans="1:7" ht="12.75">
      <c r="A34" s="166" t="s">
        <v>114</v>
      </c>
      <c r="B34" s="167">
        <v>-0.0004965876</v>
      </c>
      <c r="C34" s="167">
        <v>0.001167029</v>
      </c>
      <c r="D34" s="167">
        <v>0.0003373745</v>
      </c>
      <c r="E34" s="167">
        <v>-0.004025618</v>
      </c>
      <c r="F34" s="167">
        <v>-0.03770021</v>
      </c>
      <c r="G34" s="167">
        <v>-0.005757411</v>
      </c>
    </row>
    <row r="35" spans="1:7" ht="12.75">
      <c r="A35" s="166" t="s">
        <v>116</v>
      </c>
      <c r="B35" s="167">
        <v>-0.0001243678</v>
      </c>
      <c r="C35" s="167">
        <v>-0.009069769</v>
      </c>
      <c r="D35" s="167">
        <v>-0.002621015</v>
      </c>
      <c r="E35" s="167">
        <v>-0.001913888</v>
      </c>
      <c r="F35" s="167">
        <v>0.002679265</v>
      </c>
      <c r="G35" s="167">
        <v>-0.005315811</v>
      </c>
    </row>
    <row r="36" spans="1:6" ht="12.75">
      <c r="A36" s="166" t="s">
        <v>144</v>
      </c>
      <c r="B36" s="167">
        <v>21.83228</v>
      </c>
      <c r="C36" s="167">
        <v>21.84143</v>
      </c>
      <c r="D36" s="167">
        <v>21.85974</v>
      </c>
      <c r="E36" s="167">
        <v>21.8689</v>
      </c>
      <c r="F36" s="167">
        <v>21.89026</v>
      </c>
    </row>
    <row r="37" spans="1:6" ht="12.75">
      <c r="A37" s="166" t="s">
        <v>145</v>
      </c>
      <c r="B37" s="167">
        <v>0.209554</v>
      </c>
      <c r="C37" s="167">
        <v>0.1373291</v>
      </c>
      <c r="D37" s="167">
        <v>0.05696615</v>
      </c>
      <c r="E37" s="167">
        <v>0.01831055</v>
      </c>
      <c r="F37" s="167">
        <v>-0.007629395</v>
      </c>
    </row>
    <row r="38" spans="1:7" ht="12.75">
      <c r="A38" s="166" t="s">
        <v>146</v>
      </c>
      <c r="B38" s="167">
        <v>0.0005236835</v>
      </c>
      <c r="C38" s="167">
        <v>4.770237E-05</v>
      </c>
      <c r="D38" s="167">
        <v>0.000159641</v>
      </c>
      <c r="E38" s="167">
        <v>-0.0001331167</v>
      </c>
      <c r="F38" s="167">
        <v>0.0002739909</v>
      </c>
      <c r="G38" s="167">
        <v>6.062328E-05</v>
      </c>
    </row>
    <row r="39" spans="1:7" ht="12.75">
      <c r="A39" s="166" t="s">
        <v>147</v>
      </c>
      <c r="B39" s="167">
        <v>0.001271953</v>
      </c>
      <c r="C39" s="167">
        <v>0.001379824</v>
      </c>
      <c r="D39" s="167">
        <v>0.001418705</v>
      </c>
      <c r="E39" s="167">
        <v>0.001206619</v>
      </c>
      <c r="F39" s="167">
        <v>0.001206236</v>
      </c>
      <c r="G39" s="167">
        <v>0.0006547045</v>
      </c>
    </row>
    <row r="40" spans="2:5" ht="12.75">
      <c r="B40" s="166" t="s">
        <v>148</v>
      </c>
      <c r="C40" s="166">
        <v>0.003759</v>
      </c>
      <c r="D40" s="166" t="s">
        <v>149</v>
      </c>
      <c r="E40" s="166">
        <v>3.116787</v>
      </c>
    </row>
    <row r="42" ht="12.75">
      <c r="A42" s="166" t="s">
        <v>150</v>
      </c>
    </row>
    <row r="50" spans="1:7" ht="12.75">
      <c r="A50" s="166" t="s">
        <v>151</v>
      </c>
      <c r="B50" s="166">
        <f>-0.017/(B7*B7+B22*B22)*(B21*B22+B6*B7)</f>
        <v>0.0005236834339121076</v>
      </c>
      <c r="C50" s="166">
        <f>-0.017/(C7*C7+C22*C22)*(C21*C22+C6*C7)</f>
        <v>4.770237176640291E-05</v>
      </c>
      <c r="D50" s="166">
        <f>-0.017/(D7*D7+D22*D22)*(D21*D22+D6*D7)</f>
        <v>0.0001596409824042522</v>
      </c>
      <c r="E50" s="166">
        <f>-0.017/(E7*E7+E22*E22)*(E21*E22+E6*E7)</f>
        <v>-0.0001331166786495008</v>
      </c>
      <c r="F50" s="166">
        <f>-0.017/(F7*F7+F22*F22)*(F21*F22+F6*F7)</f>
        <v>0.00027399082195005874</v>
      </c>
      <c r="G50" s="166">
        <f>(B50*B$4+C50*C$4+D50*D$4+E50*E$4+F50*F$4)/SUM(B$4:F$4)</f>
        <v>0.00013004048992606865</v>
      </c>
    </row>
    <row r="51" spans="1:7" ht="12.75">
      <c r="A51" s="166" t="s">
        <v>152</v>
      </c>
      <c r="B51" s="166">
        <f>-0.017/(B7*B7+B22*B22)*(B21*B7-B6*B22)</f>
        <v>0.0012719527663741007</v>
      </c>
      <c r="C51" s="166">
        <f>-0.017/(C7*C7+C22*C22)*(C21*C7-C6*C22)</f>
        <v>0.0013798240005545458</v>
      </c>
      <c r="D51" s="166">
        <f>-0.017/(D7*D7+D22*D22)*(D21*D7-D6*D22)</f>
        <v>0.0014187048613917596</v>
      </c>
      <c r="E51" s="166">
        <f>-0.017/(E7*E7+E22*E22)*(E21*E7-E6*E22)</f>
        <v>0.0012066190186169005</v>
      </c>
      <c r="F51" s="166">
        <f>-0.017/(F7*F7+F22*F22)*(F21*F7-F6*F22)</f>
        <v>0.0012062354682254104</v>
      </c>
      <c r="G51" s="166">
        <f>(B51*B$4+C51*C$4+D51*D$4+E51*E$4+F51*F$4)/SUM(B$4:F$4)</f>
        <v>0.0013086713711845028</v>
      </c>
    </row>
    <row r="58" ht="12.75">
      <c r="A58" s="166" t="s">
        <v>154</v>
      </c>
    </row>
    <row r="60" spans="2:6" ht="12.75">
      <c r="B60" s="166" t="s">
        <v>84</v>
      </c>
      <c r="C60" s="166" t="s">
        <v>85</v>
      </c>
      <c r="D60" s="166" t="s">
        <v>86</v>
      </c>
      <c r="E60" s="166" t="s">
        <v>87</v>
      </c>
      <c r="F60" s="166" t="s">
        <v>88</v>
      </c>
    </row>
    <row r="61" spans="1:6" ht="12.75">
      <c r="A61" s="166" t="s">
        <v>156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159</v>
      </c>
      <c r="B62" s="166">
        <f>B7+(2/0.017)*(B8*B50-B23*B51)</f>
        <v>10000.441227879752</v>
      </c>
      <c r="C62" s="166">
        <f>C7+(2/0.017)*(C8*C50-C23*C51)</f>
        <v>10000.220607676329</v>
      </c>
      <c r="D62" s="166">
        <f>D7+(2/0.017)*(D8*D50-D23*D51)</f>
        <v>10000.25741551358</v>
      </c>
      <c r="E62" s="166">
        <f>E7+(2/0.017)*(E8*E50-E23*E51)</f>
        <v>10000.22566476151</v>
      </c>
      <c r="F62" s="166">
        <f>F7+(2/0.017)*(F8*F50-F23*F51)</f>
        <v>9998.93922943845</v>
      </c>
    </row>
    <row r="63" spans="1:6" ht="12.75">
      <c r="A63" s="166" t="s">
        <v>160</v>
      </c>
      <c r="B63" s="166">
        <f>B8+(3/0.017)*(B9*B50-B24*B51)</f>
        <v>1.309921331144824</v>
      </c>
      <c r="C63" s="166">
        <f>C8+(3/0.017)*(C9*C50-C24*C51)</f>
        <v>-0.0597480155693286</v>
      </c>
      <c r="D63" s="166">
        <f>D8+(3/0.017)*(D9*D50-D24*D51)</f>
        <v>0.990943400996268</v>
      </c>
      <c r="E63" s="166">
        <f>E8+(3/0.017)*(E9*E50-E24*E51)</f>
        <v>1.270177725690365</v>
      </c>
      <c r="F63" s="166">
        <f>F8+(3/0.017)*(F9*F50-F24*F51)</f>
        <v>-3.2487861221615377</v>
      </c>
    </row>
    <row r="64" spans="1:6" ht="12.75">
      <c r="A64" s="166" t="s">
        <v>161</v>
      </c>
      <c r="B64" s="166">
        <f>B9+(4/0.017)*(B10*B50-B25*B51)</f>
        <v>-0.05877663390820331</v>
      </c>
      <c r="C64" s="166">
        <f>C9+(4/0.017)*(C10*C50-C25*C51)</f>
        <v>0.7454733074018332</v>
      </c>
      <c r="D64" s="166">
        <f>D9+(4/0.017)*(D10*D50-D25*D51)</f>
        <v>0.7401308282341956</v>
      </c>
      <c r="E64" s="166">
        <f>E9+(4/0.017)*(E10*E50-E25*E51)</f>
        <v>0.32368512894829765</v>
      </c>
      <c r="F64" s="166">
        <f>F9+(4/0.017)*(F10*F50-F25*F51)</f>
        <v>0.35834159632835116</v>
      </c>
    </row>
    <row r="65" spans="1:6" ht="12.75">
      <c r="A65" s="166" t="s">
        <v>162</v>
      </c>
      <c r="B65" s="166">
        <f>B10+(5/0.017)*(B11*B50-B26*B51)</f>
        <v>-0.5511398292218587</v>
      </c>
      <c r="C65" s="166">
        <f>C10+(5/0.017)*(C11*C50-C26*C51)</f>
        <v>-0.9765145563793711</v>
      </c>
      <c r="D65" s="166">
        <f>D10+(5/0.017)*(D11*D50-D26*D51)</f>
        <v>-0.6612395290770342</v>
      </c>
      <c r="E65" s="166">
        <f>E10+(5/0.017)*(E11*E50-E26*E51)</f>
        <v>-0.7166393242243745</v>
      </c>
      <c r="F65" s="166">
        <f>F10+(5/0.017)*(F11*F50-F26*F51)</f>
        <v>-0.13115030113223747</v>
      </c>
    </row>
    <row r="66" spans="1:6" ht="12.75">
      <c r="A66" s="166" t="s">
        <v>163</v>
      </c>
      <c r="B66" s="166">
        <f>B11+(6/0.017)*(B12*B50-B27*B51)</f>
        <v>3.851148218974585</v>
      </c>
      <c r="C66" s="166">
        <f>C11+(6/0.017)*(C12*C50-C27*C51)</f>
        <v>4.366044826849785</v>
      </c>
      <c r="D66" s="166">
        <f>D11+(6/0.017)*(D12*D50-D27*D51)</f>
        <v>4.812643239561681</v>
      </c>
      <c r="E66" s="166">
        <f>E11+(6/0.017)*(E12*E50-E27*E51)</f>
        <v>4.055848271265939</v>
      </c>
      <c r="F66" s="166">
        <f>F11+(6/0.017)*(F12*F50-F27*F51)</f>
        <v>13.540525289262785</v>
      </c>
    </row>
    <row r="67" spans="1:6" ht="12.75">
      <c r="A67" s="166" t="s">
        <v>164</v>
      </c>
      <c r="B67" s="166">
        <f>B12+(7/0.017)*(B13*B50-B28*B51)</f>
        <v>0.255901429164524</v>
      </c>
      <c r="C67" s="166">
        <f>C12+(7/0.017)*(C13*C50-C28*C51)</f>
        <v>-0.209459390943236</v>
      </c>
      <c r="D67" s="166">
        <f>D12+(7/0.017)*(D13*D50-D28*D51)</f>
        <v>0.10954754144247704</v>
      </c>
      <c r="E67" s="166">
        <f>E12+(7/0.017)*(E13*E50-E28*E51)</f>
        <v>0.3176175070041715</v>
      </c>
      <c r="F67" s="166">
        <f>F12+(7/0.017)*(F13*F50-F28*F51)</f>
        <v>0.1412971877979854</v>
      </c>
    </row>
    <row r="68" spans="1:6" ht="12.75">
      <c r="A68" s="166" t="s">
        <v>165</v>
      </c>
      <c r="B68" s="166">
        <f>B13+(8/0.017)*(B14*B50-B29*B51)</f>
        <v>-0.019473969034803612</v>
      </c>
      <c r="C68" s="166">
        <f>C13+(8/0.017)*(C14*C50-C29*C51)</f>
        <v>0.062366168980555664</v>
      </c>
      <c r="D68" s="166">
        <f>D13+(8/0.017)*(D14*D50-D29*D51)</f>
        <v>0.10815814412713007</v>
      </c>
      <c r="E68" s="166">
        <f>E13+(8/0.017)*(E14*E50-E29*E51)</f>
        <v>0.12012363567345336</v>
      </c>
      <c r="F68" s="166">
        <f>F13+(8/0.017)*(F14*F50-F29*F51)</f>
        <v>-0.17688465735442932</v>
      </c>
    </row>
    <row r="69" spans="1:6" ht="12.75">
      <c r="A69" s="166" t="s">
        <v>166</v>
      </c>
      <c r="B69" s="166">
        <f>B14+(9/0.017)*(B15*B50-B30*B51)</f>
        <v>-0.10866043749823144</v>
      </c>
      <c r="C69" s="166">
        <f>C14+(9/0.017)*(C15*C50-C30*C51)</f>
        <v>-0.12816052174027498</v>
      </c>
      <c r="D69" s="166">
        <f>D14+(9/0.017)*(D15*D50-D30*D51)</f>
        <v>-0.004398898568383443</v>
      </c>
      <c r="E69" s="166">
        <f>E14+(9/0.017)*(E15*E50-E30*E51)</f>
        <v>-0.022146823400963564</v>
      </c>
      <c r="F69" s="166">
        <f>F14+(9/0.017)*(F15*F50-F30*F51)</f>
        <v>-0.015046125487680764</v>
      </c>
    </row>
    <row r="70" spans="1:6" ht="12.75">
      <c r="A70" s="166" t="s">
        <v>167</v>
      </c>
      <c r="B70" s="166">
        <f>B15+(10/0.017)*(B16*B50-B31*B51)</f>
        <v>-0.3542936375372852</v>
      </c>
      <c r="C70" s="166">
        <f>C15+(10/0.017)*(C16*C50-C31*C51)</f>
        <v>-0.08840730012415687</v>
      </c>
      <c r="D70" s="166">
        <f>D15+(10/0.017)*(D16*D50-D31*D51)</f>
        <v>-0.035901704716339945</v>
      </c>
      <c r="E70" s="166">
        <f>E15+(10/0.017)*(E16*E50-E31*E51)</f>
        <v>-0.017594082331474945</v>
      </c>
      <c r="F70" s="166">
        <f>F15+(10/0.017)*(F16*F50-F31*F51)</f>
        <v>-0.3298841135156824</v>
      </c>
    </row>
    <row r="71" spans="1:6" ht="12.75">
      <c r="A71" s="166" t="s">
        <v>168</v>
      </c>
      <c r="B71" s="166">
        <f>B16+(11/0.017)*(B17*B50-B32*B51)</f>
        <v>0.09187721119035407</v>
      </c>
      <c r="C71" s="166">
        <f>C16+(11/0.017)*(C17*C50-C32*C51)</f>
        <v>0.04955972793798617</v>
      </c>
      <c r="D71" s="166">
        <f>D16+(11/0.017)*(D17*D50-D32*D51)</f>
        <v>0.03713743689909074</v>
      </c>
      <c r="E71" s="166">
        <f>E16+(11/0.017)*(E17*E50-E32*E51)</f>
        <v>0.021184788293667427</v>
      </c>
      <c r="F71" s="166">
        <f>F16+(11/0.017)*(F17*F50-F32*F51)</f>
        <v>0.0033893254787878196</v>
      </c>
    </row>
    <row r="72" spans="1:6" ht="12.75">
      <c r="A72" s="166" t="s">
        <v>169</v>
      </c>
      <c r="B72" s="166">
        <f>B17+(12/0.017)*(B18*B50-B33*B51)</f>
        <v>-0.015667330778055252</v>
      </c>
      <c r="C72" s="166">
        <f>C17+(12/0.017)*(C18*C50-C33*C51)</f>
        <v>-0.04021797339548748</v>
      </c>
      <c r="D72" s="166">
        <f>D17+(12/0.017)*(D18*D50-D33*D51)</f>
        <v>-0.051514758835198765</v>
      </c>
      <c r="E72" s="166">
        <f>E17+(12/0.017)*(E18*E50-E33*E51)</f>
        <v>-0.02989125812204077</v>
      </c>
      <c r="F72" s="166">
        <f>F17+(12/0.017)*(F18*F50-F33*F51)</f>
        <v>-0.04134933859668599</v>
      </c>
    </row>
    <row r="73" spans="1:6" ht="12.75">
      <c r="A73" s="166" t="s">
        <v>170</v>
      </c>
      <c r="B73" s="166">
        <f>B18+(13/0.017)*(B19*B50-B34*B51)</f>
        <v>-0.024486600069338935</v>
      </c>
      <c r="C73" s="166">
        <f>C18+(13/0.017)*(C19*C50-C34*C51)</f>
        <v>-0.013835210417961166</v>
      </c>
      <c r="D73" s="166">
        <f>D18+(13/0.017)*(D19*D50-D34*D51)</f>
        <v>-0.0035804175611043286</v>
      </c>
      <c r="E73" s="166">
        <f>E18+(13/0.017)*(E19*E50-E34*E51)</f>
        <v>-0.011623652494893128</v>
      </c>
      <c r="F73" s="166">
        <f>F18+(13/0.017)*(F19*F50-F34*F51)</f>
        <v>0.0017520185012359708</v>
      </c>
    </row>
    <row r="74" spans="1:6" ht="12.75">
      <c r="A74" s="166" t="s">
        <v>171</v>
      </c>
      <c r="B74" s="166">
        <f>B19+(14/0.017)*(B20*B50-B35*B51)</f>
        <v>-0.19766347796085407</v>
      </c>
      <c r="C74" s="166">
        <f>C19+(14/0.017)*(C20*C50-C35*C51)</f>
        <v>-0.16287036365758434</v>
      </c>
      <c r="D74" s="166">
        <f>D19+(14/0.017)*(D20*D50-D35*D51)</f>
        <v>-0.17886593097014833</v>
      </c>
      <c r="E74" s="166">
        <f>E19+(14/0.017)*(E20*E50-E35*E51)</f>
        <v>-0.17245069682170133</v>
      </c>
      <c r="F74" s="166">
        <f>F19+(14/0.017)*(F20*F50-F35*F51)</f>
        <v>-0.14503408252545677</v>
      </c>
    </row>
    <row r="75" spans="1:6" ht="12.75">
      <c r="A75" s="166" t="s">
        <v>172</v>
      </c>
      <c r="B75" s="167">
        <f>B20</f>
        <v>0.005392341</v>
      </c>
      <c r="C75" s="167">
        <f>C20</f>
        <v>0.008910052</v>
      </c>
      <c r="D75" s="167">
        <f>D20</f>
        <v>0.00314537</v>
      </c>
      <c r="E75" s="167">
        <f>E20</f>
        <v>0.007198152</v>
      </c>
      <c r="F75" s="167">
        <f>F20</f>
        <v>-0.0006988139</v>
      </c>
    </row>
    <row r="78" ht="12.75">
      <c r="A78" s="166" t="s">
        <v>154</v>
      </c>
    </row>
    <row r="80" spans="2:6" ht="12.75">
      <c r="B80" s="166" t="s">
        <v>84</v>
      </c>
      <c r="C80" s="166" t="s">
        <v>85</v>
      </c>
      <c r="D80" s="166" t="s">
        <v>86</v>
      </c>
      <c r="E80" s="166" t="s">
        <v>87</v>
      </c>
      <c r="F80" s="166" t="s">
        <v>88</v>
      </c>
    </row>
    <row r="81" spans="1:6" ht="12.75">
      <c r="A81" s="166" t="s">
        <v>173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174</v>
      </c>
      <c r="B82" s="166">
        <f>B22+(2/0.017)*(B8*B51+B23*B50)</f>
        <v>-2.9529601020175265</v>
      </c>
      <c r="C82" s="166">
        <f>C22+(2/0.017)*(C8*C51+C23*C50)</f>
        <v>-1.2712803539240227</v>
      </c>
      <c r="D82" s="166">
        <f>D22+(2/0.017)*(D8*D51+D23*D50)</f>
        <v>-4.495128069416356</v>
      </c>
      <c r="E82" s="166">
        <f>E22+(2/0.017)*(E8*E51+E23*E50)</f>
        <v>8.699996516693268</v>
      </c>
      <c r="F82" s="166">
        <f>F22+(2/0.017)*(F8*F51+F23*F50)</f>
        <v>-2.590052500120179</v>
      </c>
    </row>
    <row r="83" spans="1:6" ht="12.75">
      <c r="A83" s="166" t="s">
        <v>175</v>
      </c>
      <c r="B83" s="166">
        <f>B23+(3/0.017)*(B9*B51+B24*B50)</f>
        <v>-2.605405130667481</v>
      </c>
      <c r="C83" s="166">
        <f>C23+(3/0.017)*(C9*C51+C24*C50)</f>
        <v>-1.3910769897952038</v>
      </c>
      <c r="D83" s="166">
        <f>D23+(3/0.017)*(D9*D51+D24*D50)</f>
        <v>-1.4606112413802383</v>
      </c>
      <c r="E83" s="166">
        <f>E23+(3/0.017)*(E9*E51+E24*E50)</f>
        <v>-1.9385727818477656</v>
      </c>
      <c r="F83" s="166">
        <f>F23+(3/0.017)*(F9*F51+F24*F50)</f>
        <v>6.657206499306802</v>
      </c>
    </row>
    <row r="84" spans="1:6" ht="12.75">
      <c r="A84" s="166" t="s">
        <v>176</v>
      </c>
      <c r="B84" s="166">
        <f>B24+(4/0.017)*(B10*B51+B25*B50)</f>
        <v>-0.9962571891839073</v>
      </c>
      <c r="C84" s="166">
        <f>C24+(4/0.017)*(C10*C51+C25*C50)</f>
        <v>0.2114415225411762</v>
      </c>
      <c r="D84" s="166">
        <f>D24+(4/0.017)*(D10*D51+D25*D50)</f>
        <v>0.19673768489778953</v>
      </c>
      <c r="E84" s="166">
        <f>E24+(4/0.017)*(E10*E51+E25*E50)</f>
        <v>2.4883002840616526</v>
      </c>
      <c r="F84" s="166">
        <f>F24+(4/0.017)*(F10*F51+F25*F50)</f>
        <v>1.5351571873299457</v>
      </c>
    </row>
    <row r="85" spans="1:6" ht="12.75">
      <c r="A85" s="166" t="s">
        <v>177</v>
      </c>
      <c r="B85" s="166">
        <f>B25+(5/0.017)*(B11*B51+B26*B50)</f>
        <v>-0.5183456474138</v>
      </c>
      <c r="C85" s="166">
        <f>C25+(5/0.017)*(C11*C51+C26*C50)</f>
        <v>-0.9815378215266577</v>
      </c>
      <c r="D85" s="166">
        <f>D25+(5/0.017)*(D11*D51+D26*D50)</f>
        <v>-1.090335083836894</v>
      </c>
      <c r="E85" s="166">
        <f>E25+(5/0.017)*(E11*E51+E26*E50)</f>
        <v>-1.0925890911928826</v>
      </c>
      <c r="F85" s="166">
        <f>F25+(5/0.017)*(F11*F51+F26*F50)</f>
        <v>-1.448628370622747</v>
      </c>
    </row>
    <row r="86" spans="1:6" ht="12.75">
      <c r="A86" s="166" t="s">
        <v>178</v>
      </c>
      <c r="B86" s="166">
        <f>B26+(6/0.017)*(B12*B51+B27*B50)</f>
        <v>0.8441073200780131</v>
      </c>
      <c r="C86" s="166">
        <f>C26+(6/0.017)*(C12*C51+C27*C50)</f>
        <v>0.4209938571351086</v>
      </c>
      <c r="D86" s="166">
        <f>D26+(6/0.017)*(D12*D51+D27*D50)</f>
        <v>0.024250053209609615</v>
      </c>
      <c r="E86" s="166">
        <f>E26+(6/0.017)*(E12*E51+E27*E50)</f>
        <v>0.06479168583295056</v>
      </c>
      <c r="F86" s="166">
        <f>F26+(6/0.017)*(F12*F51+F27*F50)</f>
        <v>1.6410005490859354</v>
      </c>
    </row>
    <row r="87" spans="1:6" ht="12.75">
      <c r="A87" s="166" t="s">
        <v>179</v>
      </c>
      <c r="B87" s="166">
        <f>B27+(7/0.017)*(B13*B51+B28*B50)</f>
        <v>-0.15880340229702283</v>
      </c>
      <c r="C87" s="166">
        <f>C27+(7/0.017)*(C13*C51+C28*C50)</f>
        <v>0.32329385926803456</v>
      </c>
      <c r="D87" s="166">
        <f>D27+(7/0.017)*(D13*D51+D28*D50)</f>
        <v>0.14496100133297135</v>
      </c>
      <c r="E87" s="166">
        <f>E27+(7/0.017)*(E13*E51+E28*E50)</f>
        <v>0.00327311914138214</v>
      </c>
      <c r="F87" s="166">
        <f>F27+(7/0.017)*(F13*F51+F28*F50)</f>
        <v>0.2872652525940781</v>
      </c>
    </row>
    <row r="88" spans="1:6" ht="12.75">
      <c r="A88" s="166" t="s">
        <v>180</v>
      </c>
      <c r="B88" s="166">
        <f>B28+(8/0.017)*(B14*B51+B29*B50)</f>
        <v>0.13454233592695147</v>
      </c>
      <c r="C88" s="166">
        <f>C28+(8/0.017)*(C14*C51+C29*C50)</f>
        <v>0.10349087041121788</v>
      </c>
      <c r="D88" s="166">
        <f>D28+(8/0.017)*(D14*D51+D29*D50)</f>
        <v>0.14688492917999138</v>
      </c>
      <c r="E88" s="166">
        <f>E28+(8/0.017)*(E14*E51+E29*E50)</f>
        <v>0.23686876173991678</v>
      </c>
      <c r="F88" s="166">
        <f>F28+(8/0.017)*(F14*F51+F29*F50)</f>
        <v>0.018015216995978328</v>
      </c>
    </row>
    <row r="89" spans="1:6" ht="12.75">
      <c r="A89" s="166" t="s">
        <v>181</v>
      </c>
      <c r="B89" s="166">
        <f>B29+(9/0.017)*(B15*B51+B30*B50)</f>
        <v>-0.07511560178290785</v>
      </c>
      <c r="C89" s="166">
        <f>C29+(9/0.017)*(C15*C51+C30*C50)</f>
        <v>-0.07562820588743094</v>
      </c>
      <c r="D89" s="166">
        <f>D29+(9/0.017)*(D15*D51+D30*D50)</f>
        <v>-0.045298700587338404</v>
      </c>
      <c r="E89" s="166">
        <f>E29+(9/0.017)*(E15*E51+E30*E50)</f>
        <v>-0.04168740698776228</v>
      </c>
      <c r="F89" s="166">
        <f>F29+(9/0.017)*(F15*F51+F30*F50)</f>
        <v>0.05650100657252047</v>
      </c>
    </row>
    <row r="90" spans="1:6" ht="12.75">
      <c r="A90" s="166" t="s">
        <v>182</v>
      </c>
      <c r="B90" s="166">
        <f>B30+(10/0.017)*(B16*B51+B31*B50)</f>
        <v>0.05188654018919047</v>
      </c>
      <c r="C90" s="166">
        <f>C30+(10/0.017)*(C16*C51+C31*C50)</f>
        <v>0.07120819813850104</v>
      </c>
      <c r="D90" s="166">
        <f>D30+(10/0.017)*(D16*D51+D31*D50)</f>
        <v>0.010057190155148821</v>
      </c>
      <c r="E90" s="166">
        <f>E30+(10/0.017)*(E16*E51+E31*E50)</f>
        <v>0.030820297207804062</v>
      </c>
      <c r="F90" s="166">
        <f>F30+(10/0.017)*(F16*F51+F31*F50)</f>
        <v>0.14082997293153326</v>
      </c>
    </row>
    <row r="91" spans="1:6" ht="12.75">
      <c r="A91" s="166" t="s">
        <v>183</v>
      </c>
      <c r="B91" s="166">
        <f>B31+(11/0.017)*(B17*B51+B32*B50)</f>
        <v>0.0457493447211802</v>
      </c>
      <c r="C91" s="166">
        <f>C31+(11/0.017)*(C17*C51+C32*C50)</f>
        <v>0.06986462145086085</v>
      </c>
      <c r="D91" s="166">
        <f>D31+(11/0.017)*(D17*D51+D32*D50)</f>
        <v>0.09089276922326461</v>
      </c>
      <c r="E91" s="166">
        <f>E31+(11/0.017)*(E17*E51+E32*E50)</f>
        <v>0.04056216542181543</v>
      </c>
      <c r="F91" s="166">
        <f>F31+(11/0.017)*(F17*F51+F32*F50)</f>
        <v>0.045094566832524545</v>
      </c>
    </row>
    <row r="92" spans="1:6" ht="12.75">
      <c r="A92" s="166" t="s">
        <v>184</v>
      </c>
      <c r="B92" s="166">
        <f>B32+(12/0.017)*(B18*B51+B33*B50)</f>
        <v>0.05647317746896925</v>
      </c>
      <c r="C92" s="166">
        <f>C32+(12/0.017)*(C18*C51+C33*C50)</f>
        <v>0.019633820371980578</v>
      </c>
      <c r="D92" s="166">
        <f>D32+(12/0.017)*(D18*D51+D33*D50)</f>
        <v>0.039472469317089</v>
      </c>
      <c r="E92" s="166">
        <f>E32+(12/0.017)*(E18*E51+E33*E50)</f>
        <v>0.004560229025427499</v>
      </c>
      <c r="F92" s="166">
        <f>F32+(12/0.017)*(F18*F51+F33*F50)</f>
        <v>0.009021823313277534</v>
      </c>
    </row>
    <row r="93" spans="1:6" ht="12.75">
      <c r="A93" s="166" t="s">
        <v>185</v>
      </c>
      <c r="B93" s="166">
        <f>B33+(13/0.017)*(B19*B51+B34*B50)</f>
        <v>-0.06206435736546537</v>
      </c>
      <c r="C93" s="166">
        <f>C33+(13/0.017)*(C19*C51+C34*C50)</f>
        <v>-0.03154477445437101</v>
      </c>
      <c r="D93" s="166">
        <f>D33+(13/0.017)*(D19*D51+D34*D50)</f>
        <v>-0.048833856856567964</v>
      </c>
      <c r="E93" s="166">
        <f>E33+(13/0.017)*(E19*E51+E34*E50)</f>
        <v>-0.044968564247990075</v>
      </c>
      <c r="F93" s="166">
        <f>F33+(13/0.017)*(F19*F51+F34*F50)</f>
        <v>-0.06792085612966801</v>
      </c>
    </row>
    <row r="94" spans="1:6" ht="12.75">
      <c r="A94" s="166" t="s">
        <v>186</v>
      </c>
      <c r="B94" s="166">
        <f>B34+(14/0.017)*(B20*B51+B35*B50)</f>
        <v>0.00509820250226738</v>
      </c>
      <c r="C94" s="166">
        <f>C34+(14/0.017)*(C20*C51+C35*C50)</f>
        <v>0.01093545002609523</v>
      </c>
      <c r="D94" s="166">
        <f>D34+(14/0.017)*(D20*D51+D35*D50)</f>
        <v>0.0036676700414890145</v>
      </c>
      <c r="E94" s="166">
        <f>E34+(14/0.017)*(E20*E51+E35*E50)</f>
        <v>0.0033368976013808133</v>
      </c>
      <c r="F94" s="166">
        <f>F34+(14/0.017)*(F20*F51+F35*F50)</f>
        <v>-0.03778984301718568</v>
      </c>
    </row>
    <row r="95" spans="1:6" ht="12.75">
      <c r="A95" s="166" t="s">
        <v>187</v>
      </c>
      <c r="B95" s="167">
        <f>B35</f>
        <v>-0.0001243678</v>
      </c>
      <c r="C95" s="167">
        <f>C35</f>
        <v>-0.009069769</v>
      </c>
      <c r="D95" s="167">
        <f>D35</f>
        <v>-0.002621015</v>
      </c>
      <c r="E95" s="167">
        <f>E35</f>
        <v>-0.001913888</v>
      </c>
      <c r="F95" s="167">
        <f>F35</f>
        <v>0.002679265</v>
      </c>
    </row>
    <row r="98" ht="12.75">
      <c r="A98" s="166" t="s">
        <v>155</v>
      </c>
    </row>
    <row r="100" spans="2:11" ht="12.75">
      <c r="B100" s="166" t="s">
        <v>84</v>
      </c>
      <c r="C100" s="166" t="s">
        <v>85</v>
      </c>
      <c r="D100" s="166" t="s">
        <v>86</v>
      </c>
      <c r="E100" s="166" t="s">
        <v>87</v>
      </c>
      <c r="F100" s="166" t="s">
        <v>88</v>
      </c>
      <c r="G100" s="166" t="s">
        <v>157</v>
      </c>
      <c r="H100" s="166" t="s">
        <v>158</v>
      </c>
      <c r="I100" s="166" t="s">
        <v>153</v>
      </c>
      <c r="K100" s="166" t="s">
        <v>188</v>
      </c>
    </row>
    <row r="101" spans="1:9" ht="12.75">
      <c r="A101" s="166" t="s">
        <v>156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159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10000.000000000002</v>
      </c>
    </row>
    <row r="103" spans="1:11" ht="12.75">
      <c r="A103" s="166" t="s">
        <v>160</v>
      </c>
      <c r="B103" s="166">
        <f>B63*10000/B62</f>
        <v>1.3098635363137348</v>
      </c>
      <c r="C103" s="166">
        <f>C63*10000/C62</f>
        <v>-0.05974669751131797</v>
      </c>
      <c r="D103" s="166">
        <f>D63*10000/D62</f>
        <v>0.9909178932324277</v>
      </c>
      <c r="E103" s="166">
        <f>E63*10000/E62</f>
        <v>1.2701490629018288</v>
      </c>
      <c r="F103" s="166">
        <f>F63*10000/F62</f>
        <v>-3.249130780389784</v>
      </c>
      <c r="G103" s="166">
        <f>AVERAGE(C103:E103)</f>
        <v>0.7337734195409795</v>
      </c>
      <c r="H103" s="166">
        <f>STDEV(C103:E103)</f>
        <v>0.7012475623157306</v>
      </c>
      <c r="I103" s="166">
        <f>(B103*B4+C103*C4+D103*D4+E103*E4+F103*F4)/SUM(B4:F4)</f>
        <v>0.28209663964422743</v>
      </c>
      <c r="K103" s="166">
        <f>(LN(H103)+LN(H123))/2-LN(K114*K115^3)</f>
        <v>-4.66124005527307</v>
      </c>
    </row>
    <row r="104" spans="1:11" ht="12.75">
      <c r="A104" s="166" t="s">
        <v>161</v>
      </c>
      <c r="B104" s="166">
        <f>B64*10000/B62</f>
        <v>-0.05877404063366999</v>
      </c>
      <c r="C104" s="166">
        <f>C64*10000/C62</f>
        <v>0.7454568620512191</v>
      </c>
      <c r="D104" s="166">
        <f>D64*10000/D62</f>
        <v>0.7401117766088874</v>
      </c>
      <c r="E104" s="166">
        <f>E64*10000/E62</f>
        <v>0.32367782468038636</v>
      </c>
      <c r="F104" s="166">
        <f>F64*10000/F62</f>
        <v>0.35837961218259745</v>
      </c>
      <c r="G104" s="166">
        <f>AVERAGE(C104:E104)</f>
        <v>0.6030821544468309</v>
      </c>
      <c r="H104" s="166">
        <f>STDEV(C104:E104)</f>
        <v>0.2419860060081443</v>
      </c>
      <c r="I104" s="166">
        <f>(B104*B4+C104*C4+D104*D4+E104*E4+F104*F4)/SUM(B4:F4)</f>
        <v>0.47492596365229806</v>
      </c>
      <c r="K104" s="166">
        <f>(LN(H104)+LN(H124))/2-LN(K114*K115^4)</f>
        <v>-3.858321635836962</v>
      </c>
    </row>
    <row r="105" spans="1:11" ht="12.75">
      <c r="A105" s="166" t="s">
        <v>162</v>
      </c>
      <c r="B105" s="166">
        <f>B65*10000/B62</f>
        <v>-0.5511155124689522</v>
      </c>
      <c r="C105" s="166">
        <f>C65*10000/C62</f>
        <v>-0.9764930141938898</v>
      </c>
      <c r="D105" s="166">
        <f>D65*10000/D62</f>
        <v>-0.6612225081838807</v>
      </c>
      <c r="E105" s="166">
        <f>E65*10000/E62</f>
        <v>-0.7166231525650928</v>
      </c>
      <c r="F105" s="166">
        <f>F65*10000/F62</f>
        <v>-0.131164214646</v>
      </c>
      <c r="G105" s="166">
        <f>AVERAGE(C105:E105)</f>
        <v>-0.7847795583142877</v>
      </c>
      <c r="H105" s="166">
        <f>STDEV(C105:E105)</f>
        <v>0.16832363091211688</v>
      </c>
      <c r="I105" s="166">
        <f>(B105*B4+C105*C4+D105*D4+E105*E4+F105*F4)/SUM(B4:F4)</f>
        <v>-0.6634239382222247</v>
      </c>
      <c r="K105" s="166">
        <f>(LN(H105)+LN(H125))/2-LN(K114*K115^5)</f>
        <v>-4.965435433831637</v>
      </c>
    </row>
    <row r="106" spans="1:11" ht="12.75">
      <c r="A106" s="166" t="s">
        <v>163</v>
      </c>
      <c r="B106" s="166">
        <f>B66*10000/B62</f>
        <v>3.850978303075421</v>
      </c>
      <c r="C106" s="166">
        <f>C66*10000/C62</f>
        <v>4.365948510674194</v>
      </c>
      <c r="D106" s="166">
        <f>D66*10000/D62</f>
        <v>4.812519357847469</v>
      </c>
      <c r="E106" s="166">
        <f>E66*10000/E62</f>
        <v>4.05575674712803</v>
      </c>
      <c r="F106" s="166">
        <f>F66*10000/F62</f>
        <v>13.541961780703044</v>
      </c>
      <c r="G106" s="166">
        <f>AVERAGE(C106:E106)</f>
        <v>4.411408205216564</v>
      </c>
      <c r="H106" s="166">
        <f>STDEV(C106:E106)</f>
        <v>0.38042390844508467</v>
      </c>
      <c r="I106" s="166">
        <f>(B106*B4+C106*C4+D106*D4+E106*E4+F106*F4)/SUM(B4:F4)</f>
        <v>5.556144316144009</v>
      </c>
      <c r="K106" s="166">
        <f>(LN(H106)+LN(H126))/2-LN(K114*K115^6)</f>
        <v>-3.348800006347415</v>
      </c>
    </row>
    <row r="107" spans="1:11" ht="12.75">
      <c r="A107" s="166" t="s">
        <v>164</v>
      </c>
      <c r="B107" s="166">
        <f>B67*10000/B62</f>
        <v>0.2558901385781946</v>
      </c>
      <c r="C107" s="166">
        <f>C67*10000/C62</f>
        <v>-0.20945477021022083</v>
      </c>
      <c r="D107" s="166">
        <f>D67*10000/D62</f>
        <v>0.10954472159140019</v>
      </c>
      <c r="E107" s="166">
        <f>E67*10000/E62</f>
        <v>0.31761033965801627</v>
      </c>
      <c r="F107" s="166">
        <f>F67*10000/F62</f>
        <v>0.1413121777778029</v>
      </c>
      <c r="G107" s="166">
        <f>AVERAGE(C107:E107)</f>
        <v>0.07256676367973187</v>
      </c>
      <c r="H107" s="166">
        <f>STDEV(C107:E107)</f>
        <v>0.26547115575631197</v>
      </c>
      <c r="I107" s="166">
        <f>(B107*B4+C107*C4+D107*D4+E107*E4+F107*F4)/SUM(B4:F4)</f>
        <v>0.10817337705616523</v>
      </c>
      <c r="K107" s="166">
        <f>(LN(H107)+LN(H127))/2-LN(K114*K115^7)</f>
        <v>-3.0916025961342983</v>
      </c>
    </row>
    <row r="108" spans="1:9" ht="12.75">
      <c r="A108" s="166" t="s">
        <v>165</v>
      </c>
      <c r="B108" s="166">
        <f>B68*10000/B62</f>
        <v>-0.019473109826907503</v>
      </c>
      <c r="C108" s="166">
        <f>C68*10000/C62</f>
        <v>0.06236479316534517</v>
      </c>
      <c r="D108" s="166">
        <f>D68*10000/D62</f>
        <v>0.10815536004037495</v>
      </c>
      <c r="E108" s="166">
        <f>E68*10000/E62</f>
        <v>0.12012092496746483</v>
      </c>
      <c r="F108" s="166">
        <f>F68*10000/F62</f>
        <v>-0.17690342274873824</v>
      </c>
      <c r="G108" s="166">
        <f>AVERAGE(C108:E108)</f>
        <v>0.09688035939106165</v>
      </c>
      <c r="H108" s="166">
        <f>STDEV(C108:E108)</f>
        <v>0.030484207713461487</v>
      </c>
      <c r="I108" s="166">
        <f>(B108*B4+C108*C4+D108*D4+E108*E4+F108*F4)/SUM(B4:F4)</f>
        <v>0.043375131059362595</v>
      </c>
    </row>
    <row r="109" spans="1:9" ht="12.75">
      <c r="A109" s="166" t="s">
        <v>166</v>
      </c>
      <c r="B109" s="166">
        <f>B69*10000/B62</f>
        <v>-0.10865564330831944</v>
      </c>
      <c r="C109" s="166">
        <f>C69*10000/C62</f>
        <v>-0.12815769448315661</v>
      </c>
      <c r="D109" s="166">
        <f>D69*10000/D62</f>
        <v>-0.004398785336824782</v>
      </c>
      <c r="E109" s="166">
        <f>E69*10000/E62</f>
        <v>-0.02214632363647939</v>
      </c>
      <c r="F109" s="166">
        <f>F69*10000/F62</f>
        <v>-0.015047721705701142</v>
      </c>
      <c r="G109" s="166">
        <f>AVERAGE(C109:E109)</f>
        <v>-0.05156760115215359</v>
      </c>
      <c r="H109" s="166">
        <f>STDEV(C109:E109)</f>
        <v>0.06691991912923417</v>
      </c>
      <c r="I109" s="166">
        <f>(B109*B4+C109*C4+D109*D4+E109*E4+F109*F4)/SUM(B4:F4)</f>
        <v>-0.05489515277538124</v>
      </c>
    </row>
    <row r="110" spans="1:11" ht="12.75">
      <c r="A110" s="166" t="s">
        <v>167</v>
      </c>
      <c r="B110" s="166">
        <f>B70*10000/B62</f>
        <v>-0.35427800580395086</v>
      </c>
      <c r="C110" s="166">
        <f>C70*10000/C62</f>
        <v>-0.08840534983427667</v>
      </c>
      <c r="D110" s="166">
        <f>D70*10000/D62</f>
        <v>-0.03590078057455299</v>
      </c>
      <c r="E110" s="166">
        <f>E70*10000/E62</f>
        <v>-0.017593685303995122</v>
      </c>
      <c r="F110" s="166">
        <f>F70*10000/F62</f>
        <v>-0.32991911036367905</v>
      </c>
      <c r="G110" s="166">
        <f>AVERAGE(C110:E110)</f>
        <v>-0.04729993857094159</v>
      </c>
      <c r="H110" s="166">
        <f>STDEV(C110:E110)</f>
        <v>0.036756340414372805</v>
      </c>
      <c r="I110" s="166">
        <f>(B110*B4+C110*C4+D110*D4+E110*E4+F110*F4)/SUM(B4:F4)</f>
        <v>-0.12944315151851593</v>
      </c>
      <c r="K110" s="166">
        <f>EXP(AVERAGE(K103:K107))</f>
        <v>0.01859095800017829</v>
      </c>
    </row>
    <row r="111" spans="1:9" ht="12.75">
      <c r="A111" s="166" t="s">
        <v>168</v>
      </c>
      <c r="B111" s="166">
        <f>B71*10000/B62</f>
        <v>0.09187315749050551</v>
      </c>
      <c r="C111" s="166">
        <f>C71*10000/C62</f>
        <v>0.049558634636463254</v>
      </c>
      <c r="D111" s="166">
        <f>D71*10000/D62</f>
        <v>0.03713648094845915</v>
      </c>
      <c r="E111" s="166">
        <f>E71*10000/E62</f>
        <v>0.021184310238435654</v>
      </c>
      <c r="F111" s="166">
        <f>F71*10000/F62</f>
        <v>0.0033896850465988553</v>
      </c>
      <c r="G111" s="166">
        <f>AVERAGE(C111:E111)</f>
        <v>0.03595980860778602</v>
      </c>
      <c r="H111" s="166">
        <f>STDEV(C111:E111)</f>
        <v>0.014223712230254974</v>
      </c>
      <c r="I111" s="166">
        <f>(B111*B4+C111*C4+D111*D4+E111*E4+F111*F4)/SUM(B4:F4)</f>
        <v>0.03964119033026409</v>
      </c>
    </row>
    <row r="112" spans="1:9" ht="12.75">
      <c r="A112" s="166" t="s">
        <v>169</v>
      </c>
      <c r="B112" s="166">
        <f>B72*10000/B62</f>
        <v>-0.01566663952224133</v>
      </c>
      <c r="C112" s="166">
        <f>C72*10000/C62</f>
        <v>-0.040217086175694486</v>
      </c>
      <c r="D112" s="166">
        <f>D72*10000/D62</f>
        <v>-0.05151343279952273</v>
      </c>
      <c r="E112" s="166">
        <f>E72*10000/E62</f>
        <v>-0.029890583596898893</v>
      </c>
      <c r="F112" s="166">
        <f>F72*10000/F62</f>
        <v>-0.04135372527812454</v>
      </c>
      <c r="G112" s="166">
        <f>AVERAGE(C112:E112)</f>
        <v>-0.0405403675240387</v>
      </c>
      <c r="H112" s="166">
        <f>STDEV(C112:E112)</f>
        <v>0.010815049007401352</v>
      </c>
      <c r="I112" s="166">
        <f>(B112*B4+C112*C4+D112*D4+E112*E4+F112*F4)/SUM(B4:F4)</f>
        <v>-0.03706676453246485</v>
      </c>
    </row>
    <row r="113" spans="1:9" ht="12.75">
      <c r="A113" s="166" t="s">
        <v>170</v>
      </c>
      <c r="B113" s="166">
        <f>B73*10000/B62</f>
        <v>-0.024485519699944752</v>
      </c>
      <c r="C113" s="166">
        <f>C73*10000/C62</f>
        <v>-0.01383490520933212</v>
      </c>
      <c r="D113" s="166">
        <f>D73*10000/D62</f>
        <v>-0.003580325397974218</v>
      </c>
      <c r="E113" s="166">
        <f>E73*10000/E62</f>
        <v>-0.011623390195935477</v>
      </c>
      <c r="F113" s="166">
        <f>F73*10000/F62</f>
        <v>0.0017522043699173134</v>
      </c>
      <c r="G113" s="166">
        <f>AVERAGE(C113:E113)</f>
        <v>-0.009679540267747271</v>
      </c>
      <c r="H113" s="166">
        <f>STDEV(C113:E113)</f>
        <v>0.005396574486131477</v>
      </c>
      <c r="I113" s="166">
        <f>(B113*B4+C113*C4+D113*D4+E113*E4+F113*F4)/SUM(B4:F4)</f>
        <v>-0.010278064320299311</v>
      </c>
    </row>
    <row r="114" spans="1:11" ht="12.75">
      <c r="A114" s="166" t="s">
        <v>171</v>
      </c>
      <c r="B114" s="166">
        <f>B74*10000/B62</f>
        <v>-0.19765475688192388</v>
      </c>
      <c r="C114" s="166">
        <f>C74*10000/C62</f>
        <v>-0.162866770691601</v>
      </c>
      <c r="D114" s="166">
        <f>D74*10000/D62</f>
        <v>-0.1788613268021185</v>
      </c>
      <c r="E114" s="166">
        <f>E74*10000/E62</f>
        <v>-0.1724468053049821</v>
      </c>
      <c r="F114" s="166">
        <f>F74*10000/F62</f>
        <v>-0.14504946894611942</v>
      </c>
      <c r="G114" s="166">
        <f>AVERAGE(C114:E114)</f>
        <v>-0.17139163426623386</v>
      </c>
      <c r="H114" s="166">
        <f>STDEV(C114:E114)</f>
        <v>0.00804931647619095</v>
      </c>
      <c r="I114" s="166">
        <f>(B114*B4+C114*C4+D114*D4+E114*E4+F114*F4)/SUM(B4:F4)</f>
        <v>-0.1716371866633737</v>
      </c>
      <c r="J114" s="166" t="s">
        <v>189</v>
      </c>
      <c r="K114" s="166">
        <v>285</v>
      </c>
    </row>
    <row r="115" spans="1:11" ht="12.75">
      <c r="A115" s="166" t="s">
        <v>172</v>
      </c>
      <c r="B115" s="166">
        <f>B75*10000/B62</f>
        <v>0.005392103085378824</v>
      </c>
      <c r="C115" s="166">
        <f>C75*10000/C62</f>
        <v>0.008909855441749458</v>
      </c>
      <c r="D115" s="166">
        <f>D75*10000/D62</f>
        <v>0.00314528903538076</v>
      </c>
      <c r="E115" s="166">
        <f>E75*10000/E62</f>
        <v>0.007197989566740107</v>
      </c>
      <c r="F115" s="166">
        <f>F75*10000/F62</f>
        <v>-0.0006988880359854393</v>
      </c>
      <c r="G115" s="166">
        <f>AVERAGE(C115:E115)</f>
        <v>0.006417711347956775</v>
      </c>
      <c r="H115" s="166">
        <f>STDEV(C115:E115)</f>
        <v>0.0029604361228355177</v>
      </c>
      <c r="I115" s="166">
        <f>(B115*B4+C115*C4+D115*D4+E115*E4+F115*F4)/SUM(B4:F4)</f>
        <v>0.0053152175606730545</v>
      </c>
      <c r="J115" s="166" t="s">
        <v>190</v>
      </c>
      <c r="K115" s="166">
        <v>0.5536</v>
      </c>
    </row>
    <row r="118" ht="12.75">
      <c r="A118" s="166" t="s">
        <v>155</v>
      </c>
    </row>
    <row r="120" spans="2:9" ht="12.75">
      <c r="B120" s="166" t="s">
        <v>84</v>
      </c>
      <c r="C120" s="166" t="s">
        <v>85</v>
      </c>
      <c r="D120" s="166" t="s">
        <v>86</v>
      </c>
      <c r="E120" s="166" t="s">
        <v>87</v>
      </c>
      <c r="F120" s="166" t="s">
        <v>88</v>
      </c>
      <c r="G120" s="166" t="s">
        <v>157</v>
      </c>
      <c r="H120" s="166" t="s">
        <v>158</v>
      </c>
      <c r="I120" s="166" t="s">
        <v>153</v>
      </c>
    </row>
    <row r="121" spans="1:9" ht="12.75">
      <c r="A121" s="166" t="s">
        <v>173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174</v>
      </c>
      <c r="B122" s="166">
        <f>B82*10000/B62</f>
        <v>-2.9528298149336756</v>
      </c>
      <c r="C122" s="166">
        <f>C82*10000/C62</f>
        <v>-1.2712523091222285</v>
      </c>
      <c r="D122" s="166">
        <f>D82*10000/D62</f>
        <v>-4.4950123608248145</v>
      </c>
      <c r="E122" s="166">
        <f>E82*10000/E62</f>
        <v>8.699800192859698</v>
      </c>
      <c r="F122" s="166">
        <f>F82*10000/F62</f>
        <v>-2.5903272744119263</v>
      </c>
      <c r="G122" s="166">
        <f>AVERAGE(C122:E122)</f>
        <v>0.9778451743042181</v>
      </c>
      <c r="H122" s="166">
        <f>STDEV(C122:E122)</f>
        <v>6.8789242763083225</v>
      </c>
      <c r="I122" s="166">
        <f>(B122*B4+C122*C4+D122*D4+E122*E4+F122*F4)/SUM(B4:F4)</f>
        <v>-0.06690985582195381</v>
      </c>
    </row>
    <row r="123" spans="1:9" ht="12.75">
      <c r="A123" s="166" t="s">
        <v>175</v>
      </c>
      <c r="B123" s="166">
        <f>B83*10000/B62</f>
        <v>-2.605290178001343</v>
      </c>
      <c r="C123" s="166">
        <f>C83*10000/C62</f>
        <v>-1.3910463022459634</v>
      </c>
      <c r="D123" s="166">
        <f>D83*10000/D62</f>
        <v>-1.4605736439487704</v>
      </c>
      <c r="E123" s="166">
        <f>E83*10000/E62</f>
        <v>-1.9385290360785048</v>
      </c>
      <c r="F123" s="166">
        <f>F83*10000/F62</f>
        <v>6.657912751091574</v>
      </c>
      <c r="G123" s="166">
        <f>AVERAGE(C123:E123)</f>
        <v>-1.5967163274244127</v>
      </c>
      <c r="H123" s="166">
        <f>STDEV(C123:E123)</f>
        <v>0.29805277831141025</v>
      </c>
      <c r="I123" s="166">
        <f>(B123*B4+C123*C4+D123*D4+E123*E4+F123*F4)/SUM(B4:F4)</f>
        <v>-0.6340476419922807</v>
      </c>
    </row>
    <row r="124" spans="1:9" ht="12.75">
      <c r="A124" s="166" t="s">
        <v>176</v>
      </c>
      <c r="B124" s="166">
        <f>B84*10000/B62</f>
        <v>-0.9962132334786283</v>
      </c>
      <c r="C124" s="166">
        <f>C84*10000/C62</f>
        <v>0.21143685808178103</v>
      </c>
      <c r="D124" s="166">
        <f>D84*10000/D62</f>
        <v>0.1967326206949301</v>
      </c>
      <c r="E124" s="166">
        <f>E84*10000/E62</f>
        <v>2.4882441331597636</v>
      </c>
      <c r="F124" s="166">
        <f>F84*10000/F62</f>
        <v>1.5353200495610588</v>
      </c>
      <c r="G124" s="166">
        <f>AVERAGE(C124:E124)</f>
        <v>0.9654712039788249</v>
      </c>
      <c r="H124" s="166">
        <f>STDEV(C124:E124)</f>
        <v>1.3187805348252621</v>
      </c>
      <c r="I124" s="166">
        <f>(B124*B4+C124*C4+D124*D4+E124*E4+F124*F4)/SUM(B4:F4)</f>
        <v>0.7594546748661817</v>
      </c>
    </row>
    <row r="125" spans="1:9" ht="12.75">
      <c r="A125" s="166" t="s">
        <v>177</v>
      </c>
      <c r="B125" s="166">
        <f>B85*10000/B62</f>
        <v>-0.5183227775677827</v>
      </c>
      <c r="C125" s="166">
        <f>C85*10000/C62</f>
        <v>-0.981516168526536</v>
      </c>
      <c r="D125" s="166">
        <f>D85*10000/D62</f>
        <v>-1.0903070176428031</v>
      </c>
      <c r="E125" s="166">
        <f>E85*10000/E62</f>
        <v>-1.092564435863597</v>
      </c>
      <c r="F125" s="166">
        <f>F85*10000/F62</f>
        <v>-1.448782053157956</v>
      </c>
      <c r="G125" s="166">
        <f>AVERAGE(C125:E125)</f>
        <v>-1.0547958740109789</v>
      </c>
      <c r="H125" s="166">
        <f>STDEV(C125:E125)</f>
        <v>0.06347212310274863</v>
      </c>
      <c r="I125" s="166">
        <f>(B125*B4+C125*C4+D125*D4+E125*E4+F125*F4)/SUM(B4:F4)</f>
        <v>-1.0304113220284459</v>
      </c>
    </row>
    <row r="126" spans="1:9" ht="12.75">
      <c r="A126" s="166" t="s">
        <v>178</v>
      </c>
      <c r="B126" s="166">
        <f>B86*10000/B62</f>
        <v>0.8440700773529538</v>
      </c>
      <c r="C126" s="166">
        <f>C86*10000/C62</f>
        <v>0.42098456989233524</v>
      </c>
      <c r="D126" s="166">
        <f>D86*10000/D62</f>
        <v>0.024249428991687822</v>
      </c>
      <c r="E126" s="166">
        <f>E86*10000/E62</f>
        <v>0.06479022374591158</v>
      </c>
      <c r="F126" s="166">
        <f>F86*10000/F62</f>
        <v>1.6411746400603893</v>
      </c>
      <c r="G126" s="166">
        <f>AVERAGE(C126:E126)</f>
        <v>0.1700080742099782</v>
      </c>
      <c r="H126" s="166">
        <f>STDEV(C126:E126)</f>
        <v>0.2182951901636249</v>
      </c>
      <c r="I126" s="166">
        <f>(B126*B4+C126*C4+D126*D4+E126*E4+F126*F4)/SUM(B4:F4)</f>
        <v>0.4645595674768053</v>
      </c>
    </row>
    <row r="127" spans="1:9" ht="12.75">
      <c r="A127" s="166" t="s">
        <v>179</v>
      </c>
      <c r="B127" s="166">
        <f>B87*10000/B62</f>
        <v>-0.1587963957573216</v>
      </c>
      <c r="C127" s="166">
        <f>C87*10000/C62</f>
        <v>0.3232867273146645</v>
      </c>
      <c r="D127" s="166">
        <f>D87*10000/D62</f>
        <v>0.1449572699079633</v>
      </c>
      <c r="E127" s="166">
        <f>E87*10000/E62</f>
        <v>0.003273045280283881</v>
      </c>
      <c r="F127" s="166">
        <f>F87*10000/F62</f>
        <v>0.2872957280791586</v>
      </c>
      <c r="G127" s="166">
        <f>AVERAGE(C127:E127)</f>
        <v>0.15717234750097056</v>
      </c>
      <c r="H127" s="166">
        <f>STDEV(C127:E127)</f>
        <v>0.16035615130936762</v>
      </c>
      <c r="I127" s="166">
        <f>(B127*B4+C127*C4+D127*D4+E127*E4+F127*F4)/SUM(B4:F4)</f>
        <v>0.12914606653570618</v>
      </c>
    </row>
    <row r="128" spans="1:9" ht="12.75">
      <c r="A128" s="166" t="s">
        <v>180</v>
      </c>
      <c r="B128" s="166">
        <f>B88*10000/B62</f>
        <v>0.1345363998059079</v>
      </c>
      <c r="C128" s="166">
        <f>C88*10000/C62</f>
        <v>0.10348858737353918</v>
      </c>
      <c r="D128" s="166">
        <f>D88*10000/D62</f>
        <v>0.14688114823137063</v>
      </c>
      <c r="E128" s="166">
        <f>E88*10000/E62</f>
        <v>0.23686341656727575</v>
      </c>
      <c r="F128" s="166">
        <f>F88*10000/F62</f>
        <v>0.01801712819989814</v>
      </c>
      <c r="G128" s="166">
        <f>AVERAGE(C128:E128)</f>
        <v>0.16241105072406184</v>
      </c>
      <c r="H128" s="166">
        <f>STDEV(C128:E128)</f>
        <v>0.06803010119931452</v>
      </c>
      <c r="I128" s="166">
        <f>(B128*B4+C128*C4+D128*D4+E128*E4+F128*F4)/SUM(B4:F4)</f>
        <v>0.13901400690302526</v>
      </c>
    </row>
    <row r="129" spans="1:9" ht="12.75">
      <c r="A129" s="166" t="s">
        <v>181</v>
      </c>
      <c r="B129" s="166">
        <f>B89*10000/B62</f>
        <v>-0.07511228761936689</v>
      </c>
      <c r="C129" s="166">
        <f>C89*10000/C62</f>
        <v>-0.0756265375079601</v>
      </c>
      <c r="D129" s="166">
        <f>D89*10000/D62</f>
        <v>-0.04529753455852617</v>
      </c>
      <c r="E129" s="166">
        <f>E89*10000/E62</f>
        <v>-0.04168646627111535</v>
      </c>
      <c r="F129" s="166">
        <f>F89*10000/F62</f>
        <v>0.056507000668803556</v>
      </c>
      <c r="G129" s="166">
        <f>AVERAGE(C129:E129)</f>
        <v>-0.05420351277920054</v>
      </c>
      <c r="H129" s="166">
        <f>STDEV(C129:E129)</f>
        <v>0.01864053231377442</v>
      </c>
      <c r="I129" s="166">
        <f>(B129*B4+C129*C4+D129*D4+E129*E4+F129*F4)/SUM(B4:F4)</f>
        <v>-0.042357322667376365</v>
      </c>
    </row>
    <row r="130" spans="1:9" ht="12.75">
      <c r="A130" s="166" t="s">
        <v>182</v>
      </c>
      <c r="B130" s="166">
        <f>B90*10000/B62</f>
        <v>0.05188425091138826</v>
      </c>
      <c r="C130" s="166">
        <f>C90*10000/C62</f>
        <v>0.07120662726564302</v>
      </c>
      <c r="D130" s="166">
        <f>D90*10000/D62</f>
        <v>0.010056931274135924</v>
      </c>
      <c r="E130" s="166">
        <f>E90*10000/E62</f>
        <v>0.030819601717996907</v>
      </c>
      <c r="F130" s="166">
        <f>F90*10000/F62</f>
        <v>0.14084491334531532</v>
      </c>
      <c r="G130" s="166">
        <f>AVERAGE(C130:E130)</f>
        <v>0.03736105341925861</v>
      </c>
      <c r="H130" s="166">
        <f>STDEV(C130:E130)</f>
        <v>0.03109524517885957</v>
      </c>
      <c r="I130" s="166">
        <f>(B130*B4+C130*C4+D130*D4+E130*E4+F130*F4)/SUM(B4:F4)</f>
        <v>0.05334569232851515</v>
      </c>
    </row>
    <row r="131" spans="1:9" ht="12.75">
      <c r="A131" s="166" t="s">
        <v>183</v>
      </c>
      <c r="B131" s="166">
        <f>B91*10000/B62</f>
        <v>0.0457473262216049</v>
      </c>
      <c r="C131" s="166">
        <f>C91*10000/C62</f>
        <v>0.06986308021768205</v>
      </c>
      <c r="D131" s="166">
        <f>D91*10000/D62</f>
        <v>0.09089042956260407</v>
      </c>
      <c r="E131" s="166">
        <f>E91*10000/E62</f>
        <v>0.04056125009733245</v>
      </c>
      <c r="F131" s="166">
        <f>F91*10000/F62</f>
        <v>0.04509935083889603</v>
      </c>
      <c r="G131" s="166">
        <f>AVERAGE(C131:E131)</f>
        <v>0.06710491995920619</v>
      </c>
      <c r="H131" s="166">
        <f>STDEV(C131:E131)</f>
        <v>0.02527770089269304</v>
      </c>
      <c r="I131" s="166">
        <f>(B131*B4+C131*C4+D131*D4+E131*E4+F131*F4)/SUM(B4:F4)</f>
        <v>0.061074371335023</v>
      </c>
    </row>
    <row r="132" spans="1:9" ht="12.75">
      <c r="A132" s="166" t="s">
        <v>184</v>
      </c>
      <c r="B132" s="166">
        <f>B92*10000/B62</f>
        <v>0.05647068582487179</v>
      </c>
      <c r="C132" s="166">
        <f>C92*10000/C62</f>
        <v>0.019633387244386735</v>
      </c>
      <c r="D132" s="166">
        <f>D92*10000/D62</f>
        <v>0.03947145326064771</v>
      </c>
      <c r="E132" s="166">
        <f>E92*10000/E62</f>
        <v>0.004560126119450178</v>
      </c>
      <c r="F132" s="166">
        <f>F92*10000/F62</f>
        <v>0.009022780423263165</v>
      </c>
      <c r="G132" s="166">
        <f>AVERAGE(C132:E132)</f>
        <v>0.021221655541494872</v>
      </c>
      <c r="H132" s="166">
        <f>STDEV(C132:E132)</f>
        <v>0.017509772637805093</v>
      </c>
      <c r="I132" s="166">
        <f>(B132*B4+C132*C4+D132*D4+E132*E4+F132*F4)/SUM(B4:F4)</f>
        <v>0.024659279642150908</v>
      </c>
    </row>
    <row r="133" spans="1:9" ht="12.75">
      <c r="A133" s="166" t="s">
        <v>185</v>
      </c>
      <c r="B133" s="166">
        <f>B93*10000/B62</f>
        <v>-0.062061619033807344</v>
      </c>
      <c r="C133" s="166">
        <f>C93*10000/C62</f>
        <v>-0.03154407856778353</v>
      </c>
      <c r="D133" s="166">
        <f>D93*10000/D62</f>
        <v>-0.0488325998296915</v>
      </c>
      <c r="E133" s="166">
        <f>E93*10000/E62</f>
        <v>-0.044967549488856964</v>
      </c>
      <c r="F133" s="166">
        <f>F93*10000/F62</f>
        <v>-0.06792806173848755</v>
      </c>
      <c r="G133" s="166">
        <f>AVERAGE(C133:E133)</f>
        <v>-0.041781409295443994</v>
      </c>
      <c r="H133" s="166">
        <f>STDEV(C133:E133)</f>
        <v>0.00907396599370541</v>
      </c>
      <c r="I133" s="166">
        <f>(B133*B4+C133*C4+D133*D4+E133*E4+F133*F4)/SUM(B4:F4)</f>
        <v>-0.04821015440317045</v>
      </c>
    </row>
    <row r="134" spans="1:9" ht="12.75">
      <c r="A134" s="166" t="s">
        <v>186</v>
      </c>
      <c r="B134" s="166">
        <f>B94*10000/B62</f>
        <v>0.005097977565284165</v>
      </c>
      <c r="C134" s="166">
        <f>C94*10000/C62</f>
        <v>0.010935208786995162</v>
      </c>
      <c r="D134" s="166">
        <f>D94*10000/D62</f>
        <v>0.003667575632402513</v>
      </c>
      <c r="E134" s="166">
        <f>E94*10000/E62</f>
        <v>0.0033368223010599367</v>
      </c>
      <c r="F134" s="166">
        <f>F94*10000/F62</f>
        <v>-0.03779385207775484</v>
      </c>
      <c r="G134" s="166">
        <f>AVERAGE(C134:E134)</f>
        <v>0.005979868906819203</v>
      </c>
      <c r="H134" s="166">
        <f>STDEV(C134:E134)</f>
        <v>0.004294635541881902</v>
      </c>
      <c r="I134" s="166">
        <f>(B134*B4+C134*C4+D134*D4+E134*E4+F134*F4)/SUM(B4:F4)</f>
        <v>-2.1825972209918153E-05</v>
      </c>
    </row>
    <row r="135" spans="1:9" ht="12.75">
      <c r="A135" s="166" t="s">
        <v>187</v>
      </c>
      <c r="B135" s="166">
        <f>B95*10000/B62</f>
        <v>-0.00012436231278804076</v>
      </c>
      <c r="C135" s="166">
        <f>C95*10000/C62</f>
        <v>-0.009069568918347561</v>
      </c>
      <c r="D135" s="166">
        <f>D95*10000/D62</f>
        <v>-0.002620947532744479</v>
      </c>
      <c r="E135" s="166">
        <f>E95*10000/E62</f>
        <v>-0.00191384481126671</v>
      </c>
      <c r="F135" s="166">
        <f>F95*10000/F62</f>
        <v>0.002679549238695063</v>
      </c>
      <c r="G135" s="166">
        <f>AVERAGE(C135:E135)</f>
        <v>-0.004534787087452917</v>
      </c>
      <c r="H135" s="166">
        <f>STDEV(C135:E135)</f>
        <v>0.003943118468298849</v>
      </c>
      <c r="I135" s="166">
        <f>(B135*B4+C135*C4+D135*D4+E135*E4+F135*F4)/SUM(B4:F4)</f>
        <v>-0.002931774389197497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2003-09-12T13:26:47Z</cp:lastPrinted>
  <dcterms:created xsi:type="dcterms:W3CDTF">1999-06-17T15:15:05Z</dcterms:created>
  <dcterms:modified xsi:type="dcterms:W3CDTF">2005-10-05T09:02:05Z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1851067855</vt:i4>
  </property>
  <property fmtid="{D5CDD505-2E9C-101B-9397-08002B2CF9AE}" pid="3" name="_EmailSubject">
    <vt:lpwstr>WFM result of aperture 86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