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87_pos5ap2" sheetId="2" r:id="rId2"/>
    <sheet name="HCMQAP087_pos1ap2" sheetId="3" r:id="rId3"/>
    <sheet name="HCMQAP087_pos2ap2" sheetId="4" r:id="rId4"/>
    <sheet name="HCMQAP087_pos3ap2" sheetId="5" r:id="rId5"/>
    <sheet name="HCMQAP087_pos4ap2" sheetId="6" r:id="rId6"/>
    <sheet name="Lmag_hcmqap" sheetId="7" r:id="rId7"/>
    <sheet name="Result_HCMQAP" sheetId="8" r:id="rId8"/>
  </sheets>
  <definedNames>
    <definedName name="_xlnm.Print_Area" localSheetId="2">'HCMQAP087_pos1ap2'!$A$1:$N$28</definedName>
    <definedName name="_xlnm.Print_Area" localSheetId="3">'HCMQAP087_pos2ap2'!$A$1:$N$28</definedName>
    <definedName name="_xlnm.Print_Area" localSheetId="4">'HCMQAP087_pos3ap2'!$A$1:$N$28</definedName>
    <definedName name="_xlnm.Print_Area" localSheetId="5">'HCMQAP087_pos4ap2'!$A$1:$N$28</definedName>
    <definedName name="_xlnm.Print_Area" localSheetId="1">'HCMQAP087_pos5ap2'!$A$1:$N$28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<sst xmlns="http://schemas.openxmlformats.org/spreadsheetml/2006/main" count="510" uniqueCount="194">
  <si>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</si>
  <si>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</si>
  <si>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</si>
  <si>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</si>
  <si>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</si>
  <si>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</si>
  <si>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</si>
  <si>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</si>
  <si>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</si>
  <si>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</si>
  <si>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</si>
  <si>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</si>
  <si>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</si>
  <si>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</si>
  <si>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</si>
  <si>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hcmqap087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</si>
  <si>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</si>
  <si>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</si>
  <si>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</si>
  <si>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</si>
  <si>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</si>
  <si>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</si>
  <si>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</si>
  <si>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</si>
  <si>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</si>
  <si>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</si>
  <si>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</si>
  <si>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</si>
  <si>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</si>
  <si>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</si>
  <si>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</si>
  <si>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</si>
  <si>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</si>
  <si>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</si>
  <si>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</si>
  <si>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</si>
  <si>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</si>
  <si>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</si>
  <si>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</si>
  <si>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</si>
  <si>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</si>
  <si>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</si>
  <si>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</si>
  <si>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</si>
  <si>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</si>
  <si>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</si>
  <si>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</si>
  <si>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</si>
  <si>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</si>
  <si>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</si>
  <si>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</si>
  <si>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</si>
  <si>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</si>
  <si>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</si>
  <si>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</si>
  <si>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</si>
  <si>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</si>
  <si>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</si>
  <si>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</si>
  <si>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</si>
  <si>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</si>
  <si>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</si>
  <si>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</si>
  <si>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</si>
  <si>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</si>
  <si>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</si>
  <si>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</si>
  <si>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</si>
  <si>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HCMQAP087_pos5ap2</t>
  </si>
  <si>
    <t>18/09/2003</t>
  </si>
  <si>
    <t>±12.5</t>
  </si>
  <si>
    <t>THCMQAP087_pos5ap2.xls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</si>
  <si>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-2.263 mT)</t>
    </r>
  </si>
  <si>
    <t>HCMQAP087_pos1ap2</t>
  </si>
  <si>
    <t>THCMQAP087_pos1ap2.xls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</si>
  <si>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</si>
  <si>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HCMQAP087_pos2ap2</t>
  </si>
  <si>
    <t>THCMQAP087_pos2ap2.xls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</si>
  <si>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</si>
  <si>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HCMQAP087_pos3ap2</t>
  </si>
  <si>
    <t>THCMQAP087_pos3ap2.xls</t>
  </si>
  <si>
    <t>HCMQAP087_pos4ap2</t>
  </si>
  <si>
    <t>THCMQAP087_pos4ap2.xls</t>
  </si>
  <si>
    <t>Sommaire : Valeurs intégrales calculées avec les fichiers: HCMQAP087_pos5ap2+HCMQAP087_pos1ap2+HCMQAP087_pos2ap2+HCMQAP087_pos3ap2+HCMQAP087_pos4ap2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</si>
  <si>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</si>
  <si>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</si>
  <si>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</si>
  <si>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</si>
  <si>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</si>
  <si>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</si>
  <si>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</si>
  <si>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</si>
  <si>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</si>
  <si>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</si>
  <si>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</si>
  <si>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</si>
  <si>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</si>
  <si>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</si>
  <si>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</si>
  <si>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</si>
  <si>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</si>
  <si>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</si>
  <si>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</si>
  <si>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</si>
  <si>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</si>
  <si>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</si>
  <si>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</si>
  <si>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</si>
  <si>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</si>
  <si>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</si>
  <si>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</si>
  <si>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</si>
  <si>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</si>
  <si>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</si>
  <si>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</si>
  <si>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</si>
  <si>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</si>
  <si>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</si>
  <si>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</si>
  <si>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</si>
  <si>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</si>
  <si>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</si>
  <si>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</si>
  <si>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</si>
  <si>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</si>
  <si>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</si>
  <si>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</si>
  <si>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=-3.763</t>
    </r>
  </si>
  <si>
    <t>Gradient (T/m)</t>
  </si>
  <si>
    <t xml:space="preserve"> Thu 18/09/2003       11:25:37</t>
  </si>
  <si>
    <t>LISSNER</t>
  </si>
  <si>
    <t>HCMQAP087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</si>
  <si>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</si>
  <si>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</si>
  <si>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</si>
  <si>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</si>
  <si>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</si>
  <si>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</si>
  <si>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</si>
  <si>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</si>
  <si>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</si>
  <si>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</si>
  <si>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b14*</t>
  </si>
  <si>
    <t>a1</t>
  </si>
  <si>
    <t>a2</t>
  </si>
  <si>
    <t>a3*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</si>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</sst>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4" borderId="15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4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179" fontId="6" fillId="3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11" fillId="0" borderId="63" xfId="0" applyNumberFormat="1" applyFon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8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3272851"/>
        <c:axId val="14662796"/>
      </c:lineChart>
      <c:catAx>
        <c:axId val="232728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662796"/>
        <c:crosses val="autoZero"/>
        <c:auto val="1"/>
        <c:lblOffset val="100"/>
        <c:noMultiLvlLbl val="0"/>
      </c:catAx>
      <c:valAx>
        <c:axId val="14662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32728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35</xdr:row>
      <xdr:rowOff>142875</xdr:rowOff>
    </xdr:from>
    <xdr:to>
      <xdr:col>6</xdr:col>
      <xdr:colOff>800100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52400" y="5962650"/>
        <a:ext cx="5334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2287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1</v>
      </c>
      <c r="F3" s="26"/>
      <c r="G3" s="26" t="s">
        <v>73</v>
      </c>
      <c r="H3" s="25">
        <v>2287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2</v>
      </c>
      <c r="F4" s="26"/>
      <c r="G4" s="26" t="s">
        <v>76</v>
      </c>
      <c r="H4" s="25">
        <v>2287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3</v>
      </c>
      <c r="F5" s="26"/>
      <c r="G5" s="26" t="s">
        <v>79</v>
      </c>
      <c r="H5" s="25">
        <v>2287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4</v>
      </c>
      <c r="F6" s="26"/>
      <c r="G6" s="26" t="s">
        <v>81</v>
      </c>
      <c r="H6" s="25">
        <v>2287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2.50131101E-05</v>
      </c>
      <c r="L2" s="54">
        <v>4.650490900914894E-07</v>
      </c>
      <c r="M2" s="54">
        <v>9.957081700000001E-05</v>
      </c>
      <c r="N2" s="55">
        <v>1.745524977369268E-07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-3.01103819E-05</v>
      </c>
      <c r="L3" s="54">
        <v>1.1285295848638533E-07</v>
      </c>
      <c r="M3" s="54">
        <v>9.664803000000003E-06</v>
      </c>
      <c r="N3" s="55">
        <v>1.8179623688621982E-07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-0.0020868023434533847</v>
      </c>
      <c r="L4" s="54">
        <v>-3.897618777087974E-05</v>
      </c>
      <c r="M4" s="54">
        <v>3.8588348123835925E-08</v>
      </c>
      <c r="N4" s="55">
        <v>9.337649200000001</v>
      </c>
    </row>
    <row r="5" spans="1:14" ht="15" customHeight="1" thickBot="1">
      <c r="A5" t="s">
        <v>18</v>
      </c>
      <c r="B5" s="58">
        <v>37882.472604166665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3.9140118</v>
      </c>
      <c r="E8" s="77">
        <v>0.0270452367554878</v>
      </c>
      <c r="F8" s="78">
        <v>10.052387499999998</v>
      </c>
      <c r="G8" s="77">
        <v>0.031024724426270578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-2.2456433000000002</v>
      </c>
      <c r="E9" s="80">
        <v>0.0763597392272819</v>
      </c>
      <c r="F9" s="84">
        <v>2.7292482</v>
      </c>
      <c r="G9" s="80">
        <v>0.03705408876307407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-1.75841517</v>
      </c>
      <c r="E10" s="80">
        <v>0.025373320054074458</v>
      </c>
      <c r="F10" s="84">
        <v>-7.218521699999999</v>
      </c>
      <c r="G10" s="80">
        <v>0.014858182919213514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14.283767000000001</v>
      </c>
      <c r="E11" s="77">
        <v>0.008562637794979698</v>
      </c>
      <c r="F11" s="78">
        <v>1.9879179999999999</v>
      </c>
      <c r="G11" s="77">
        <v>0.007572729356101324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-0.19722246</v>
      </c>
      <c r="E12" s="80">
        <v>0.004907040579351554</v>
      </c>
      <c r="F12" s="87">
        <v>0.5964529900000001</v>
      </c>
      <c r="G12" s="80">
        <v>0.011496160352803628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23.596192</v>
      </c>
      <c r="D13" s="83">
        <v>0.130548057</v>
      </c>
      <c r="E13" s="80">
        <v>0.00807675871692321</v>
      </c>
      <c r="F13" s="80">
        <v>0.033755341</v>
      </c>
      <c r="G13" s="80">
        <v>0.006020234748867696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0.23588395</v>
      </c>
      <c r="E14" s="80">
        <v>0.003375332779593648</v>
      </c>
      <c r="F14" s="84">
        <v>0.48758514999999997</v>
      </c>
      <c r="G14" s="80">
        <v>0.0057037388734083065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-0.45157793999999996</v>
      </c>
      <c r="E15" s="77">
        <v>0.005136333860296247</v>
      </c>
      <c r="F15" s="77">
        <v>0.20378556999999997</v>
      </c>
      <c r="G15" s="77">
        <v>0.0023277332043447024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3">
        <v>0.016566821093</v>
      </c>
      <c r="E16" s="80">
        <v>0.0019715190222322865</v>
      </c>
      <c r="F16" s="80">
        <v>-0.0051182047</v>
      </c>
      <c r="G16" s="80">
        <v>0.00530062357492095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0.3050000071525574</v>
      </c>
      <c r="D17" s="83">
        <v>0.094052217</v>
      </c>
      <c r="E17" s="80">
        <v>0.0020466958893702453</v>
      </c>
      <c r="F17" s="80">
        <v>0.0136802723</v>
      </c>
      <c r="G17" s="80">
        <v>0.002092618122569223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-14.241999626159668</v>
      </c>
      <c r="D18" s="83">
        <v>-0.0107554461</v>
      </c>
      <c r="E18" s="80">
        <v>0.0010799711721679135</v>
      </c>
      <c r="F18" s="80">
        <v>0.12101171</v>
      </c>
      <c r="G18" s="80">
        <v>0.0015909870494134266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-0.125</v>
      </c>
      <c r="D19" s="83">
        <v>-0.13477003</v>
      </c>
      <c r="E19" s="80">
        <v>0.0016995123078686707</v>
      </c>
      <c r="F19" s="80">
        <v>-0.028783350000000003</v>
      </c>
      <c r="G19" s="80">
        <v>0.0014287400438322605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0.18860059999999998</v>
      </c>
      <c r="D20" s="90">
        <v>0.0010374028700000002</v>
      </c>
      <c r="E20" s="91">
        <v>0.0005069608590428826</v>
      </c>
      <c r="F20" s="91">
        <v>0.0035233431100000004</v>
      </c>
      <c r="G20" s="91">
        <v>0.002356189338269458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0.8146370000000001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0.5350083416359233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-2.0871663</v>
      </c>
      <c r="I25" s="103" t="s">
        <v>65</v>
      </c>
      <c r="J25" s="104"/>
      <c r="K25" s="103"/>
      <c r="L25" s="106">
        <v>14.421436047946578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10.787491961558787</v>
      </c>
      <c r="I26" s="108" t="s">
        <v>67</v>
      </c>
      <c r="J26" s="109"/>
      <c r="K26" s="108"/>
      <c r="L26" s="111">
        <v>0.4954303123900156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HCMQAP087_pos5ap2res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8.5745095E-05</v>
      </c>
      <c r="L2" s="54">
        <v>1.1002974512034753E-07</v>
      </c>
      <c r="M2" s="54">
        <v>7.452302699999999E-05</v>
      </c>
      <c r="N2" s="55">
        <v>1.3570838477013988E-07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-3.0998225E-05</v>
      </c>
      <c r="L3" s="54">
        <v>1.3781597225980176E-07</v>
      </c>
      <c r="M3" s="54">
        <v>1.3703399E-05</v>
      </c>
      <c r="N3" s="55">
        <v>1.2608995457187467E-07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-0.002262479242796801</v>
      </c>
      <c r="L4" s="54">
        <v>-2.5761196874833343E-05</v>
      </c>
      <c r="M4" s="54">
        <v>4.7813596677990606E-08</v>
      </c>
      <c r="N4" s="55">
        <v>5.6928884</v>
      </c>
    </row>
    <row r="5" spans="1:14" ht="15" customHeight="1" thickBot="1">
      <c r="A5" t="s">
        <v>18</v>
      </c>
      <c r="B5" s="58">
        <v>37882.45416666667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3.9573653999999996</v>
      </c>
      <c r="E8" s="77">
        <v>0.03270360084981931</v>
      </c>
      <c r="F8" s="77">
        <v>0.45027802</v>
      </c>
      <c r="G8" s="77">
        <v>0.01342673168100226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0.9521499100000002</v>
      </c>
      <c r="E9" s="80">
        <v>0.04084827883952195</v>
      </c>
      <c r="F9" s="80">
        <v>1.189295</v>
      </c>
      <c r="G9" s="80">
        <v>0.047307324224688245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-1.26453894</v>
      </c>
      <c r="E10" s="80">
        <v>0.012407981515715113</v>
      </c>
      <c r="F10" s="80">
        <v>-1.0917591999999998</v>
      </c>
      <c r="G10" s="80">
        <v>0.016460031432539428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2.5674523999999996</v>
      </c>
      <c r="E11" s="77">
        <v>0.013931672646922294</v>
      </c>
      <c r="F11" s="77">
        <v>0.60373217</v>
      </c>
      <c r="G11" s="77">
        <v>0.011955200607126097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-0.13905630799999996</v>
      </c>
      <c r="E12" s="80">
        <v>0.005800588410072034</v>
      </c>
      <c r="F12" s="80">
        <v>0.04340574834</v>
      </c>
      <c r="G12" s="80">
        <v>0.010381822415620995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22.640992</v>
      </c>
      <c r="D13" s="83">
        <v>0.257092996</v>
      </c>
      <c r="E13" s="80">
        <v>0.009476135689396375</v>
      </c>
      <c r="F13" s="80">
        <v>-0.19102297</v>
      </c>
      <c r="G13" s="80">
        <v>0.00489694164582417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116">
        <v>0.47898563000000005</v>
      </c>
      <c r="E14" s="80">
        <v>0.0029544626940556265</v>
      </c>
      <c r="F14" s="84">
        <v>0.47897594000000004</v>
      </c>
      <c r="G14" s="80">
        <v>0.0024498644793837844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-0.58621431</v>
      </c>
      <c r="E15" s="77">
        <v>0.005222911301213559</v>
      </c>
      <c r="F15" s="77">
        <v>0.045863723999999995</v>
      </c>
      <c r="G15" s="77">
        <v>0.006471824831714314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12.506200000000002</v>
      </c>
      <c r="D16" s="83">
        <v>-0.08706993099999999</v>
      </c>
      <c r="E16" s="80">
        <v>0.004353334654165352</v>
      </c>
      <c r="F16" s="80">
        <v>-0.04695793717</v>
      </c>
      <c r="G16" s="80">
        <v>0.005074489475440943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0.42800000309944153</v>
      </c>
      <c r="D17" s="83">
        <v>0.081063264</v>
      </c>
      <c r="E17" s="80">
        <v>0.0025640782092548127</v>
      </c>
      <c r="F17" s="87">
        <v>-0.15025779999999997</v>
      </c>
      <c r="G17" s="80">
        <v>0.0026427909183292394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9.663999557495117</v>
      </c>
      <c r="D18" s="83">
        <v>0.13888247</v>
      </c>
      <c r="E18" s="80">
        <v>0.0013149426712210789</v>
      </c>
      <c r="F18" s="84">
        <v>0.18250692000000002</v>
      </c>
      <c r="G18" s="80">
        <v>0.0015342782187699941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0.25</v>
      </c>
      <c r="D19" s="116">
        <v>-0.22903072</v>
      </c>
      <c r="E19" s="80">
        <v>0.002794201714549879</v>
      </c>
      <c r="F19" s="80">
        <v>-0.0013794202900000003</v>
      </c>
      <c r="G19" s="80">
        <v>0.0022451091621632545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0.6378309</v>
      </c>
      <c r="D20" s="90">
        <v>0.00066308175</v>
      </c>
      <c r="E20" s="91">
        <v>0.0017540792643140758</v>
      </c>
      <c r="F20" s="91">
        <v>-0.029887048</v>
      </c>
      <c r="G20" s="91">
        <v>0.0015529285828060778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0.5671987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0.3261787540703911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-2.2626258999999997</v>
      </c>
      <c r="I25" s="103" t="s">
        <v>65</v>
      </c>
      <c r="J25" s="104"/>
      <c r="K25" s="103"/>
      <c r="L25" s="106">
        <v>2.6374806841678797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3.98289984865453</v>
      </c>
      <c r="I26" s="108" t="s">
        <v>67</v>
      </c>
      <c r="J26" s="109"/>
      <c r="K26" s="108"/>
      <c r="L26" s="111">
        <v>0.5880056959145246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HCMQAP087_pos1ap2res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-8.0747318E-05</v>
      </c>
      <c r="L2" s="54">
        <v>1.9304034217359793E-07</v>
      </c>
      <c r="M2" s="54">
        <v>0.00011366142000000001</v>
      </c>
      <c r="N2" s="55">
        <v>9.609349404641918E-08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-2.8590702E-05</v>
      </c>
      <c r="L3" s="54">
        <v>1.272491242644356E-07</v>
      </c>
      <c r="M3" s="54">
        <v>1.250232E-05</v>
      </c>
      <c r="N3" s="55">
        <v>1.9915710783192297E-07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-0.00376250764809724</v>
      </c>
      <c r="L4" s="54">
        <v>-4.116214529900585E-05</v>
      </c>
      <c r="M4" s="54">
        <v>6.359211436598333E-08</v>
      </c>
      <c r="N4" s="55">
        <v>5.4698232</v>
      </c>
    </row>
    <row r="5" spans="1:14" ht="15" customHeight="1" thickBot="1">
      <c r="A5" t="s">
        <v>18</v>
      </c>
      <c r="B5" s="58">
        <v>37882.45869212963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2.5876639</v>
      </c>
      <c r="E8" s="77">
        <v>0.011831889948035636</v>
      </c>
      <c r="F8" s="77">
        <v>1.4978242</v>
      </c>
      <c r="G8" s="77">
        <v>0.017406337344767073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0.8550323799999999</v>
      </c>
      <c r="E9" s="80">
        <v>0.027156275511538243</v>
      </c>
      <c r="F9" s="84">
        <v>3.6357258999999997</v>
      </c>
      <c r="G9" s="80">
        <v>0.053994247903251864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1.722516</v>
      </c>
      <c r="E10" s="80">
        <v>0.006584741202237737</v>
      </c>
      <c r="F10" s="80">
        <v>-1.4682870000000001</v>
      </c>
      <c r="G10" s="80">
        <v>0.007159686850642543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4.422747</v>
      </c>
      <c r="E11" s="77">
        <v>0.005793963755368239</v>
      </c>
      <c r="F11" s="77">
        <v>0.16239282</v>
      </c>
      <c r="G11" s="77">
        <v>0.009977763788926276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0.33562763</v>
      </c>
      <c r="E12" s="80">
        <v>0.004134447749649573</v>
      </c>
      <c r="F12" s="80">
        <v>0.4424746</v>
      </c>
      <c r="G12" s="80">
        <v>0.005902720990697644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22.866822</v>
      </c>
      <c r="D13" s="116">
        <v>0.411795</v>
      </c>
      <c r="E13" s="80">
        <v>0.002854964360719103</v>
      </c>
      <c r="F13" s="80">
        <v>0.2480042</v>
      </c>
      <c r="G13" s="80">
        <v>0.004553141244569095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0.068465484</v>
      </c>
      <c r="E14" s="80">
        <v>0.0016378334122717753</v>
      </c>
      <c r="F14" s="80">
        <v>0.24651861</v>
      </c>
      <c r="G14" s="80">
        <v>0.0023456495559667917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-0.25347481000000005</v>
      </c>
      <c r="E15" s="77">
        <v>0.0031535888063260464</v>
      </c>
      <c r="F15" s="77">
        <v>0.017875415999999998</v>
      </c>
      <c r="G15" s="77">
        <v>0.0030542465985139416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3">
        <v>-0.00019827389999999999</v>
      </c>
      <c r="E16" s="80">
        <v>0.002112976936908645</v>
      </c>
      <c r="F16" s="80">
        <v>-0.012631056849999999</v>
      </c>
      <c r="G16" s="80">
        <v>0.001157090886966932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-0.35600000619888306</v>
      </c>
      <c r="D17" s="83">
        <v>0.076244742</v>
      </c>
      <c r="E17" s="80">
        <v>0.0018186673703033457</v>
      </c>
      <c r="F17" s="80">
        <v>0.061957768999999996</v>
      </c>
      <c r="G17" s="80">
        <v>0.0012733821979651085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28.992000579833984</v>
      </c>
      <c r="D18" s="83">
        <v>-0.06498825800000001</v>
      </c>
      <c r="E18" s="80">
        <v>0.0016340635540288508</v>
      </c>
      <c r="F18" s="80">
        <v>0.14701026</v>
      </c>
      <c r="G18" s="80">
        <v>0.0010079410485698643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-0.43799999356269836</v>
      </c>
      <c r="D19" s="116">
        <v>-0.19800756999999997</v>
      </c>
      <c r="E19" s="80">
        <v>0.001058733063902753</v>
      </c>
      <c r="F19" s="80">
        <v>0.006300296299999999</v>
      </c>
      <c r="G19" s="80">
        <v>0.0012146399374756988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-0.3703928</v>
      </c>
      <c r="D20" s="90">
        <v>-0.007037299800000001</v>
      </c>
      <c r="E20" s="91">
        <v>0.0012877381801015871</v>
      </c>
      <c r="F20" s="91">
        <v>-0.01912291</v>
      </c>
      <c r="G20" s="91">
        <v>0.0012518211774571087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0.5095139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0.3133980487587496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-3.7627328</v>
      </c>
      <c r="I25" s="103" t="s">
        <v>65</v>
      </c>
      <c r="J25" s="104"/>
      <c r="K25" s="103"/>
      <c r="L25" s="106">
        <v>4.4257273361557825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2.98989661919419</v>
      </c>
      <c r="I26" s="108" t="s">
        <v>67</v>
      </c>
      <c r="J26" s="109"/>
      <c r="K26" s="108"/>
      <c r="L26" s="111">
        <v>0.2541043285772778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HCMQAP087_pos2ap2res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6.5742716E-05</v>
      </c>
      <c r="L2" s="54">
        <v>3.4291915004092465E-07</v>
      </c>
      <c r="M2" s="54">
        <v>0.00011774062000000001</v>
      </c>
      <c r="N2" s="55">
        <v>2.1805449685313066E-07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-2.7297113999999998E-05</v>
      </c>
      <c r="L3" s="54">
        <v>2.3663223547122023E-07</v>
      </c>
      <c r="M3" s="54">
        <v>1.1132940000000003E-05</v>
      </c>
      <c r="N3" s="55">
        <v>1.3890596243497895E-07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-0.003764054314875449</v>
      </c>
      <c r="L4" s="54">
        <v>-5.383640080847151E-05</v>
      </c>
      <c r="M4" s="54">
        <v>7.807661027773028E-08</v>
      </c>
      <c r="N4" s="55">
        <v>7.1508971</v>
      </c>
    </row>
    <row r="5" spans="1:14" ht="15" customHeight="1" thickBot="1">
      <c r="A5" t="s">
        <v>18</v>
      </c>
      <c r="B5" s="58">
        <v>37882.46337962963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3.8720551</v>
      </c>
      <c r="E8" s="77">
        <v>0.011984567891301787</v>
      </c>
      <c r="F8" s="77">
        <v>0.39803852000000006</v>
      </c>
      <c r="G8" s="77">
        <v>0.009600095509501846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0.23652371100000003</v>
      </c>
      <c r="E9" s="80">
        <v>0.04134525845375424</v>
      </c>
      <c r="F9" s="84">
        <v>2.7931537</v>
      </c>
      <c r="G9" s="80">
        <v>0.03294069482662096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-0.48320083</v>
      </c>
      <c r="E10" s="80">
        <v>0.0068220092772291645</v>
      </c>
      <c r="F10" s="80">
        <v>-1.6914557</v>
      </c>
      <c r="G10" s="80">
        <v>0.006310093007250358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3.9337041</v>
      </c>
      <c r="E11" s="77">
        <v>0.008111282835678458</v>
      </c>
      <c r="F11" s="77">
        <v>-0.27301605</v>
      </c>
      <c r="G11" s="77">
        <v>0.006600182005292912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0.14993063</v>
      </c>
      <c r="E12" s="80">
        <v>0.0036321702524255003</v>
      </c>
      <c r="F12" s="80">
        <v>0.52587206</v>
      </c>
      <c r="G12" s="80">
        <v>0.005132256608198561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23.123170000000002</v>
      </c>
      <c r="D13" s="83">
        <v>0.18903031999999997</v>
      </c>
      <c r="E13" s="80">
        <v>0.003057365235069694</v>
      </c>
      <c r="F13" s="80">
        <v>0.31941947000000004</v>
      </c>
      <c r="G13" s="80">
        <v>0.0028958179531147978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0.0699077257</v>
      </c>
      <c r="E14" s="80">
        <v>0.003725765735394287</v>
      </c>
      <c r="F14" s="80">
        <v>0.17040562999999997</v>
      </c>
      <c r="G14" s="80">
        <v>0.002548781913308536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-0.20970025999999997</v>
      </c>
      <c r="E15" s="77">
        <v>0.0025827124296775566</v>
      </c>
      <c r="F15" s="77">
        <v>-0.051105162</v>
      </c>
      <c r="G15" s="77">
        <v>0.0025933209288470996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3">
        <v>-0.0154568495</v>
      </c>
      <c r="E16" s="80">
        <v>0.0008105191029878203</v>
      </c>
      <c r="F16" s="80">
        <v>-0.004224169999999999</v>
      </c>
      <c r="G16" s="80">
        <v>0.0020284212078683275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0.2549999952316284</v>
      </c>
      <c r="D17" s="83">
        <v>0.085158455</v>
      </c>
      <c r="E17" s="80">
        <v>0.0003851067465654858</v>
      </c>
      <c r="F17" s="80">
        <v>-0.02538194788</v>
      </c>
      <c r="G17" s="80">
        <v>0.0011398761059774267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-12.206999778747559</v>
      </c>
      <c r="D18" s="83">
        <v>0.049871738</v>
      </c>
      <c r="E18" s="80">
        <v>0.001413815160558936</v>
      </c>
      <c r="F18" s="80">
        <v>0.13594404999999998</v>
      </c>
      <c r="G18" s="80">
        <v>0.00047462149234966255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-0.04500000178813934</v>
      </c>
      <c r="D19" s="116">
        <v>-0.17895682</v>
      </c>
      <c r="E19" s="80">
        <v>0.0009422605046388237</v>
      </c>
      <c r="F19" s="80">
        <v>0.00025469245</v>
      </c>
      <c r="G19" s="80">
        <v>0.0011678592434514702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0.2892677</v>
      </c>
      <c r="D20" s="90">
        <v>-0.0008491603500000002</v>
      </c>
      <c r="E20" s="91">
        <v>0.0009370732577121565</v>
      </c>
      <c r="F20" s="91">
        <v>-0.015036047</v>
      </c>
      <c r="G20" s="91">
        <v>0.0011245481601318984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0.5358925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0.40971656963512104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-3.7644393000000007</v>
      </c>
      <c r="I25" s="103" t="s">
        <v>65</v>
      </c>
      <c r="J25" s="104"/>
      <c r="K25" s="103"/>
      <c r="L25" s="106">
        <v>3.943166964498766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3.8924600654136197</v>
      </c>
      <c r="I26" s="108" t="s">
        <v>67</v>
      </c>
      <c r="J26" s="109"/>
      <c r="K26" s="108"/>
      <c r="L26" s="111">
        <v>0.21583775533282826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HCMQAP087_pos3ap2res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-6.2984357E-05</v>
      </c>
      <c r="L2" s="54">
        <v>1.880668315934889E-07</v>
      </c>
      <c r="M2" s="54">
        <v>0.00011929150999999999</v>
      </c>
      <c r="N2" s="55">
        <v>1.2487264872867566E-07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-2.7921573E-05</v>
      </c>
      <c r="L3" s="54">
        <v>1.8177724974824892E-07</v>
      </c>
      <c r="M3" s="54">
        <v>9.944529999999998E-06</v>
      </c>
      <c r="N3" s="55">
        <v>1.1268617306481165E-07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-0.0037629112114371623</v>
      </c>
      <c r="L4" s="54">
        <v>-5.0836987141969396E-05</v>
      </c>
      <c r="M4" s="54">
        <v>4.079384239979498E-08</v>
      </c>
      <c r="N4" s="55">
        <v>6.754596599999999</v>
      </c>
    </row>
    <row r="5" spans="1:14" ht="15" customHeight="1" thickBot="1">
      <c r="A5" t="s">
        <v>18</v>
      </c>
      <c r="B5" s="58">
        <v>37882.467997685184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85">
        <v>6.1997495</v>
      </c>
      <c r="E8" s="77">
        <v>0.01027182246212627</v>
      </c>
      <c r="F8" s="77">
        <v>2.1780451999999997</v>
      </c>
      <c r="G8" s="77">
        <v>0.017769632226383985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-0.59597873</v>
      </c>
      <c r="E9" s="80">
        <v>0.014354089416071466</v>
      </c>
      <c r="F9" s="80">
        <v>2.4074313999999997</v>
      </c>
      <c r="G9" s="80">
        <v>0.01907997390566531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-0.377999107</v>
      </c>
      <c r="E10" s="80">
        <v>0.0051203707798181865</v>
      </c>
      <c r="F10" s="80">
        <v>-1.5029531000000003</v>
      </c>
      <c r="G10" s="80">
        <v>0.0035923232231425497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4.073858599999999</v>
      </c>
      <c r="E11" s="77">
        <v>0.007087322805057849</v>
      </c>
      <c r="F11" s="77">
        <v>0.32428541</v>
      </c>
      <c r="G11" s="77">
        <v>0.004462014977387227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-0.03615262</v>
      </c>
      <c r="E12" s="80">
        <v>0.0034841726030551395</v>
      </c>
      <c r="F12" s="80">
        <v>0.42198963</v>
      </c>
      <c r="G12" s="80">
        <v>0.007163842525670256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23.370362</v>
      </c>
      <c r="D13" s="83">
        <v>0.088872274</v>
      </c>
      <c r="E13" s="80">
        <v>0.0027133213293479234</v>
      </c>
      <c r="F13" s="80">
        <v>0.35430218999999996</v>
      </c>
      <c r="G13" s="80">
        <v>0.002542207356885539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-0.10332954899999999</v>
      </c>
      <c r="E14" s="80">
        <v>0.002207779233681218</v>
      </c>
      <c r="F14" s="80">
        <v>0.09220207</v>
      </c>
      <c r="G14" s="80">
        <v>0.002253253600249757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-0.16826512999999998</v>
      </c>
      <c r="E15" s="77">
        <v>0.002315190758794613</v>
      </c>
      <c r="F15" s="77">
        <v>0.029613442</v>
      </c>
      <c r="G15" s="77">
        <v>0.003692423884470199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12.506599999999999</v>
      </c>
      <c r="D16" s="83">
        <v>0.0116548966</v>
      </c>
      <c r="E16" s="80">
        <v>0.003168066802735878</v>
      </c>
      <c r="F16" s="80">
        <v>0.013794779339999999</v>
      </c>
      <c r="G16" s="80">
        <v>0.002473174930144994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-0.19300000369548798</v>
      </c>
      <c r="D17" s="83">
        <v>0.04790521</v>
      </c>
      <c r="E17" s="80">
        <v>0.0020339098102104738</v>
      </c>
      <c r="F17" s="80">
        <v>0.055510265999999996</v>
      </c>
      <c r="G17" s="80">
        <v>0.002170231934822705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164.7949981689453</v>
      </c>
      <c r="D18" s="83">
        <v>-0.029943918999999996</v>
      </c>
      <c r="E18" s="80">
        <v>0.0015171285222565396</v>
      </c>
      <c r="F18" s="80">
        <v>0.10312804499999999</v>
      </c>
      <c r="G18" s="80">
        <v>0.001822032600551469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-0.36800000071525574</v>
      </c>
      <c r="D19" s="116">
        <v>-0.16895056999999997</v>
      </c>
      <c r="E19" s="80">
        <v>0.0012321459846968597</v>
      </c>
      <c r="F19" s="80">
        <v>-0.00137364373</v>
      </c>
      <c r="G19" s="80">
        <v>0.001465324320636262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-0.29174680000000003</v>
      </c>
      <c r="D20" s="90">
        <v>0.0032817157200000003</v>
      </c>
      <c r="E20" s="91">
        <v>0.0012435125364598837</v>
      </c>
      <c r="F20" s="91">
        <v>-0.004668112944</v>
      </c>
      <c r="G20" s="91">
        <v>0.0012290834481792372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0.5350064999999999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0.3870102043869505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-3.7632546000000002</v>
      </c>
      <c r="I25" s="103" t="s">
        <v>65</v>
      </c>
      <c r="J25" s="104"/>
      <c r="K25" s="103"/>
      <c r="L25" s="106">
        <v>4.086745027516743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6.5712080134472455</v>
      </c>
      <c r="I26" s="108" t="s">
        <v>67</v>
      </c>
      <c r="J26" s="109"/>
      <c r="K26" s="108"/>
      <c r="L26" s="111">
        <v>0.17085113380075725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HCMQAP087_pos4ap2res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120</v>
      </c>
      <c r="B1" s="132" t="s">
        <v>73</v>
      </c>
      <c r="C1" s="122" t="s">
        <v>76</v>
      </c>
      <c r="D1" s="122" t="s">
        <v>79</v>
      </c>
      <c r="E1" s="122" t="s">
        <v>81</v>
      </c>
      <c r="F1" s="129" t="s">
        <v>68</v>
      </c>
      <c r="G1" s="167" t="s">
        <v>121</v>
      </c>
    </row>
    <row r="2" spans="1:7" ht="13.5" thickBot="1">
      <c r="A2" s="142" t="s">
        <v>90</v>
      </c>
      <c r="B2" s="133">
        <v>-2.2626258999999997</v>
      </c>
      <c r="C2" s="124">
        <v>-3.7627328</v>
      </c>
      <c r="D2" s="124">
        <v>-3.7644393000000007</v>
      </c>
      <c r="E2" s="124">
        <v>-3.7632546000000002</v>
      </c>
      <c r="F2" s="130">
        <v>-2.0871663</v>
      </c>
      <c r="G2" s="168">
        <v>3.116427872414246</v>
      </c>
    </row>
    <row r="3" spans="1:7" ht="14.25" thickBot="1" thickTop="1">
      <c r="A3" s="151" t="s">
        <v>89</v>
      </c>
      <c r="B3" s="152" t="s">
        <v>84</v>
      </c>
      <c r="C3" s="153" t="s">
        <v>85</v>
      </c>
      <c r="D3" s="153" t="s">
        <v>86</v>
      </c>
      <c r="E3" s="153" t="s">
        <v>87</v>
      </c>
      <c r="F3" s="154" t="s">
        <v>88</v>
      </c>
      <c r="G3" s="162" t="s">
        <v>122</v>
      </c>
    </row>
    <row r="4" spans="1:7" ht="12.75">
      <c r="A4" s="147" t="s">
        <v>91</v>
      </c>
      <c r="B4" s="148">
        <v>3.9573653999999996</v>
      </c>
      <c r="C4" s="149">
        <v>2.5876639</v>
      </c>
      <c r="D4" s="149">
        <v>3.8720551</v>
      </c>
      <c r="E4" s="150">
        <v>6.1997495</v>
      </c>
      <c r="F4" s="155">
        <v>3.9140118</v>
      </c>
      <c r="G4" s="163">
        <v>4.141071901711059</v>
      </c>
    </row>
    <row r="5" spans="1:7" ht="12.75">
      <c r="A5" s="142" t="s">
        <v>93</v>
      </c>
      <c r="B5" s="135">
        <v>0.9521499100000002</v>
      </c>
      <c r="C5" s="119">
        <v>0.8550323799999999</v>
      </c>
      <c r="D5" s="119">
        <v>0.23652371100000003</v>
      </c>
      <c r="E5" s="119">
        <v>-0.59597873</v>
      </c>
      <c r="F5" s="156">
        <v>-2.2456433000000002</v>
      </c>
      <c r="G5" s="164">
        <v>-0.04270107327899821</v>
      </c>
    </row>
    <row r="6" spans="1:7" ht="12.75">
      <c r="A6" s="142" t="s">
        <v>95</v>
      </c>
      <c r="B6" s="135">
        <v>-1.26453894</v>
      </c>
      <c r="C6" s="119">
        <v>1.722516</v>
      </c>
      <c r="D6" s="119">
        <v>-0.48320083</v>
      </c>
      <c r="E6" s="119">
        <v>-0.377999107</v>
      </c>
      <c r="F6" s="156">
        <v>-1.75841517</v>
      </c>
      <c r="G6" s="164">
        <v>-0.21044482070316659</v>
      </c>
    </row>
    <row r="7" spans="1:7" ht="12.75">
      <c r="A7" s="142" t="s">
        <v>97</v>
      </c>
      <c r="B7" s="134">
        <v>2.5674523999999996</v>
      </c>
      <c r="C7" s="118">
        <v>4.422747</v>
      </c>
      <c r="D7" s="118">
        <v>3.9337041</v>
      </c>
      <c r="E7" s="118">
        <v>4.073858599999999</v>
      </c>
      <c r="F7" s="157">
        <v>14.283767000000001</v>
      </c>
      <c r="G7" s="164">
        <v>5.268631760935363</v>
      </c>
    </row>
    <row r="8" spans="1:7" ht="12.75">
      <c r="A8" s="142" t="s">
        <v>99</v>
      </c>
      <c r="B8" s="135">
        <v>-0.13905630799999996</v>
      </c>
      <c r="C8" s="119">
        <v>0.33562763</v>
      </c>
      <c r="D8" s="119">
        <v>0.14993063</v>
      </c>
      <c r="E8" s="119">
        <v>-0.03615262</v>
      </c>
      <c r="F8" s="156">
        <v>-0.19722246</v>
      </c>
      <c r="G8" s="164">
        <v>0.06169746499914372</v>
      </c>
    </row>
    <row r="9" spans="1:7" ht="12.75">
      <c r="A9" s="142" t="s">
        <v>101</v>
      </c>
      <c r="B9" s="135">
        <v>0.257092996</v>
      </c>
      <c r="C9" s="120">
        <v>0.411795</v>
      </c>
      <c r="D9" s="119">
        <v>0.18903031999999997</v>
      </c>
      <c r="E9" s="119">
        <v>0.088872274</v>
      </c>
      <c r="F9" s="156">
        <v>0.130548057</v>
      </c>
      <c r="G9" s="164">
        <v>0.2205658061075866</v>
      </c>
    </row>
    <row r="10" spans="1:7" ht="12.75">
      <c r="A10" s="142" t="s">
        <v>103</v>
      </c>
      <c r="B10" s="136">
        <v>0.47898563000000005</v>
      </c>
      <c r="C10" s="119">
        <v>0.068465484</v>
      </c>
      <c r="D10" s="119">
        <v>0.0699077257</v>
      </c>
      <c r="E10" s="119">
        <v>-0.10332954899999999</v>
      </c>
      <c r="F10" s="156">
        <v>0.23588395</v>
      </c>
      <c r="G10" s="164">
        <v>0.10920688808517262</v>
      </c>
    </row>
    <row r="11" spans="1:7" ht="12.75">
      <c r="A11" s="142" t="s">
        <v>105</v>
      </c>
      <c r="B11" s="134">
        <v>-0.58621431</v>
      </c>
      <c r="C11" s="118">
        <v>-0.25347481000000005</v>
      </c>
      <c r="D11" s="118">
        <v>-0.20970025999999997</v>
      </c>
      <c r="E11" s="118">
        <v>-0.16826512999999998</v>
      </c>
      <c r="F11" s="158">
        <v>-0.45157793999999996</v>
      </c>
      <c r="G11" s="164">
        <v>-0.297009164300452</v>
      </c>
    </row>
    <row r="12" spans="1:7" ht="12.75">
      <c r="A12" s="142" t="s">
        <v>107</v>
      </c>
      <c r="B12" s="135">
        <v>-0.08706993099999999</v>
      </c>
      <c r="C12" s="119">
        <v>-0.00019827389999999999</v>
      </c>
      <c r="D12" s="119">
        <v>-0.0154568495</v>
      </c>
      <c r="E12" s="119">
        <v>0.0116548966</v>
      </c>
      <c r="F12" s="156">
        <v>0.016566821093</v>
      </c>
      <c r="G12" s="164">
        <v>-0.011349013183236134</v>
      </c>
    </row>
    <row r="13" spans="1:7" ht="12.75">
      <c r="A13" s="142" t="s">
        <v>109</v>
      </c>
      <c r="B13" s="135">
        <v>0.081063264</v>
      </c>
      <c r="C13" s="119">
        <v>0.076244742</v>
      </c>
      <c r="D13" s="119">
        <v>0.085158455</v>
      </c>
      <c r="E13" s="119">
        <v>0.04790521</v>
      </c>
      <c r="F13" s="156">
        <v>0.094052217</v>
      </c>
      <c r="G13" s="164">
        <v>0.07464476002981708</v>
      </c>
    </row>
    <row r="14" spans="1:7" ht="12.75">
      <c r="A14" s="142" t="s">
        <v>111</v>
      </c>
      <c r="B14" s="135">
        <v>0.13888247</v>
      </c>
      <c r="C14" s="119">
        <v>-0.06498825800000001</v>
      </c>
      <c r="D14" s="119">
        <v>0.049871738</v>
      </c>
      <c r="E14" s="119">
        <v>-0.029943918999999996</v>
      </c>
      <c r="F14" s="156">
        <v>-0.0107554461</v>
      </c>
      <c r="G14" s="164">
        <v>0.007820207593951906</v>
      </c>
    </row>
    <row r="15" spans="1:7" ht="12.75">
      <c r="A15" s="142" t="s">
        <v>113</v>
      </c>
      <c r="B15" s="136">
        <v>-0.22903072</v>
      </c>
      <c r="C15" s="120">
        <v>-0.19800756999999997</v>
      </c>
      <c r="D15" s="120">
        <v>-0.17895682</v>
      </c>
      <c r="E15" s="120">
        <v>-0.16895056999999997</v>
      </c>
      <c r="F15" s="156">
        <v>-0.13477003</v>
      </c>
      <c r="G15" s="165">
        <v>-0.1824797975210616</v>
      </c>
    </row>
    <row r="16" spans="1:7" ht="12.75">
      <c r="A16" s="142" t="s">
        <v>115</v>
      </c>
      <c r="B16" s="135">
        <v>0.00066308175</v>
      </c>
      <c r="C16" s="119">
        <v>-0.007037299800000001</v>
      </c>
      <c r="D16" s="119">
        <v>-0.0008491603500000002</v>
      </c>
      <c r="E16" s="119">
        <v>0.0032817157200000003</v>
      </c>
      <c r="F16" s="156">
        <v>0.0010374028700000002</v>
      </c>
      <c r="G16" s="164">
        <v>-0.0008734290377545981</v>
      </c>
    </row>
    <row r="17" spans="1:7" ht="12.75">
      <c r="A17" s="142" t="s">
        <v>92</v>
      </c>
      <c r="B17" s="134">
        <v>0.45027802</v>
      </c>
      <c r="C17" s="118">
        <v>1.4978242</v>
      </c>
      <c r="D17" s="118">
        <v>0.39803852000000006</v>
      </c>
      <c r="E17" s="118">
        <v>2.1780451999999997</v>
      </c>
      <c r="F17" s="157">
        <v>10.052387499999998</v>
      </c>
      <c r="G17" s="164">
        <v>2.3868372997181946</v>
      </c>
    </row>
    <row r="18" spans="1:7" ht="12.75">
      <c r="A18" s="142" t="s">
        <v>94</v>
      </c>
      <c r="B18" s="135">
        <v>1.189295</v>
      </c>
      <c r="C18" s="120">
        <v>3.6357258999999997</v>
      </c>
      <c r="D18" s="120">
        <v>2.7931537</v>
      </c>
      <c r="E18" s="119">
        <v>2.4074313999999997</v>
      </c>
      <c r="F18" s="159">
        <v>2.7292482</v>
      </c>
      <c r="G18" s="165">
        <v>2.6624962699409873</v>
      </c>
    </row>
    <row r="19" spans="1:7" ht="12.75">
      <c r="A19" s="142" t="s">
        <v>96</v>
      </c>
      <c r="B19" s="135">
        <v>-1.0917591999999998</v>
      </c>
      <c r="C19" s="119">
        <v>-1.4682870000000001</v>
      </c>
      <c r="D19" s="119">
        <v>-1.6914557</v>
      </c>
      <c r="E19" s="119">
        <v>-1.5029531000000003</v>
      </c>
      <c r="F19" s="159">
        <v>-7.218521699999999</v>
      </c>
      <c r="G19" s="165">
        <v>-2.2432324782681823</v>
      </c>
    </row>
    <row r="20" spans="1:7" ht="12.75">
      <c r="A20" s="142" t="s">
        <v>98</v>
      </c>
      <c r="B20" s="134">
        <v>0.60373217</v>
      </c>
      <c r="C20" s="118">
        <v>0.16239282</v>
      </c>
      <c r="D20" s="118">
        <v>-0.27301605</v>
      </c>
      <c r="E20" s="118">
        <v>0.32428541</v>
      </c>
      <c r="F20" s="157">
        <v>1.9879179999999999</v>
      </c>
      <c r="G20" s="164">
        <v>0.40400921142553314</v>
      </c>
    </row>
    <row r="21" spans="1:7" ht="12.75">
      <c r="A21" s="142" t="s">
        <v>100</v>
      </c>
      <c r="B21" s="135">
        <v>0.04340574834</v>
      </c>
      <c r="C21" s="119">
        <v>0.4424746</v>
      </c>
      <c r="D21" s="119">
        <v>0.52587206</v>
      </c>
      <c r="E21" s="119">
        <v>0.42198963</v>
      </c>
      <c r="F21" s="160">
        <v>0.5964529900000001</v>
      </c>
      <c r="G21" s="164">
        <v>0.4204345955118211</v>
      </c>
    </row>
    <row r="22" spans="1:7" ht="12.75">
      <c r="A22" s="142" t="s">
        <v>102</v>
      </c>
      <c r="B22" s="135">
        <v>-0.19102297</v>
      </c>
      <c r="C22" s="119">
        <v>0.2480042</v>
      </c>
      <c r="D22" s="119">
        <v>0.31941947000000004</v>
      </c>
      <c r="E22" s="119">
        <v>0.35430218999999996</v>
      </c>
      <c r="F22" s="156">
        <v>0.033755341</v>
      </c>
      <c r="G22" s="164">
        <v>0.1986658627266266</v>
      </c>
    </row>
    <row r="23" spans="1:7" ht="12.75">
      <c r="A23" s="142" t="s">
        <v>104</v>
      </c>
      <c r="B23" s="136">
        <v>0.47897594000000004</v>
      </c>
      <c r="C23" s="119">
        <v>0.24651861</v>
      </c>
      <c r="D23" s="119">
        <v>0.17040562999999997</v>
      </c>
      <c r="E23" s="119">
        <v>0.09220207</v>
      </c>
      <c r="F23" s="159">
        <v>0.48758514999999997</v>
      </c>
      <c r="G23" s="164">
        <v>0.25686723828456004</v>
      </c>
    </row>
    <row r="24" spans="1:7" ht="12.75">
      <c r="A24" s="142" t="s">
        <v>106</v>
      </c>
      <c r="B24" s="134">
        <v>0.045863723999999995</v>
      </c>
      <c r="C24" s="118">
        <v>0.017875415999999998</v>
      </c>
      <c r="D24" s="118">
        <v>-0.051105162</v>
      </c>
      <c r="E24" s="118">
        <v>0.029613442</v>
      </c>
      <c r="F24" s="158">
        <v>0.20378556999999997</v>
      </c>
      <c r="G24" s="164">
        <v>0.03295528552881404</v>
      </c>
    </row>
    <row r="25" spans="1:7" ht="12.75">
      <c r="A25" s="142" t="s">
        <v>108</v>
      </c>
      <c r="B25" s="135">
        <v>-0.04695793717</v>
      </c>
      <c r="C25" s="119">
        <v>-0.012631056849999999</v>
      </c>
      <c r="D25" s="119">
        <v>-0.004224169999999999</v>
      </c>
      <c r="E25" s="119">
        <v>0.013794779339999999</v>
      </c>
      <c r="F25" s="156">
        <v>-0.0051182047</v>
      </c>
      <c r="G25" s="164">
        <v>-0.008212573410756867</v>
      </c>
    </row>
    <row r="26" spans="1:7" ht="12.75">
      <c r="A26" s="142" t="s">
        <v>110</v>
      </c>
      <c r="B26" s="137">
        <v>-0.15025779999999997</v>
      </c>
      <c r="C26" s="119">
        <v>0.061957768999999996</v>
      </c>
      <c r="D26" s="119">
        <v>-0.02538194788</v>
      </c>
      <c r="E26" s="119">
        <v>0.055510265999999996</v>
      </c>
      <c r="F26" s="156">
        <v>0.0136802723</v>
      </c>
      <c r="G26" s="164">
        <v>0.002241452308265755</v>
      </c>
    </row>
    <row r="27" spans="1:7" ht="12.75">
      <c r="A27" s="142" t="s">
        <v>112</v>
      </c>
      <c r="B27" s="136">
        <v>0.18250692000000002</v>
      </c>
      <c r="C27" s="119">
        <v>0.14701026</v>
      </c>
      <c r="D27" s="119">
        <v>0.13594404999999998</v>
      </c>
      <c r="E27" s="119">
        <v>0.10312804499999999</v>
      </c>
      <c r="F27" s="156">
        <v>0.12101171</v>
      </c>
      <c r="G27" s="165">
        <v>0.13545379397046362</v>
      </c>
    </row>
    <row r="28" spans="1:7" ht="12.75">
      <c r="A28" s="142" t="s">
        <v>114</v>
      </c>
      <c r="B28" s="135">
        <v>-0.0013794202900000003</v>
      </c>
      <c r="C28" s="119">
        <v>0.006300296299999999</v>
      </c>
      <c r="D28" s="119">
        <v>0.00025469245</v>
      </c>
      <c r="E28" s="119">
        <v>-0.00137364373</v>
      </c>
      <c r="F28" s="156">
        <v>-0.028783350000000003</v>
      </c>
      <c r="G28" s="164">
        <v>-0.002794143467902885</v>
      </c>
    </row>
    <row r="29" spans="1:7" ht="13.5" thickBot="1">
      <c r="A29" s="143" t="s">
        <v>116</v>
      </c>
      <c r="B29" s="138">
        <v>-0.029887048</v>
      </c>
      <c r="C29" s="121">
        <v>-0.01912291</v>
      </c>
      <c r="D29" s="121">
        <v>-0.015036047</v>
      </c>
      <c r="E29" s="121">
        <v>-0.004668112944</v>
      </c>
      <c r="F29" s="161">
        <v>0.0035233431100000004</v>
      </c>
      <c r="G29" s="166">
        <v>-0.013196323634481652</v>
      </c>
    </row>
    <row r="30" spans="1:7" ht="13.5" thickTop="1">
      <c r="A30" s="144" t="s">
        <v>117</v>
      </c>
      <c r="B30" s="139">
        <v>0.3261787540703911</v>
      </c>
      <c r="C30" s="127">
        <v>0.3133980487587496</v>
      </c>
      <c r="D30" s="127">
        <v>0.40971656963512104</v>
      </c>
      <c r="E30" s="127">
        <v>0.3870102043869505</v>
      </c>
      <c r="F30" s="123">
        <v>0.5350083416359233</v>
      </c>
      <c r="G30" s="167" t="s">
        <v>128</v>
      </c>
    </row>
    <row r="31" spans="1:7" ht="13.5" thickBot="1">
      <c r="A31" s="145" t="s">
        <v>118</v>
      </c>
      <c r="B31" s="133">
        <v>22.640992</v>
      </c>
      <c r="C31" s="124">
        <v>22.866822</v>
      </c>
      <c r="D31" s="124">
        <v>23.123170000000002</v>
      </c>
      <c r="E31" s="124">
        <v>23.370362</v>
      </c>
      <c r="F31" s="125">
        <v>23.596192</v>
      </c>
      <c r="G31" s="169">
        <v>-210.22</v>
      </c>
    </row>
    <row r="32" spans="1:7" ht="15.75" thickBot="1" thickTop="1">
      <c r="A32" s="146" t="s">
        <v>119</v>
      </c>
      <c r="B32" s="140">
        <v>0.33900000154972076</v>
      </c>
      <c r="C32" s="128">
        <v>-0.3969999998807907</v>
      </c>
      <c r="D32" s="128">
        <v>0.10499999672174454</v>
      </c>
      <c r="E32" s="128">
        <v>-0.28050000220537186</v>
      </c>
      <c r="F32" s="126">
        <v>0.09000000357627869</v>
      </c>
      <c r="G32" s="131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70" bestFit="1" customWidth="1"/>
    <col min="2" max="2" width="15.66015625" style="170" bestFit="1" customWidth="1"/>
    <col min="3" max="3" width="14.83203125" style="170" bestFit="1" customWidth="1"/>
    <col min="4" max="4" width="16" style="170" bestFit="1" customWidth="1"/>
    <col min="5" max="5" width="21.33203125" style="170" bestFit="1" customWidth="1"/>
    <col min="6" max="7" width="14.83203125" style="170" bestFit="1" customWidth="1"/>
    <col min="8" max="8" width="14.16015625" style="170" bestFit="1" customWidth="1"/>
    <col min="9" max="9" width="14.83203125" style="170" bestFit="1" customWidth="1"/>
    <col min="10" max="10" width="6.33203125" style="170" bestFit="1" customWidth="1"/>
    <col min="11" max="11" width="15" style="170" bestFit="1" customWidth="1"/>
    <col min="12" max="16384" width="10.66015625" style="170" customWidth="1"/>
  </cols>
  <sheetData>
    <row r="1" spans="1:5" ht="12.75">
      <c r="A1" s="170" t="s">
        <v>129</v>
      </c>
      <c r="B1" s="170" t="s">
        <v>130</v>
      </c>
      <c r="C1" s="170" t="s">
        <v>131</v>
      </c>
      <c r="D1" s="170" t="s">
        <v>132</v>
      </c>
      <c r="E1" s="170" t="s">
        <v>133</v>
      </c>
    </row>
    <row r="3" spans="1:7" ht="12.75">
      <c r="A3" s="170" t="s">
        <v>134</v>
      </c>
      <c r="B3" s="170" t="s">
        <v>84</v>
      </c>
      <c r="C3" s="170" t="s">
        <v>85</v>
      </c>
      <c r="D3" s="170" t="s">
        <v>86</v>
      </c>
      <c r="E3" s="170" t="s">
        <v>87</v>
      </c>
      <c r="F3" s="170" t="s">
        <v>88</v>
      </c>
      <c r="G3" s="170" t="s">
        <v>135</v>
      </c>
    </row>
    <row r="4" spans="1:7" ht="12.75">
      <c r="A4" s="170" t="s">
        <v>136</v>
      </c>
      <c r="B4" s="170">
        <v>0.002261</v>
      </c>
      <c r="C4" s="170">
        <v>0.003761</v>
      </c>
      <c r="D4" s="170">
        <v>0.003762</v>
      </c>
      <c r="E4" s="170">
        <v>0.003761</v>
      </c>
      <c r="F4" s="170">
        <v>0.002086</v>
      </c>
      <c r="G4" s="170">
        <v>0.011722</v>
      </c>
    </row>
    <row r="5" spans="1:7" ht="12.75">
      <c r="A5" s="170" t="s">
        <v>137</v>
      </c>
      <c r="B5" s="170">
        <v>1.016175</v>
      </c>
      <c r="C5" s="170">
        <v>0.915321</v>
      </c>
      <c r="D5" s="170">
        <v>-0.140314</v>
      </c>
      <c r="E5" s="170">
        <v>-0.095137</v>
      </c>
      <c r="F5" s="170">
        <v>-2.479659</v>
      </c>
      <c r="G5" s="170">
        <v>-6.644202</v>
      </c>
    </row>
    <row r="6" spans="1:7" ht="12.75">
      <c r="A6" s="170" t="s">
        <v>138</v>
      </c>
      <c r="B6" s="171">
        <v>-394.7755</v>
      </c>
      <c r="C6" s="171">
        <v>198.4353</v>
      </c>
      <c r="D6" s="171">
        <v>-191.243</v>
      </c>
      <c r="E6" s="171">
        <v>150.7123</v>
      </c>
      <c r="F6" s="171">
        <v>-136.9432</v>
      </c>
      <c r="G6" s="171">
        <v>671.4114</v>
      </c>
    </row>
    <row r="7" spans="1:7" ht="12.75">
      <c r="A7" s="170" t="s">
        <v>139</v>
      </c>
      <c r="B7" s="171">
        <v>10000</v>
      </c>
      <c r="C7" s="171">
        <v>10000</v>
      </c>
      <c r="D7" s="171">
        <v>10000</v>
      </c>
      <c r="E7" s="171">
        <v>10000</v>
      </c>
      <c r="F7" s="171">
        <v>10000</v>
      </c>
      <c r="G7" s="171">
        <v>10000</v>
      </c>
    </row>
    <row r="8" spans="1:7" ht="12.75">
      <c r="A8" s="170" t="s">
        <v>91</v>
      </c>
      <c r="B8" s="171">
        <v>4.060771</v>
      </c>
      <c r="C8" s="171">
        <v>2.572562</v>
      </c>
      <c r="D8" s="171">
        <v>3.905673</v>
      </c>
      <c r="E8" s="171">
        <v>6.252572</v>
      </c>
      <c r="F8" s="171">
        <v>3.825537</v>
      </c>
      <c r="G8" s="171">
        <v>2.330648</v>
      </c>
    </row>
    <row r="9" spans="1:7" ht="12.75">
      <c r="A9" s="170" t="s">
        <v>93</v>
      </c>
      <c r="B9" s="171">
        <v>0.7837322</v>
      </c>
      <c r="C9" s="171">
        <v>0.6757739</v>
      </c>
      <c r="D9" s="171">
        <v>0.1956055</v>
      </c>
      <c r="E9" s="171">
        <v>-0.5698947</v>
      </c>
      <c r="F9" s="171">
        <v>-1.932559</v>
      </c>
      <c r="G9" s="171">
        <v>0.07220692</v>
      </c>
    </row>
    <row r="10" spans="1:7" ht="12.75">
      <c r="A10" s="170" t="s">
        <v>140</v>
      </c>
      <c r="B10" s="171">
        <v>-0.7979003</v>
      </c>
      <c r="C10" s="171">
        <v>1.215316</v>
      </c>
      <c r="D10" s="171">
        <v>-0.1836237</v>
      </c>
      <c r="E10" s="171">
        <v>-0.7587018</v>
      </c>
      <c r="F10" s="171">
        <v>-1.294571</v>
      </c>
      <c r="G10" s="171">
        <v>2.130501</v>
      </c>
    </row>
    <row r="11" spans="1:7" ht="12.75">
      <c r="A11" s="170" t="s">
        <v>97</v>
      </c>
      <c r="B11" s="171">
        <v>2.542508</v>
      </c>
      <c r="C11" s="171">
        <v>4.386047</v>
      </c>
      <c r="D11" s="171">
        <v>3.95456</v>
      </c>
      <c r="E11" s="171">
        <v>4.0823</v>
      </c>
      <c r="F11" s="171">
        <v>14.24755</v>
      </c>
      <c r="G11" s="171">
        <v>5.258413</v>
      </c>
    </row>
    <row r="12" spans="1:7" ht="12.75">
      <c r="A12" s="170" t="s">
        <v>99</v>
      </c>
      <c r="B12" s="171">
        <v>-0.06752054</v>
      </c>
      <c r="C12" s="171">
        <v>0.2692624</v>
      </c>
      <c r="D12" s="171">
        <v>0.1744979</v>
      </c>
      <c r="E12" s="171">
        <v>-0.04524688</v>
      </c>
      <c r="F12" s="171">
        <v>-0.1867821</v>
      </c>
      <c r="G12" s="171">
        <v>0.4073589</v>
      </c>
    </row>
    <row r="13" spans="1:7" ht="12.75">
      <c r="A13" s="170" t="s">
        <v>101</v>
      </c>
      <c r="B13" s="171">
        <v>0.3764217</v>
      </c>
      <c r="C13" s="171">
        <v>0.4017711</v>
      </c>
      <c r="D13" s="171">
        <v>0.201996</v>
      </c>
      <c r="E13" s="171">
        <v>0.1059453</v>
      </c>
      <c r="F13" s="171">
        <v>0.09860948</v>
      </c>
      <c r="G13" s="171">
        <v>-0.2383482</v>
      </c>
    </row>
    <row r="14" spans="1:7" ht="12.75">
      <c r="A14" s="170" t="s">
        <v>103</v>
      </c>
      <c r="B14" s="171">
        <v>0.2819032</v>
      </c>
      <c r="C14" s="171">
        <v>0.1205273</v>
      </c>
      <c r="D14" s="171">
        <v>0.03949422</v>
      </c>
      <c r="E14" s="171">
        <v>-0.07457783</v>
      </c>
      <c r="F14" s="171">
        <v>0.1809682</v>
      </c>
      <c r="G14" s="171">
        <v>-0.2529897</v>
      </c>
    </row>
    <row r="15" spans="1:7" ht="12.75">
      <c r="A15" s="170" t="s">
        <v>105</v>
      </c>
      <c r="B15" s="171">
        <v>-0.6114448</v>
      </c>
      <c r="C15" s="171">
        <v>-0.2517506</v>
      </c>
      <c r="D15" s="171">
        <v>-0.210817</v>
      </c>
      <c r="E15" s="171">
        <v>-0.1692122</v>
      </c>
      <c r="F15" s="171">
        <v>-0.4458236</v>
      </c>
      <c r="G15" s="171">
        <v>-0.2999807</v>
      </c>
    </row>
    <row r="16" spans="1:7" ht="12.75">
      <c r="A16" s="170" t="s">
        <v>107</v>
      </c>
      <c r="B16" s="171">
        <v>-0.04626863</v>
      </c>
      <c r="C16" s="171">
        <v>-0.02130184</v>
      </c>
      <c r="D16" s="171">
        <v>-0.0009396813</v>
      </c>
      <c r="E16" s="171">
        <v>0.001840487</v>
      </c>
      <c r="F16" s="171">
        <v>0.02138228</v>
      </c>
      <c r="G16" s="171">
        <v>-0.02171386</v>
      </c>
    </row>
    <row r="17" spans="1:7" ht="12.75">
      <c r="A17" s="170" t="s">
        <v>109</v>
      </c>
      <c r="B17" s="171">
        <v>0.1353582</v>
      </c>
      <c r="C17" s="171">
        <v>0.09773665</v>
      </c>
      <c r="D17" s="171">
        <v>0.09623513</v>
      </c>
      <c r="E17" s="171">
        <v>0.05568457</v>
      </c>
      <c r="F17" s="171">
        <v>0.07318088</v>
      </c>
      <c r="G17" s="171">
        <v>-0.08942106</v>
      </c>
    </row>
    <row r="18" spans="1:7" ht="12.75">
      <c r="A18" s="170" t="s">
        <v>141</v>
      </c>
      <c r="B18" s="171">
        <v>0.1035605</v>
      </c>
      <c r="C18" s="171">
        <v>-0.04784686</v>
      </c>
      <c r="D18" s="171">
        <v>0.03928426</v>
      </c>
      <c r="E18" s="171">
        <v>-0.01701295</v>
      </c>
      <c r="F18" s="171">
        <v>-0.01056326</v>
      </c>
      <c r="G18" s="171">
        <v>-0.135702</v>
      </c>
    </row>
    <row r="19" spans="1:7" ht="12.75">
      <c r="A19" s="170" t="s">
        <v>142</v>
      </c>
      <c r="B19" s="171">
        <v>-0.2290602</v>
      </c>
      <c r="C19" s="171">
        <v>-0.197941</v>
      </c>
      <c r="D19" s="171">
        <v>-0.179075</v>
      </c>
      <c r="E19" s="171">
        <v>-0.1690923</v>
      </c>
      <c r="F19" s="171">
        <v>-0.1360275</v>
      </c>
      <c r="G19" s="171">
        <v>-0.1826973</v>
      </c>
    </row>
    <row r="20" spans="1:7" ht="12.75">
      <c r="A20" s="170" t="s">
        <v>115</v>
      </c>
      <c r="B20" s="171">
        <v>0.0009928784</v>
      </c>
      <c r="C20" s="171">
        <v>-0.006733037</v>
      </c>
      <c r="D20" s="171">
        <v>-0.000938235</v>
      </c>
      <c r="E20" s="171">
        <v>0.003239617</v>
      </c>
      <c r="F20" s="171">
        <v>0.001372291</v>
      </c>
      <c r="G20" s="171">
        <v>-0.01322455</v>
      </c>
    </row>
    <row r="21" spans="1:7" ht="12.75">
      <c r="A21" s="170" t="s">
        <v>143</v>
      </c>
      <c r="B21" s="171">
        <v>-667.6557</v>
      </c>
      <c r="C21" s="171">
        <v>-636.4395</v>
      </c>
      <c r="D21" s="171">
        <v>-649.6943</v>
      </c>
      <c r="E21" s="171">
        <v>-651.5733</v>
      </c>
      <c r="F21" s="171">
        <v>-813.4571</v>
      </c>
      <c r="G21" s="171">
        <v>-37.40007</v>
      </c>
    </row>
    <row r="22" spans="1:7" ht="12.75">
      <c r="A22" s="170" t="s">
        <v>144</v>
      </c>
      <c r="B22" s="171">
        <v>20.32353</v>
      </c>
      <c r="C22" s="171">
        <v>18.30645</v>
      </c>
      <c r="D22" s="171">
        <v>-2.806278</v>
      </c>
      <c r="E22" s="171">
        <v>-1.902741</v>
      </c>
      <c r="F22" s="171">
        <v>-49.59359</v>
      </c>
      <c r="G22" s="171">
        <v>0</v>
      </c>
    </row>
    <row r="23" spans="1:7" ht="12.75">
      <c r="A23" s="170" t="s">
        <v>145</v>
      </c>
      <c r="B23" s="171">
        <v>0.574811</v>
      </c>
      <c r="C23" s="171">
        <v>1.233448</v>
      </c>
      <c r="D23" s="171">
        <v>0.5173241</v>
      </c>
      <c r="E23" s="171">
        <v>2.037529</v>
      </c>
      <c r="F23" s="171">
        <v>10.00896</v>
      </c>
      <c r="G23" s="171">
        <v>-4.161246</v>
      </c>
    </row>
    <row r="24" spans="1:7" ht="12.75">
      <c r="A24" s="170" t="s">
        <v>146</v>
      </c>
      <c r="B24" s="171">
        <v>1.047814</v>
      </c>
      <c r="C24" s="171">
        <v>3.761413</v>
      </c>
      <c r="D24" s="171">
        <v>2.691564</v>
      </c>
      <c r="E24" s="171">
        <v>2.529302</v>
      </c>
      <c r="F24" s="171">
        <v>2.423971</v>
      </c>
      <c r="G24" s="171">
        <v>-2.636392</v>
      </c>
    </row>
    <row r="25" spans="1:7" ht="12.75">
      <c r="A25" s="170" t="s">
        <v>96</v>
      </c>
      <c r="B25" s="171">
        <v>-0.9908188</v>
      </c>
      <c r="C25" s="171">
        <v>-1.553774</v>
      </c>
      <c r="D25" s="171">
        <v>-1.752347</v>
      </c>
      <c r="E25" s="171">
        <v>-1.571069</v>
      </c>
      <c r="F25" s="171">
        <v>-6.096111</v>
      </c>
      <c r="G25" s="171">
        <v>-0.222346</v>
      </c>
    </row>
    <row r="26" spans="1:7" ht="12.75">
      <c r="A26" s="170" t="s">
        <v>98</v>
      </c>
      <c r="B26" s="171">
        <v>0.6231961</v>
      </c>
      <c r="C26" s="171">
        <v>0.1173705</v>
      </c>
      <c r="D26" s="171">
        <v>-0.2316566</v>
      </c>
      <c r="E26" s="171">
        <v>0.2739367</v>
      </c>
      <c r="F26" s="171">
        <v>1.791869</v>
      </c>
      <c r="G26" s="171">
        <v>0.3683216</v>
      </c>
    </row>
    <row r="27" spans="1:7" ht="12.75">
      <c r="A27" s="170" t="s">
        <v>100</v>
      </c>
      <c r="B27" s="171">
        <v>0.0174502</v>
      </c>
      <c r="C27" s="171">
        <v>0.4012308</v>
      </c>
      <c r="D27" s="171">
        <v>0.5616737</v>
      </c>
      <c r="E27" s="171">
        <v>0.3771949</v>
      </c>
      <c r="F27" s="171">
        <v>0.6170839</v>
      </c>
      <c r="G27" s="171">
        <v>-0.06113898</v>
      </c>
    </row>
    <row r="28" spans="1:7" ht="12.75">
      <c r="A28" s="170" t="s">
        <v>102</v>
      </c>
      <c r="B28" s="171">
        <v>-0.05521611</v>
      </c>
      <c r="C28" s="171">
        <v>0.1998662</v>
      </c>
      <c r="D28" s="171">
        <v>0.3378318</v>
      </c>
      <c r="E28" s="171">
        <v>0.3408615</v>
      </c>
      <c r="F28" s="171">
        <v>0.08654286</v>
      </c>
      <c r="G28" s="171">
        <v>-0.2150116</v>
      </c>
    </row>
    <row r="29" spans="1:7" ht="12.75">
      <c r="A29" s="170" t="s">
        <v>104</v>
      </c>
      <c r="B29" s="171">
        <v>0.4939459</v>
      </c>
      <c r="C29" s="171">
        <v>0.2509617</v>
      </c>
      <c r="D29" s="171">
        <v>0.1666599</v>
      </c>
      <c r="E29" s="171">
        <v>0.09048504</v>
      </c>
      <c r="F29" s="171">
        <v>0.4440156</v>
      </c>
      <c r="G29" s="171">
        <v>0.08544436</v>
      </c>
    </row>
    <row r="30" spans="1:7" ht="12.75">
      <c r="A30" s="170" t="s">
        <v>106</v>
      </c>
      <c r="B30" s="171">
        <v>0.01850977</v>
      </c>
      <c r="C30" s="171">
        <v>0.02236416</v>
      </c>
      <c r="D30" s="171">
        <v>-0.0503777</v>
      </c>
      <c r="E30" s="171">
        <v>0.02907854</v>
      </c>
      <c r="F30" s="171">
        <v>0.2178888</v>
      </c>
      <c r="G30" s="171">
        <v>0.03194628</v>
      </c>
    </row>
    <row r="31" spans="1:7" ht="12.75">
      <c r="A31" s="170" t="s">
        <v>108</v>
      </c>
      <c r="B31" s="171">
        <v>-0.09479048</v>
      </c>
      <c r="C31" s="171">
        <v>-0.02894621</v>
      </c>
      <c r="D31" s="171">
        <v>-0.01018691</v>
      </c>
      <c r="E31" s="171">
        <v>0.002293225</v>
      </c>
      <c r="F31" s="171">
        <v>0.006482467</v>
      </c>
      <c r="G31" s="171">
        <v>0.008743257</v>
      </c>
    </row>
    <row r="32" spans="1:7" ht="12.75">
      <c r="A32" s="170" t="s">
        <v>110</v>
      </c>
      <c r="B32" s="171">
        <v>-0.07095019</v>
      </c>
      <c r="C32" s="171">
        <v>0.02412391</v>
      </c>
      <c r="D32" s="171">
        <v>-0.001357992</v>
      </c>
      <c r="E32" s="171">
        <v>0.03303343</v>
      </c>
      <c r="F32" s="171">
        <v>0.02263238</v>
      </c>
      <c r="G32" s="171">
        <v>-0.006203181</v>
      </c>
    </row>
    <row r="33" spans="1:7" ht="12.75">
      <c r="A33" s="170" t="s">
        <v>112</v>
      </c>
      <c r="B33" s="171">
        <v>0.1841602</v>
      </c>
      <c r="C33" s="171">
        <v>0.1486128</v>
      </c>
      <c r="D33" s="171">
        <v>0.1374799</v>
      </c>
      <c r="E33" s="171">
        <v>0.1046175</v>
      </c>
      <c r="F33" s="171">
        <v>0.1127207</v>
      </c>
      <c r="G33" s="171">
        <v>0.007386909</v>
      </c>
    </row>
    <row r="34" spans="1:7" ht="12.75">
      <c r="A34" s="170" t="s">
        <v>114</v>
      </c>
      <c r="B34" s="171">
        <v>-0.005404063</v>
      </c>
      <c r="C34" s="171">
        <v>0.004082979</v>
      </c>
      <c r="D34" s="171">
        <v>0.0004250253</v>
      </c>
      <c r="E34" s="171">
        <v>-0.001110149</v>
      </c>
      <c r="F34" s="171">
        <v>-0.02405127</v>
      </c>
      <c r="G34" s="171">
        <v>-0.003226142</v>
      </c>
    </row>
    <row r="35" spans="1:7" ht="12.75">
      <c r="A35" s="170" t="s">
        <v>116</v>
      </c>
      <c r="B35" s="171">
        <v>-0.02988775</v>
      </c>
      <c r="C35" s="171">
        <v>-0.01921422</v>
      </c>
      <c r="D35" s="171">
        <v>-0.01504065</v>
      </c>
      <c r="E35" s="171">
        <v>-0.004676789</v>
      </c>
      <c r="F35" s="171">
        <v>0.003502297</v>
      </c>
      <c r="G35" s="171">
        <v>0.0007353491</v>
      </c>
    </row>
    <row r="36" spans="1:6" ht="12.75">
      <c r="A36" s="170" t="s">
        <v>147</v>
      </c>
      <c r="B36" s="171">
        <v>23.59619</v>
      </c>
      <c r="C36" s="171">
        <v>23.6084</v>
      </c>
      <c r="D36" s="171">
        <v>23.62976</v>
      </c>
      <c r="E36" s="171">
        <v>23.63586</v>
      </c>
      <c r="F36" s="171">
        <v>23.64502</v>
      </c>
    </row>
    <row r="37" spans="1:6" ht="12.75">
      <c r="A37" s="170" t="s">
        <v>148</v>
      </c>
      <c r="B37" s="171">
        <v>0.08087158</v>
      </c>
      <c r="C37" s="171">
        <v>-0.02644857</v>
      </c>
      <c r="D37" s="171">
        <v>-0.06306966</v>
      </c>
      <c r="E37" s="171">
        <v>-0.08748373</v>
      </c>
      <c r="F37" s="171">
        <v>-0.09816488</v>
      </c>
    </row>
    <row r="38" spans="1:7" ht="12.75">
      <c r="A38" s="170" t="s">
        <v>149</v>
      </c>
      <c r="B38" s="171">
        <v>0.0006734223</v>
      </c>
      <c r="C38" s="171">
        <v>-0.0003353583</v>
      </c>
      <c r="D38" s="171">
        <v>0.0003248032</v>
      </c>
      <c r="E38" s="171">
        <v>-0.0002564217</v>
      </c>
      <c r="F38" s="171">
        <v>0.0002259398</v>
      </c>
      <c r="G38" s="171">
        <v>2.800319E-05</v>
      </c>
    </row>
    <row r="39" spans="1:7" ht="12.75">
      <c r="A39" s="170" t="s">
        <v>150</v>
      </c>
      <c r="B39" s="171">
        <v>0.001133646</v>
      </c>
      <c r="C39" s="171">
        <v>0.001082561</v>
      </c>
      <c r="D39" s="171">
        <v>0.001104572</v>
      </c>
      <c r="E39" s="171">
        <v>0.001107626</v>
      </c>
      <c r="F39" s="171">
        <v>0.001383998</v>
      </c>
      <c r="G39" s="171">
        <v>0.0005708939</v>
      </c>
    </row>
    <row r="40" spans="2:5" ht="12.75">
      <c r="B40" s="170" t="s">
        <v>151</v>
      </c>
      <c r="C40" s="170">
        <v>0.003761</v>
      </c>
      <c r="D40" s="170" t="s">
        <v>152</v>
      </c>
      <c r="E40" s="170">
        <v>3.11643</v>
      </c>
    </row>
    <row r="42" ht="12.75">
      <c r="A42" s="170" t="s">
        <v>153</v>
      </c>
    </row>
    <row r="50" spans="1:7" ht="12.75">
      <c r="A50" s="170" t="s">
        <v>154</v>
      </c>
      <c r="B50" s="170">
        <f>-0.017/(B7*B7+B22*B22)*(B21*B22+B6*B7)</f>
        <v>0.0006734223189671783</v>
      </c>
      <c r="C50" s="170">
        <f>-0.017/(C7*C7+C22*C22)*(C21*C22+C6*C7)</f>
        <v>-0.000335358224986609</v>
      </c>
      <c r="D50" s="170">
        <f>-0.017/(D7*D7+D22*D22)*(D21*D22+D6*D7)</f>
        <v>0.00032480312654157786</v>
      </c>
      <c r="E50" s="170">
        <f>-0.017/(E7*E7+E22*E22)*(E21*E22+E6*E7)</f>
        <v>-0.00025642166250596096</v>
      </c>
      <c r="F50" s="170">
        <f>-0.017/(F7*F7+F22*F22)*(F21*F22+F6*F7)</f>
        <v>0.0002259396991154946</v>
      </c>
      <c r="G50" s="170">
        <f>(B50*B$4+C50*C$4+D50*D$4+E50*E$4+F50*F$4)/SUM(B$4:F$4)</f>
        <v>6.334484554600296E-05</v>
      </c>
    </row>
    <row r="51" spans="1:7" ht="12.75">
      <c r="A51" s="170" t="s">
        <v>155</v>
      </c>
      <c r="B51" s="170">
        <f>-0.017/(B7*B7+B22*B22)*(B21*B7-B6*B22)</f>
        <v>0.0011336460581297802</v>
      </c>
      <c r="C51" s="170">
        <f>-0.017/(C7*C7+C22*C22)*(C21*C7-C6*C22)</f>
        <v>0.0010825610718577805</v>
      </c>
      <c r="D51" s="170">
        <f>-0.017/(D7*D7+D22*D22)*(D21*D7-D6*D22)</f>
        <v>0.0011045714587868344</v>
      </c>
      <c r="E51" s="170">
        <f>-0.017/(E7*E7+E22*E22)*(E21*E7-E6*E22)</f>
        <v>0.001107625819598946</v>
      </c>
      <c r="F51" s="170">
        <f>-0.017/(F7*F7+F22*F22)*(F21*F7-F6*F22)</f>
        <v>0.0013839975860802658</v>
      </c>
      <c r="G51" s="170">
        <f>(B51*B$4+C51*C$4+D51*D$4+E51*E$4+F51*F$4)/SUM(B$4:F$4)</f>
        <v>0.0011415062010568541</v>
      </c>
    </row>
    <row r="58" ht="12.75">
      <c r="A58" s="170" t="s">
        <v>157</v>
      </c>
    </row>
    <row r="60" spans="2:6" ht="12.75">
      <c r="B60" s="170" t="s">
        <v>84</v>
      </c>
      <c r="C60" s="170" t="s">
        <v>85</v>
      </c>
      <c r="D60" s="170" t="s">
        <v>86</v>
      </c>
      <c r="E60" s="170" t="s">
        <v>87</v>
      </c>
      <c r="F60" s="170" t="s">
        <v>88</v>
      </c>
    </row>
    <row r="61" spans="1:6" ht="12.75">
      <c r="A61" s="170" t="s">
        <v>159</v>
      </c>
      <c r="B61" s="170">
        <f>B6+(1/0.017)*(B7*B50-B22*B51)</f>
        <v>0</v>
      </c>
      <c r="C61" s="170">
        <f>C6+(1/0.017)*(C7*C50-C22*C51)</f>
        <v>0</v>
      </c>
      <c r="D61" s="170">
        <f>D6+(1/0.017)*(D7*D50-D22*D51)</f>
        <v>0</v>
      </c>
      <c r="E61" s="170">
        <f>E6+(1/0.017)*(E7*E50-E22*E51)</f>
        <v>0</v>
      </c>
      <c r="F61" s="170">
        <f>F6+(1/0.017)*(F7*F50-F22*F51)</f>
        <v>0</v>
      </c>
    </row>
    <row r="62" spans="1:6" ht="12.75">
      <c r="A62" s="170" t="s">
        <v>162</v>
      </c>
      <c r="B62" s="170">
        <f>B7+(2/0.017)*(B8*B50-B23*B51)</f>
        <v>10000.245056658741</v>
      </c>
      <c r="C62" s="170">
        <f>C7+(2/0.017)*(C8*C50-C23*C51)</f>
        <v>9999.741410280594</v>
      </c>
      <c r="D62" s="170">
        <f>D7+(2/0.017)*(D8*D50-D23*D51)</f>
        <v>10000.08201804304</v>
      </c>
      <c r="E62" s="170">
        <f>E7+(2/0.017)*(E8*E50-E23*E51)</f>
        <v>9999.545868866382</v>
      </c>
      <c r="F62" s="170">
        <f>F7+(2/0.017)*(F8*F50-F23*F51)</f>
        <v>9998.471995788184</v>
      </c>
    </row>
    <row r="63" spans="1:6" ht="12.75">
      <c r="A63" s="170" t="s">
        <v>163</v>
      </c>
      <c r="B63" s="170">
        <f>B8+(3/0.017)*(B9*B50-B24*B51)</f>
        <v>3.9442885079094205</v>
      </c>
      <c r="C63" s="170">
        <f>C8+(3/0.017)*(C9*C50-C24*C51)</f>
        <v>1.8139880662512822</v>
      </c>
      <c r="D63" s="170">
        <f>D8+(3/0.017)*(D9*D50-D24*D51)</f>
        <v>3.392233324247753</v>
      </c>
      <c r="E63" s="170">
        <f>E8+(3/0.017)*(E9*E50-E24*E51)</f>
        <v>5.7839743198230735</v>
      </c>
      <c r="F63" s="170">
        <f>F8+(3/0.017)*(F9*F50-F24*F51)</f>
        <v>3.156464327345028</v>
      </c>
    </row>
    <row r="64" spans="1:6" ht="12.75">
      <c r="A64" s="170" t="s">
        <v>164</v>
      </c>
      <c r="B64" s="170">
        <f>B9+(4/0.017)*(B10*B50-B25*B51)</f>
        <v>0.921594307437711</v>
      </c>
      <c r="C64" s="170">
        <f>C9+(4/0.017)*(C10*C50-C25*C51)</f>
        <v>0.9756536718369236</v>
      </c>
      <c r="D64" s="170">
        <f>D9+(4/0.017)*(D10*D50-D25*D51)</f>
        <v>0.6370057188761412</v>
      </c>
      <c r="E64" s="170">
        <f>E9+(4/0.017)*(E10*E50-E25*E51)</f>
        <v>-0.11467019042970311</v>
      </c>
      <c r="F64" s="170">
        <f>F9+(4/0.017)*(F10*F50-F25*F51)</f>
        <v>-0.016204193822656476</v>
      </c>
    </row>
    <row r="65" spans="1:6" ht="12.75">
      <c r="A65" s="170" t="s">
        <v>165</v>
      </c>
      <c r="B65" s="170">
        <f>B10+(5/0.017)*(B11*B50-B26*B51)</f>
        <v>-0.5021068202512499</v>
      </c>
      <c r="C65" s="170">
        <f>C10+(5/0.017)*(C11*C50-C26*C51)</f>
        <v>0.7453284497316692</v>
      </c>
      <c r="D65" s="170">
        <f>D10+(5/0.017)*(D11*D50-D26*D51)</f>
        <v>0.2694159237340766</v>
      </c>
      <c r="E65" s="170">
        <f>E10+(5/0.017)*(E11*E50-E26*E51)</f>
        <v>-1.155822245501122</v>
      </c>
      <c r="F65" s="170">
        <f>F10+(5/0.017)*(F11*F50-F26*F51)</f>
        <v>-1.0771754736585573</v>
      </c>
    </row>
    <row r="66" spans="1:6" ht="12.75">
      <c r="A66" s="170" t="s">
        <v>166</v>
      </c>
      <c r="B66" s="170">
        <f>B11+(6/0.017)*(B12*B50-B27*B51)</f>
        <v>2.519477815622956</v>
      </c>
      <c r="C66" s="170">
        <f>C11+(6/0.017)*(C12*C50-C27*C51)</f>
        <v>4.200874221612945</v>
      </c>
      <c r="D66" s="170">
        <f>D11+(6/0.017)*(D12*D50-D27*D51)</f>
        <v>3.7555960207024968</v>
      </c>
      <c r="E66" s="170">
        <f>E11+(6/0.017)*(E12*E50-E27*E51)</f>
        <v>3.938939342328858</v>
      </c>
      <c r="F66" s="170">
        <f>F11+(6/0.017)*(F12*F50-F27*F51)</f>
        <v>13.93122854606477</v>
      </c>
    </row>
    <row r="67" spans="1:6" ht="12.75">
      <c r="A67" s="170" t="s">
        <v>167</v>
      </c>
      <c r="B67" s="170">
        <f>B12+(7/0.017)*(B13*B50-B28*B51)</f>
        <v>0.06263264217601737</v>
      </c>
      <c r="C67" s="170">
        <f>C12+(7/0.017)*(C13*C50-C28*C51)</f>
        <v>0.12468991326297574</v>
      </c>
      <c r="D67" s="170">
        <f>D12+(7/0.017)*(D13*D50-D28*D51)</f>
        <v>0.04785948690518668</v>
      </c>
      <c r="E67" s="170">
        <f>E12+(7/0.017)*(E13*E50-E28*E51)</f>
        <v>-0.2118936845809078</v>
      </c>
      <c r="F67" s="170">
        <f>F12+(7/0.017)*(F13*F50-F28*F51)</f>
        <v>-0.22692722891996642</v>
      </c>
    </row>
    <row r="68" spans="1:6" ht="12.75">
      <c r="A68" s="170" t="s">
        <v>168</v>
      </c>
      <c r="B68" s="170">
        <f>B13+(8/0.017)*(B14*B50-B29*B51)</f>
        <v>0.20224762197830673</v>
      </c>
      <c r="C68" s="170">
        <f>C13+(8/0.017)*(C14*C50-C29*C51)</f>
        <v>0.25489995254697445</v>
      </c>
      <c r="D68" s="170">
        <f>D13+(8/0.017)*(D14*D50-D29*D51)</f>
        <v>0.12140309518684847</v>
      </c>
      <c r="E68" s="170">
        <f>E13+(8/0.017)*(E14*E50-E29*E51)</f>
        <v>0.06778050214740872</v>
      </c>
      <c r="F68" s="170">
        <f>F13+(8/0.017)*(F14*F50-F29*F51)</f>
        <v>-0.171333399023298</v>
      </c>
    </row>
    <row r="69" spans="1:6" ht="12.75">
      <c r="A69" s="170" t="s">
        <v>169</v>
      </c>
      <c r="B69" s="170">
        <f>B14+(9/0.017)*(B15*B50-B30*B51)</f>
        <v>0.05280338079974692</v>
      </c>
      <c r="C69" s="170">
        <f>C14+(9/0.017)*(C15*C50-C30*C51)</f>
        <v>0.15240639341239026</v>
      </c>
      <c r="D69" s="170">
        <f>D14+(9/0.017)*(D15*D50-D30*D51)</f>
        <v>0.03270279292122866</v>
      </c>
      <c r="E69" s="170">
        <f>E14+(9/0.017)*(E15*E50-E30*E51)</f>
        <v>-0.06865819544350271</v>
      </c>
      <c r="F69" s="170">
        <f>F14+(9/0.017)*(F15*F50-F30*F51)</f>
        <v>-0.03200717702874187</v>
      </c>
    </row>
    <row r="70" spans="1:6" ht="12.75">
      <c r="A70" s="170" t="s">
        <v>170</v>
      </c>
      <c r="B70" s="170">
        <f>B15+(10/0.017)*(B16*B50-B31*B51)</f>
        <v>-0.5665621377116498</v>
      </c>
      <c r="C70" s="170">
        <f>C15+(10/0.017)*(C16*C50-C31*C51)</f>
        <v>-0.22911543095578285</v>
      </c>
      <c r="D70" s="170">
        <f>D15+(10/0.017)*(D16*D50-D31*D51)</f>
        <v>-0.2043776125793897</v>
      </c>
      <c r="E70" s="170">
        <f>E15+(10/0.017)*(E16*E50-E31*E51)</f>
        <v>-0.1709839505626532</v>
      </c>
      <c r="F70" s="170">
        <f>F15+(10/0.017)*(F16*F50-F31*F51)</f>
        <v>-0.4482592545707304</v>
      </c>
    </row>
    <row r="71" spans="1:6" ht="12.75">
      <c r="A71" s="170" t="s">
        <v>171</v>
      </c>
      <c r="B71" s="170">
        <f>B16+(11/0.017)*(B17*B50-B32*B51)</f>
        <v>0.06475736986324135</v>
      </c>
      <c r="C71" s="170">
        <f>C16+(11/0.017)*(C17*C50-C32*C51)</f>
        <v>-0.05940868403520699</v>
      </c>
      <c r="D71" s="170">
        <f>D16+(11/0.017)*(D17*D50-D32*D51)</f>
        <v>0.02025632890162097</v>
      </c>
      <c r="E71" s="170">
        <f>E16+(11/0.017)*(E17*E50-E32*E51)</f>
        <v>-0.03107371946621669</v>
      </c>
      <c r="F71" s="170">
        <f>F16+(11/0.017)*(F17*F50-F32*F51)</f>
        <v>0.01181312552532436</v>
      </c>
    </row>
    <row r="72" spans="1:6" ht="12.75">
      <c r="A72" s="170" t="s">
        <v>172</v>
      </c>
      <c r="B72" s="170">
        <f>B17+(12/0.017)*(B18*B50-B33*B51)</f>
        <v>0.03721758866047663</v>
      </c>
      <c r="C72" s="170">
        <f>C17+(12/0.017)*(C18*C50-C33*C51)</f>
        <v>-0.004500945778119894</v>
      </c>
      <c r="D72" s="170">
        <f>D17+(12/0.017)*(D18*D50-D33*D51)</f>
        <v>-0.001950792276467661</v>
      </c>
      <c r="E72" s="170">
        <f>E17+(12/0.017)*(E18*E50-E33*E51)</f>
        <v>-0.02303158665324373</v>
      </c>
      <c r="F72" s="170">
        <f>F17+(12/0.017)*(F18*F50-F33*F51)</f>
        <v>-0.03862512222636934</v>
      </c>
    </row>
    <row r="73" spans="1:6" ht="12.75">
      <c r="A73" s="170" t="s">
        <v>173</v>
      </c>
      <c r="B73" s="170">
        <f>B18+(13/0.017)*(B19*B50-B34*B51)</f>
        <v>-0.009713819561191661</v>
      </c>
      <c r="C73" s="170">
        <f>C18+(13/0.017)*(C19*C50-C34*C51)</f>
        <v>-0.0004648666021764489</v>
      </c>
      <c r="D73" s="170">
        <f>D18+(13/0.017)*(D19*D50-D34*D51)</f>
        <v>-0.005553191712587037</v>
      </c>
      <c r="E73" s="170">
        <f>E18+(13/0.017)*(E19*E50-E34*E51)</f>
        <v>0.017084182878027203</v>
      </c>
      <c r="F73" s="170">
        <f>F18+(13/0.017)*(F19*F50-F34*F51)</f>
        <v>-0.008611052140616882</v>
      </c>
    </row>
    <row r="74" spans="1:6" ht="12.75">
      <c r="A74" s="170" t="s">
        <v>174</v>
      </c>
      <c r="B74" s="170">
        <f>B19+(14/0.017)*(B20*B50-B35*B51)</f>
        <v>-0.20060663586598337</v>
      </c>
      <c r="C74" s="170">
        <f>C19+(14/0.017)*(C20*C50-C35*C51)</f>
        <v>-0.178951609229835</v>
      </c>
      <c r="D74" s="170">
        <f>D19+(14/0.017)*(D20*D50-D35*D51)</f>
        <v>-0.1656442803116235</v>
      </c>
      <c r="E74" s="170">
        <f>E19+(14/0.017)*(E20*E50-E35*E51)</f>
        <v>-0.16551042118760514</v>
      </c>
      <c r="F74" s="170">
        <f>F19+(14/0.017)*(F20*F50-F35*F51)</f>
        <v>-0.13976394812313891</v>
      </c>
    </row>
    <row r="75" spans="1:6" ht="12.75">
      <c r="A75" s="170" t="s">
        <v>175</v>
      </c>
      <c r="B75" s="171">
        <f>B20</f>
        <v>0.0009928784</v>
      </c>
      <c r="C75" s="171">
        <f>C20</f>
        <v>-0.006733037</v>
      </c>
      <c r="D75" s="171">
        <f>D20</f>
        <v>-0.000938235</v>
      </c>
      <c r="E75" s="171">
        <f>E20</f>
        <v>0.003239617</v>
      </c>
      <c r="F75" s="171">
        <f>F20</f>
        <v>0.001372291</v>
      </c>
    </row>
    <row r="78" ht="12.75">
      <c r="A78" s="170" t="s">
        <v>157</v>
      </c>
    </row>
    <row r="80" spans="2:6" ht="12.75">
      <c r="B80" s="170" t="s">
        <v>84</v>
      </c>
      <c r="C80" s="170" t="s">
        <v>85</v>
      </c>
      <c r="D80" s="170" t="s">
        <v>86</v>
      </c>
      <c r="E80" s="170" t="s">
        <v>87</v>
      </c>
      <c r="F80" s="170" t="s">
        <v>88</v>
      </c>
    </row>
    <row r="81" spans="1:6" ht="12.75">
      <c r="A81" s="170" t="s">
        <v>176</v>
      </c>
      <c r="B81" s="170">
        <f>B21+(1/0.017)*(B7*B51+B22*B50)</f>
        <v>0</v>
      </c>
      <c r="C81" s="170">
        <f>C21+(1/0.017)*(C7*C51+C22*C50)</f>
        <v>0</v>
      </c>
      <c r="D81" s="170">
        <f>D21+(1/0.017)*(D7*D51+D22*D50)</f>
        <v>0</v>
      </c>
      <c r="E81" s="170">
        <f>E21+(1/0.017)*(E7*E51+E22*E50)</f>
        <v>0</v>
      </c>
      <c r="F81" s="170">
        <f>F21+(1/0.017)*(F7*F51+F22*F50)</f>
        <v>0</v>
      </c>
    </row>
    <row r="82" spans="1:6" ht="12.75">
      <c r="A82" s="170" t="s">
        <v>177</v>
      </c>
      <c r="B82" s="170">
        <f>B22+(2/0.017)*(B8*B51+B23*B50)</f>
        <v>20.91065559925948</v>
      </c>
      <c r="C82" s="170">
        <f>C22+(2/0.017)*(C8*C51+C23*C50)</f>
        <v>18.585427475793804</v>
      </c>
      <c r="D82" s="170">
        <f>D22+(2/0.017)*(D8*D51+D23*D50)</f>
        <v>-2.278969363732981</v>
      </c>
      <c r="E82" s="170">
        <f>E22+(2/0.017)*(E8*E51+E23*E50)</f>
        <v>-1.1494417514685513</v>
      </c>
      <c r="F82" s="170">
        <f>F22+(2/0.017)*(F8*F51+F23*F50)</f>
        <v>-48.704654072432966</v>
      </c>
    </row>
    <row r="83" spans="1:6" ht="12.75">
      <c r="A83" s="170" t="s">
        <v>178</v>
      </c>
      <c r="B83" s="170">
        <f>B23+(3/0.017)*(B9*B51+B24*B50)</f>
        <v>0.8561221034504097</v>
      </c>
      <c r="C83" s="170">
        <f>C23+(3/0.017)*(C9*C51+C24*C50)</f>
        <v>1.1399443053639924</v>
      </c>
      <c r="D83" s="170">
        <f>D23+(3/0.017)*(D9*D51+D24*D50)</f>
        <v>0.7097279802885559</v>
      </c>
      <c r="E83" s="170">
        <f>E23+(3/0.017)*(E9*E51+E24*E50)</f>
        <v>1.8116823103543094</v>
      </c>
      <c r="F83" s="170">
        <f>F23+(3/0.017)*(F9*F51+F24*F50)</f>
        <v>9.633609580137705</v>
      </c>
    </row>
    <row r="84" spans="1:6" ht="12.75">
      <c r="A84" s="170" t="s">
        <v>179</v>
      </c>
      <c r="B84" s="170">
        <f>B24+(4/0.017)*(B10*B51+B25*B50)</f>
        <v>0.6779843473299186</v>
      </c>
      <c r="C84" s="170">
        <f>C24+(4/0.017)*(C10*C51+C25*C50)</f>
        <v>4.193583513476765</v>
      </c>
      <c r="D84" s="170">
        <f>D24+(4/0.017)*(D10*D51+D25*D50)</f>
        <v>2.5099185217499786</v>
      </c>
      <c r="E84" s="170">
        <f>E24+(4/0.017)*(E10*E51+E25*E50)</f>
        <v>2.4263604521965605</v>
      </c>
      <c r="F84" s="170">
        <f>F24+(4/0.017)*(F10*F51+F25*F50)</f>
        <v>1.6783153237354886</v>
      </c>
    </row>
    <row r="85" spans="1:6" ht="12.75">
      <c r="A85" s="170" t="s">
        <v>180</v>
      </c>
      <c r="B85" s="170">
        <f>B25+(5/0.017)*(B11*B51+B26*B50)</f>
        <v>-0.01964870153037268</v>
      </c>
      <c r="C85" s="170">
        <f>C25+(5/0.017)*(C11*C51+C26*C50)</f>
        <v>-0.16883206500211445</v>
      </c>
      <c r="D85" s="170">
        <f>D25+(5/0.017)*(D11*D51+D26*D50)</f>
        <v>-0.4897436705599787</v>
      </c>
      <c r="E85" s="170">
        <f>E25+(5/0.017)*(E11*E51+E26*E50)</f>
        <v>-0.26182853549606433</v>
      </c>
      <c r="F85" s="170">
        <f>F25+(5/0.017)*(F11*F51+F26*F50)</f>
        <v>-0.17745536756697788</v>
      </c>
    </row>
    <row r="86" spans="1:6" ht="12.75">
      <c r="A86" s="170" t="s">
        <v>181</v>
      </c>
      <c r="B86" s="170">
        <f>B26+(6/0.017)*(B12*B51+B27*B50)</f>
        <v>0.6003279682835224</v>
      </c>
      <c r="C86" s="170">
        <f>C26+(6/0.017)*(C12*C51+C27*C50)</f>
        <v>0.17276000945542636</v>
      </c>
      <c r="D86" s="170">
        <f>D26+(6/0.017)*(D12*D51+D27*D50)</f>
        <v>-0.0992405621831475</v>
      </c>
      <c r="E86" s="170">
        <f>E26+(6/0.017)*(E12*E51+E27*E50)</f>
        <v>0.22211168027374179</v>
      </c>
      <c r="F86" s="170">
        <f>F26+(6/0.017)*(F12*F51+F27*F50)</f>
        <v>1.749839979472475</v>
      </c>
    </row>
    <row r="87" spans="1:6" ht="12.75">
      <c r="A87" s="170" t="s">
        <v>182</v>
      </c>
      <c r="B87" s="170">
        <f>B27+(7/0.017)*(B13*B51+B28*B50)</f>
        <v>0.17785117111251453</v>
      </c>
      <c r="C87" s="170">
        <f>C27+(7/0.017)*(C13*C51+C28*C50)</f>
        <v>0.5527252029490957</v>
      </c>
      <c r="D87" s="170">
        <f>D27+(7/0.017)*(D13*D51+D28*D50)</f>
        <v>0.6987286934658777</v>
      </c>
      <c r="E87" s="170">
        <f>E27+(7/0.017)*(E13*E51+E28*E50)</f>
        <v>0.3895245670950685</v>
      </c>
      <c r="F87" s="170">
        <f>F27+(7/0.017)*(F13*F51+F28*F50)</f>
        <v>0.6813310323667866</v>
      </c>
    </row>
    <row r="88" spans="1:6" ht="12.75">
      <c r="A88" s="170" t="s">
        <v>183</v>
      </c>
      <c r="B88" s="170">
        <f>B28+(8/0.017)*(B14*B51+B29*B50)</f>
        <v>0.2517074875889417</v>
      </c>
      <c r="C88" s="170">
        <f>C28+(8/0.017)*(C14*C51+C29*C50)</f>
        <v>0.22166200838800112</v>
      </c>
      <c r="D88" s="170">
        <f>D28+(8/0.017)*(D14*D51+D29*D50)</f>
        <v>0.3838345504885435</v>
      </c>
      <c r="E88" s="170">
        <f>E28+(8/0.017)*(E14*E51+E29*E50)</f>
        <v>0.29107013319229214</v>
      </c>
      <c r="F88" s="170">
        <f>F28+(8/0.017)*(F14*F51+F29*F50)</f>
        <v>0.2516159437759419</v>
      </c>
    </row>
    <row r="89" spans="1:6" ht="12.75">
      <c r="A89" s="170" t="s">
        <v>184</v>
      </c>
      <c r="B89" s="170">
        <f>B29+(9/0.017)*(B15*B51+B30*B50)</f>
        <v>0.1335768496809986</v>
      </c>
      <c r="C89" s="170">
        <f>C29+(9/0.017)*(C15*C51+C30*C50)</f>
        <v>0.10270766238824691</v>
      </c>
      <c r="D89" s="170">
        <f>D29+(9/0.017)*(D15*D51+D30*D50)</f>
        <v>0.03471710698498004</v>
      </c>
      <c r="E89" s="170">
        <f>E29+(9/0.017)*(E15*E51+E30*E50)</f>
        <v>-0.012686814325334209</v>
      </c>
      <c r="F89" s="170">
        <f>F29+(9/0.017)*(F15*F51+F30*F50)</f>
        <v>0.14342139372089413</v>
      </c>
    </row>
    <row r="90" spans="1:6" ht="12.75">
      <c r="A90" s="170" t="s">
        <v>185</v>
      </c>
      <c r="B90" s="170">
        <f>B30+(10/0.017)*(B16*B51+B31*B50)</f>
        <v>-0.04989392110128073</v>
      </c>
      <c r="C90" s="170">
        <f>C30+(10/0.017)*(C16*C51+C31*C50)</f>
        <v>0.014509340507498055</v>
      </c>
      <c r="D90" s="170">
        <f>D30+(10/0.017)*(D16*D51+D31*D50)</f>
        <v>-0.05293457374243139</v>
      </c>
      <c r="E90" s="170">
        <f>E30+(10/0.017)*(E16*E51+E31*E50)</f>
        <v>0.029931797855785865</v>
      </c>
      <c r="F90" s="170">
        <f>F30+(10/0.017)*(F16*F51+F31*F50)</f>
        <v>0.23615801796964614</v>
      </c>
    </row>
    <row r="91" spans="1:6" ht="12.75">
      <c r="A91" s="170" t="s">
        <v>186</v>
      </c>
      <c r="B91" s="170">
        <f>B31+(11/0.017)*(B17*B51+B32*B50)</f>
        <v>-0.026416519280565556</v>
      </c>
      <c r="C91" s="170">
        <f>C31+(11/0.017)*(C17*C51+C32*C50)</f>
        <v>0.03428162237711602</v>
      </c>
      <c r="D91" s="170">
        <f>D31+(11/0.017)*(D17*D51+D32*D50)</f>
        <v>0.05830911804208496</v>
      </c>
      <c r="E91" s="170">
        <f>E31+(11/0.017)*(E17*E51+E32*E50)</f>
        <v>0.036721400582958634</v>
      </c>
      <c r="F91" s="170">
        <f>F31+(11/0.017)*(F17*F51+F32*F50)</f>
        <v>0.07532675278480404</v>
      </c>
    </row>
    <row r="92" spans="1:6" ht="12.75">
      <c r="A92" s="170" t="s">
        <v>187</v>
      </c>
      <c r="B92" s="170">
        <f>B32+(12/0.017)*(B18*B51+B33*B50)</f>
        <v>0.09946289815181775</v>
      </c>
      <c r="C92" s="170">
        <f>C32+(12/0.017)*(C18*C51+C33*C50)</f>
        <v>-0.04761891790464877</v>
      </c>
      <c r="D92" s="170">
        <f>D32+(12/0.017)*(D18*D51+D33*D50)</f>
        <v>0.06079224828154218</v>
      </c>
      <c r="E92" s="170">
        <f>E32+(12/0.017)*(E18*E51+E33*E50)</f>
        <v>0.0007956587307553498</v>
      </c>
      <c r="F92" s="170">
        <f>F32+(12/0.017)*(F18*F51+F33*F50)</f>
        <v>0.030290183318317437</v>
      </c>
    </row>
    <row r="93" spans="1:6" ht="12.75">
      <c r="A93" s="170" t="s">
        <v>188</v>
      </c>
      <c r="B93" s="170">
        <f>B33+(13/0.017)*(B19*B51+B34*B50)</f>
        <v>-0.01719634839661227</v>
      </c>
      <c r="C93" s="170">
        <f>C33+(13/0.017)*(C19*C51+C34*C50)</f>
        <v>-0.016297921311240054</v>
      </c>
      <c r="D93" s="170">
        <f>D33+(13/0.017)*(D19*D51+D34*D50)</f>
        <v>-0.013674223392199425</v>
      </c>
      <c r="E93" s="170">
        <f>E33+(13/0.017)*(E19*E51+E34*E50)</f>
        <v>-0.038387341447123524</v>
      </c>
      <c r="F93" s="170">
        <f>F33+(13/0.017)*(F19*F51+F34*F50)</f>
        <v>-0.03539966991293088</v>
      </c>
    </row>
    <row r="94" spans="1:6" ht="12.75">
      <c r="A94" s="170" t="s">
        <v>189</v>
      </c>
      <c r="B94" s="170">
        <f>B34+(14/0.017)*(B20*B51+B35*B50)</f>
        <v>-0.021052361424169833</v>
      </c>
      <c r="C94" s="170">
        <f>C34+(14/0.017)*(C20*C51+C35*C50)</f>
        <v>0.0033868684982198533</v>
      </c>
      <c r="D94" s="170">
        <f>D34+(14/0.017)*(D20*D51+D35*D50)</f>
        <v>-0.004451584609996133</v>
      </c>
      <c r="E94" s="170">
        <f>E34+(14/0.017)*(E20*E51+E35*E50)</f>
        <v>0.0028325091314904574</v>
      </c>
      <c r="F94" s="170">
        <f>F34+(14/0.017)*(F20*F51+F35*F50)</f>
        <v>-0.021835518525582423</v>
      </c>
    </row>
    <row r="95" spans="1:6" ht="12.75">
      <c r="A95" s="170" t="s">
        <v>190</v>
      </c>
      <c r="B95" s="171">
        <f>B35</f>
        <v>-0.02988775</v>
      </c>
      <c r="C95" s="171">
        <f>C35</f>
        <v>-0.01921422</v>
      </c>
      <c r="D95" s="171">
        <f>D35</f>
        <v>-0.01504065</v>
      </c>
      <c r="E95" s="171">
        <f>E35</f>
        <v>-0.004676789</v>
      </c>
      <c r="F95" s="171">
        <f>F35</f>
        <v>0.003502297</v>
      </c>
    </row>
    <row r="98" ht="12.75">
      <c r="A98" s="170" t="s">
        <v>158</v>
      </c>
    </row>
    <row r="100" spans="2:11" ht="12.75">
      <c r="B100" s="170" t="s">
        <v>84</v>
      </c>
      <c r="C100" s="170" t="s">
        <v>85</v>
      </c>
      <c r="D100" s="170" t="s">
        <v>86</v>
      </c>
      <c r="E100" s="170" t="s">
        <v>87</v>
      </c>
      <c r="F100" s="170" t="s">
        <v>88</v>
      </c>
      <c r="G100" s="170" t="s">
        <v>160</v>
      </c>
      <c r="H100" s="170" t="s">
        <v>161</v>
      </c>
      <c r="I100" s="170" t="s">
        <v>156</v>
      </c>
      <c r="K100" s="170" t="s">
        <v>191</v>
      </c>
    </row>
    <row r="101" spans="1:9" ht="12.75">
      <c r="A101" s="170" t="s">
        <v>159</v>
      </c>
      <c r="B101" s="170">
        <f>B61*10000/B62</f>
        <v>0</v>
      </c>
      <c r="C101" s="170">
        <f>C61*10000/C62</f>
        <v>0</v>
      </c>
      <c r="D101" s="170">
        <f>D61*10000/D62</f>
        <v>0</v>
      </c>
      <c r="E101" s="170">
        <f>E61*10000/E62</f>
        <v>0</v>
      </c>
      <c r="F101" s="170">
        <f>F61*10000/F62</f>
        <v>0</v>
      </c>
      <c r="G101" s="170">
        <f>AVERAGE(C101:E101)</f>
        <v>0</v>
      </c>
      <c r="H101" s="170">
        <f>STDEV(C101:E101)</f>
        <v>0</v>
      </c>
      <c r="I101" s="170">
        <f>(B101*B4+C101*C4+D101*D4+E101*E4+F101*F4)/SUM(B4:F4)</f>
        <v>0</v>
      </c>
    </row>
    <row r="102" spans="1:9" ht="12.75">
      <c r="A102" s="170" t="s">
        <v>162</v>
      </c>
      <c r="B102" s="170">
        <f>B62*10000/B62</f>
        <v>10000</v>
      </c>
      <c r="C102" s="170">
        <f>C62*10000/C62</f>
        <v>10000</v>
      </c>
      <c r="D102" s="170">
        <f>D62*10000/D62</f>
        <v>10000</v>
      </c>
      <c r="E102" s="170">
        <f>E62*10000/E62</f>
        <v>10000</v>
      </c>
      <c r="F102" s="170">
        <f>F62*10000/F62</f>
        <v>10000</v>
      </c>
      <c r="G102" s="170">
        <f>AVERAGE(C102:E102)</f>
        <v>10000</v>
      </c>
      <c r="H102" s="170">
        <f>STDEV(C102:E102)</f>
        <v>0</v>
      </c>
      <c r="I102" s="170">
        <f>(B102*B4+C102*C4+D102*D4+E102*E4+F102*F4)/SUM(B4:F4)</f>
        <v>10000</v>
      </c>
    </row>
    <row r="103" spans="1:11" ht="12.75">
      <c r="A103" s="170" t="s">
        <v>163</v>
      </c>
      <c r="B103" s="170">
        <f>B63*10000/B62</f>
        <v>3.944191852861731</v>
      </c>
      <c r="C103" s="170">
        <f>C63*10000/C62</f>
        <v>1.8140349753308083</v>
      </c>
      <c r="D103" s="170">
        <f>D63*10000/D62</f>
        <v>3.3922055020420663</v>
      </c>
      <c r="E103" s="170">
        <f>E63*10000/E62</f>
        <v>5.784237000033667</v>
      </c>
      <c r="F103" s="170">
        <f>F63*10000/F62</f>
        <v>3.156946710131984</v>
      </c>
      <c r="G103" s="170">
        <f>AVERAGE(C103:E103)</f>
        <v>3.6634924924688477</v>
      </c>
      <c r="H103" s="170">
        <f>STDEV(C103:E103)</f>
        <v>1.9989556029636522</v>
      </c>
      <c r="I103" s="170">
        <f>(B103*B4+C103*C4+D103*D4+E103*E4+F103*F4)/SUM(B4:F4)</f>
        <v>3.6364779358124077</v>
      </c>
      <c r="K103" s="170">
        <f>(LN(H103)+LN(H123))/2-LN(K114*K115^3)</f>
        <v>-3.8262577215766216</v>
      </c>
    </row>
    <row r="104" spans="1:11" ht="12.75">
      <c r="A104" s="170" t="s">
        <v>164</v>
      </c>
      <c r="B104" s="170">
        <f>B64*10000/B62</f>
        <v>0.9215717237089708</v>
      </c>
      <c r="C104" s="170">
        <f>C64*10000/C62</f>
        <v>0.9756789018902706</v>
      </c>
      <c r="D104" s="170">
        <f>D64*10000/D62</f>
        <v>0.6370004943227452</v>
      </c>
      <c r="E104" s="170">
        <f>E64*10000/E62</f>
        <v>-0.11467539819656122</v>
      </c>
      <c r="F104" s="170">
        <f>F64*10000/F62</f>
        <v>-0.016206670208690314</v>
      </c>
      <c r="G104" s="170">
        <f>AVERAGE(C104:E104)</f>
        <v>0.4993346660054849</v>
      </c>
      <c r="H104" s="170">
        <f>STDEV(C104:E104)</f>
        <v>0.558060960060968</v>
      </c>
      <c r="I104" s="170">
        <f>(B104*B4+C104*C4+D104*D4+E104*E4+F104*F4)/SUM(B4:F4)</f>
        <v>0.4916190000821997</v>
      </c>
      <c r="K104" s="170">
        <f>(LN(H104)+LN(H124))/2-LN(K114*K115^4)</f>
        <v>-3.5803357091950847</v>
      </c>
    </row>
    <row r="105" spans="1:11" ht="12.75">
      <c r="A105" s="170" t="s">
        <v>165</v>
      </c>
      <c r="B105" s="170">
        <f>B65*10000/B62</f>
        <v>-0.5020945160908014</v>
      </c>
      <c r="C105" s="170">
        <f>C65*10000/C62</f>
        <v>0.7453477236575412</v>
      </c>
      <c r="D105" s="170">
        <f>D65*10000/D62</f>
        <v>0.26941371405551706</v>
      </c>
      <c r="E105" s="170">
        <f>E65*10000/E62</f>
        <v>-1.1558747373716023</v>
      </c>
      <c r="F105" s="170">
        <f>F65*10000/F62</f>
        <v>-1.0773400916783216</v>
      </c>
      <c r="G105" s="170">
        <f>AVERAGE(C105:E105)</f>
        <v>-0.047037766552848005</v>
      </c>
      <c r="H105" s="170">
        <f>STDEV(C105:E105)</f>
        <v>0.989326976416214</v>
      </c>
      <c r="I105" s="170">
        <f>(B105*B4+C105*C4+D105*D4+E105*E4+F105*F4)/SUM(B4:F4)</f>
        <v>-0.25033746007446805</v>
      </c>
      <c r="K105" s="170">
        <f>(LN(H105)+LN(H125))/2-LN(K114*K115^5)</f>
        <v>-3.6018635051966905</v>
      </c>
    </row>
    <row r="106" spans="1:11" ht="12.75">
      <c r="A106" s="170" t="s">
        <v>166</v>
      </c>
      <c r="B106" s="170">
        <f>B66*10000/B62</f>
        <v>2.519416075654408</v>
      </c>
      <c r="C106" s="170">
        <f>C66*10000/C62</f>
        <v>4.200982854710707</v>
      </c>
      <c r="D106" s="170">
        <f>D66*10000/D62</f>
        <v>3.7555652182915256</v>
      </c>
      <c r="E106" s="170">
        <f>E66*10000/E62</f>
        <v>3.93911822995158</v>
      </c>
      <c r="F106" s="170">
        <f>F66*10000/F62</f>
        <v>13.93335756896978</v>
      </c>
      <c r="G106" s="170">
        <f>AVERAGE(C106:E106)</f>
        <v>3.9652221009846045</v>
      </c>
      <c r="H106" s="170">
        <f>STDEV(C106:E106)</f>
        <v>0.2238532482911357</v>
      </c>
      <c r="I106" s="170">
        <f>(B106*B4+C106*C4+D106*D4+E106*E4+F106*F4)/SUM(B4:F4)</f>
        <v>5.086350212177926</v>
      </c>
      <c r="K106" s="170">
        <f>(LN(H106)+LN(H126))/2-LN(K114*K115^6)</f>
        <v>-3.7300567441929435</v>
      </c>
    </row>
    <row r="107" spans="1:11" ht="12.75">
      <c r="A107" s="170" t="s">
        <v>167</v>
      </c>
      <c r="B107" s="170">
        <f>B67*10000/B62</f>
        <v>0.0626311073590271</v>
      </c>
      <c r="C107" s="170">
        <f>C67*10000/C62</f>
        <v>0.12469313769932468</v>
      </c>
      <c r="D107" s="170">
        <f>D67*10000/D62</f>
        <v>0.047859094374260454</v>
      </c>
      <c r="E107" s="170">
        <f>E67*10000/E62</f>
        <v>-0.21190330776984528</v>
      </c>
      <c r="F107" s="170">
        <f>F67*10000/F62</f>
        <v>-0.2269619087952225</v>
      </c>
      <c r="G107" s="170">
        <f>AVERAGE(C107:E107)</f>
        <v>-0.013117025232086715</v>
      </c>
      <c r="H107" s="170">
        <f>STDEV(C107:E107)</f>
        <v>0.17638837021557188</v>
      </c>
      <c r="I107" s="170">
        <f>(B107*B4+C107*C4+D107*D4+E107*E4+F107*F4)/SUM(B4:F4)</f>
        <v>-0.03069446258123818</v>
      </c>
      <c r="K107" s="170">
        <f>(LN(H107)+LN(H127))/2-LN(K114*K115^7)</f>
        <v>-3.3140626844719883</v>
      </c>
    </row>
    <row r="108" spans="1:9" ht="12.75">
      <c r="A108" s="170" t="s">
        <v>168</v>
      </c>
      <c r="B108" s="170">
        <f>B68*10000/B62</f>
        <v>0.202242665887111</v>
      </c>
      <c r="C108" s="170">
        <f>C68*10000/C62</f>
        <v>0.25490654416814756</v>
      </c>
      <c r="D108" s="170">
        <f>D68*10000/D62</f>
        <v>0.12140209947058651</v>
      </c>
      <c r="E108" s="170">
        <f>E68*10000/E62</f>
        <v>0.06778358041082999</v>
      </c>
      <c r="F108" s="170">
        <f>F68*10000/F62</f>
        <v>-0.1713595828397294</v>
      </c>
      <c r="G108" s="170">
        <f>AVERAGE(C108:E108)</f>
        <v>0.1480307413498547</v>
      </c>
      <c r="H108" s="170">
        <f>STDEV(C108:E108)</f>
        <v>0.09636163301636877</v>
      </c>
      <c r="I108" s="170">
        <f>(B108*B4+C108*C4+D108*D4+E108*E4+F108*F4)/SUM(B4:F4)</f>
        <v>0.1132471904879383</v>
      </c>
    </row>
    <row r="109" spans="1:9" ht="12.75">
      <c r="A109" s="170" t="s">
        <v>169</v>
      </c>
      <c r="B109" s="170">
        <f>B69*10000/B62</f>
        <v>0.052802086849449134</v>
      </c>
      <c r="C109" s="170">
        <f>C69*10000/C62</f>
        <v>0.1524103345869558</v>
      </c>
      <c r="D109" s="170">
        <f>D69*10000/D62</f>
        <v>0.0327025247015208</v>
      </c>
      <c r="E109" s="170">
        <f>E69*10000/E62</f>
        <v>-0.06866131356751932</v>
      </c>
      <c r="F109" s="170">
        <f>F69*10000/F62</f>
        <v>-0.03201206848628947</v>
      </c>
      <c r="G109" s="170">
        <f>AVERAGE(C109:E109)</f>
        <v>0.03881718190698576</v>
      </c>
      <c r="H109" s="170">
        <f>STDEV(C109:E109)</f>
        <v>0.11066259611535088</v>
      </c>
      <c r="I109" s="170">
        <f>(B109*B4+C109*C4+D109*D4+E109*E4+F109*F4)/SUM(B4:F4)</f>
        <v>0.03138732707347109</v>
      </c>
    </row>
    <row r="110" spans="1:11" ht="12.75">
      <c r="A110" s="170" t="s">
        <v>170</v>
      </c>
      <c r="B110" s="170">
        <f>B70*10000/B62</f>
        <v>-0.566548254069434</v>
      </c>
      <c r="C110" s="170">
        <f>C70*10000/C62</f>
        <v>-0.22912135579849344</v>
      </c>
      <c r="D110" s="170">
        <f>D70*10000/D62</f>
        <v>-0.20437593632795548</v>
      </c>
      <c r="E110" s="170">
        <f>E70*10000/E62</f>
        <v>-0.17099171582882805</v>
      </c>
      <c r="F110" s="170">
        <f>F70*10000/F62</f>
        <v>-0.4483277592411699</v>
      </c>
      <c r="G110" s="170">
        <f>AVERAGE(C110:E110)</f>
        <v>-0.2014963359850923</v>
      </c>
      <c r="H110" s="170">
        <f>STDEV(C110:E110)</f>
        <v>0.029171610074723436</v>
      </c>
      <c r="I110" s="170">
        <f>(B110*B4+C110*C4+D110*D4+E110*E4+F110*F4)/SUM(B4:F4)</f>
        <v>-0.287241049394421</v>
      </c>
      <c r="K110" s="170">
        <f>EXP(AVERAGE(K103:K107))</f>
        <v>0.027037911372643518</v>
      </c>
    </row>
    <row r="111" spans="1:9" ht="12.75">
      <c r="A111" s="170" t="s">
        <v>171</v>
      </c>
      <c r="B111" s="170">
        <f>B71*10000/B62</f>
        <v>0.06475578297966024</v>
      </c>
      <c r="C111" s="170">
        <f>C71*10000/C62</f>
        <v>-0.05941022032242729</v>
      </c>
      <c r="D111" s="170">
        <f>D71*10000/D62</f>
        <v>0.020256162764538024</v>
      </c>
      <c r="E111" s="170">
        <f>E71*10000/E62</f>
        <v>-0.0310751306846492</v>
      </c>
      <c r="F111" s="170">
        <f>F71*10000/F62</f>
        <v>0.011814930851734736</v>
      </c>
      <c r="G111" s="170">
        <f>AVERAGE(C111:E111)</f>
        <v>-0.02340972941417949</v>
      </c>
      <c r="H111" s="170">
        <f>STDEV(C111:E111)</f>
        <v>0.04038256964356983</v>
      </c>
      <c r="I111" s="170">
        <f>(B111*B4+C111*C4+D111*D4+E111*E4+F111*F4)/SUM(B4:F4)</f>
        <v>-0.005953102792124126</v>
      </c>
    </row>
    <row r="112" spans="1:9" ht="12.75">
      <c r="A112" s="170" t="s">
        <v>172</v>
      </c>
      <c r="B112" s="170">
        <f>B72*10000/B62</f>
        <v>0.03721667664103392</v>
      </c>
      <c r="C112" s="170">
        <f>C72*10000/C62</f>
        <v>-0.004501062170960276</v>
      </c>
      <c r="D112" s="170">
        <f>D72*10000/D62</f>
        <v>-0.0019507762765823995</v>
      </c>
      <c r="E112" s="170">
        <f>E72*10000/E62</f>
        <v>-0.023032632636800686</v>
      </c>
      <c r="F112" s="170">
        <f>F72*10000/F62</f>
        <v>-0.03863102506326968</v>
      </c>
      <c r="G112" s="170">
        <f>AVERAGE(C112:E112)</f>
        <v>-0.009828157028114454</v>
      </c>
      <c r="H112" s="170">
        <f>STDEV(C112:E112)</f>
        <v>0.011506286178044502</v>
      </c>
      <c r="I112" s="170">
        <f>(B112*B4+C112*C4+D112*D4+E112*E4+F112*F4)/SUM(B4:F4)</f>
        <v>-0.006866512630100111</v>
      </c>
    </row>
    <row r="113" spans="1:9" ht="12.75">
      <c r="A113" s="170" t="s">
        <v>173</v>
      </c>
      <c r="B113" s="170">
        <f>B73*10000/B62</f>
        <v>-0.009713581523408408</v>
      </c>
      <c r="C113" s="170">
        <f>C73*10000/C62</f>
        <v>-0.00046487862345972867</v>
      </c>
      <c r="D113" s="170">
        <f>D73*10000/D62</f>
        <v>-0.005553146166768906</v>
      </c>
      <c r="E113" s="170">
        <f>E73*10000/E62</f>
        <v>0.017084958759196116</v>
      </c>
      <c r="F113" s="170">
        <f>F73*10000/F62</f>
        <v>-0.008612368114092085</v>
      </c>
      <c r="G113" s="170">
        <f>AVERAGE(C113:E113)</f>
        <v>0.0036889779896558273</v>
      </c>
      <c r="H113" s="170">
        <f>STDEV(C113:E113)</f>
        <v>0.011876945829273337</v>
      </c>
      <c r="I113" s="170">
        <f>(B113*B4+C113*C4+D113*D4+E113*E4+F113*F4)/SUM(B4:F4)</f>
        <v>0.00010807867703265527</v>
      </c>
    </row>
    <row r="114" spans="1:11" ht="12.75">
      <c r="A114" s="170" t="s">
        <v>174</v>
      </c>
      <c r="B114" s="170">
        <f>B74*10000/B62</f>
        <v>-0.2006017199872596</v>
      </c>
      <c r="C114" s="170">
        <f>C74*10000/C62</f>
        <v>-0.17895623685414241</v>
      </c>
      <c r="D114" s="170">
        <f>D74*10000/D62</f>
        <v>-0.16564292174079506</v>
      </c>
      <c r="E114" s="170">
        <f>E74*10000/E62</f>
        <v>-0.16551793787248117</v>
      </c>
      <c r="F114" s="170">
        <f>F74*10000/F62</f>
        <v>-0.1397853073769811</v>
      </c>
      <c r="G114" s="170">
        <f>AVERAGE(C114:E114)</f>
        <v>-0.1700390321558062</v>
      </c>
      <c r="H114" s="170">
        <f>STDEV(C114:E114)</f>
        <v>0.007722778642811449</v>
      </c>
      <c r="I114" s="170">
        <f>(B114*B4+C114*C4+D114*D4+E114*E4+F114*F4)/SUM(B4:F4)</f>
        <v>-0.17042215359319807</v>
      </c>
      <c r="J114" s="170" t="s">
        <v>192</v>
      </c>
      <c r="K114" s="170">
        <v>285</v>
      </c>
    </row>
    <row r="115" spans="1:11" ht="12.75">
      <c r="A115" s="170" t="s">
        <v>175</v>
      </c>
      <c r="B115" s="170">
        <f>B75*10000/B62</f>
        <v>0.0009928540694499122</v>
      </c>
      <c r="C115" s="170">
        <f>C75*10000/C62</f>
        <v>-0.006733211113917265</v>
      </c>
      <c r="D115" s="170">
        <f>D75*10000/D62</f>
        <v>-0.0009382273048432531</v>
      </c>
      <c r="E115" s="170">
        <f>E75*10000/E62</f>
        <v>0.0032397641277756004</v>
      </c>
      <c r="F115" s="170">
        <f>F75*10000/F62</f>
        <v>0.0013725007186878877</v>
      </c>
      <c r="G115" s="170">
        <f>AVERAGE(C115:E115)</f>
        <v>-0.001477224763661639</v>
      </c>
      <c r="H115" s="170">
        <f>STDEV(C115:E115)</f>
        <v>0.005008287879936039</v>
      </c>
      <c r="I115" s="170">
        <f>(B115*B4+C115*C4+D115*D4+E115*E4+F115*F4)/SUM(B4:F4)</f>
        <v>-0.0007395934799750453</v>
      </c>
      <c r="J115" s="170" t="s">
        <v>193</v>
      </c>
      <c r="K115" s="170">
        <v>0.5536</v>
      </c>
    </row>
    <row r="118" ht="12.75">
      <c r="A118" s="170" t="s">
        <v>158</v>
      </c>
    </row>
    <row r="120" spans="2:9" ht="12.75">
      <c r="B120" s="170" t="s">
        <v>84</v>
      </c>
      <c r="C120" s="170" t="s">
        <v>85</v>
      </c>
      <c r="D120" s="170" t="s">
        <v>86</v>
      </c>
      <c r="E120" s="170" t="s">
        <v>87</v>
      </c>
      <c r="F120" s="170" t="s">
        <v>88</v>
      </c>
      <c r="G120" s="170" t="s">
        <v>160</v>
      </c>
      <c r="H120" s="170" t="s">
        <v>161</v>
      </c>
      <c r="I120" s="170" t="s">
        <v>156</v>
      </c>
    </row>
    <row r="121" spans="1:9" ht="12.75">
      <c r="A121" s="170" t="s">
        <v>176</v>
      </c>
      <c r="B121" s="170">
        <f>B81*10000/B62</f>
        <v>0</v>
      </c>
      <c r="C121" s="170">
        <f>C81*10000/C62</f>
        <v>0</v>
      </c>
      <c r="D121" s="170">
        <f>D81*10000/D62</f>
        <v>0</v>
      </c>
      <c r="E121" s="170">
        <f>E81*10000/E62</f>
        <v>0</v>
      </c>
      <c r="F121" s="170">
        <f>F81*10000/F62</f>
        <v>0</v>
      </c>
      <c r="G121" s="170">
        <f>AVERAGE(C121:E121)</f>
        <v>0</v>
      </c>
      <c r="H121" s="170">
        <f>STDEV(C121:E121)</f>
        <v>0</v>
      </c>
      <c r="I121" s="170">
        <f>(B121*B4+C121*C4+D121*D4+E121*E4+F121*F4)/SUM(B4:F4)</f>
        <v>0</v>
      </c>
    </row>
    <row r="122" spans="1:9" ht="12.75">
      <c r="A122" s="170" t="s">
        <v>177</v>
      </c>
      <c r="B122" s="170">
        <f>B82*10000/B62</f>
        <v>20.910143182277274</v>
      </c>
      <c r="C122" s="170">
        <f>C82*10000/C62</f>
        <v>18.585908088269548</v>
      </c>
      <c r="D122" s="170">
        <f>D82*10000/D62</f>
        <v>-2.278950672225549</v>
      </c>
      <c r="E122" s="170">
        <f>E82*10000/E62</f>
        <v>-1.1494939535677735</v>
      </c>
      <c r="F122" s="170">
        <f>F82*10000/F62</f>
        <v>-48.71209730141726</v>
      </c>
      <c r="G122" s="170">
        <f>AVERAGE(C122:E122)</f>
        <v>5.052487820825409</v>
      </c>
      <c r="H122" s="170">
        <f>STDEV(C122:E122)</f>
        <v>11.733883254118439</v>
      </c>
      <c r="I122" s="170">
        <f>(B122*B4+C122*C4+D122*D4+E122*E4+F122*F4)/SUM(B4:F4)</f>
        <v>0.17077217683279222</v>
      </c>
    </row>
    <row r="123" spans="1:9" ht="12.75">
      <c r="A123" s="170" t="s">
        <v>178</v>
      </c>
      <c r="B123" s="170">
        <f>B83*10000/B62</f>
        <v>0.8561011241223074</v>
      </c>
      <c r="C123" s="170">
        <f>C83*10000/C62</f>
        <v>1.1399737839140835</v>
      </c>
      <c r="D123" s="170">
        <f>D83*10000/D62</f>
        <v>0.7097221592862952</v>
      </c>
      <c r="E123" s="170">
        <f>E83*10000/E62</f>
        <v>1.8117645882249394</v>
      </c>
      <c r="F123" s="170">
        <f>F83*10000/F62</f>
        <v>9.635081824698638</v>
      </c>
      <c r="G123" s="170">
        <f>AVERAGE(C123:E123)</f>
        <v>1.2204868438084393</v>
      </c>
      <c r="H123" s="170">
        <f>STDEV(C123:E123)</f>
        <v>0.5554152891354458</v>
      </c>
      <c r="I123" s="170">
        <f>(B123*B4+C123*C4+D123*D4+E123*E4+F123*F4)/SUM(B4:F4)</f>
        <v>2.2906972112348414</v>
      </c>
    </row>
    <row r="124" spans="1:9" ht="12.75">
      <c r="A124" s="170" t="s">
        <v>179</v>
      </c>
      <c r="B124" s="170">
        <f>B84*10000/B62</f>
        <v>0.6779677332791735</v>
      </c>
      <c r="C124" s="170">
        <f>C84*10000/C62</f>
        <v>4.193691958039436</v>
      </c>
      <c r="D124" s="170">
        <f>D84*10000/D62</f>
        <v>2.5098979360582843</v>
      </c>
      <c r="E124" s="170">
        <f>E84*10000/E62</f>
        <v>2.4264706457830663</v>
      </c>
      <c r="F124" s="170">
        <f>F84*10000/F62</f>
        <v>1.678571810215073</v>
      </c>
      <c r="G124" s="170">
        <f>AVERAGE(C124:E124)</f>
        <v>3.0433535132935954</v>
      </c>
      <c r="H124" s="170">
        <f>STDEV(C124:E124)</f>
        <v>0.9970952468474995</v>
      </c>
      <c r="I124" s="170">
        <f>(B124*B4+C124*C4+D124*D4+E124*E4+F124*F4)/SUM(B4:F4)</f>
        <v>2.5190361096206613</v>
      </c>
    </row>
    <row r="125" spans="1:9" ht="12.75">
      <c r="A125" s="170" t="s">
        <v>180</v>
      </c>
      <c r="B125" s="170">
        <f>B85*10000/B62</f>
        <v>-0.019648220037657416</v>
      </c>
      <c r="C125" s="170">
        <f>C85*10000/C62</f>
        <v>-0.16883643093864464</v>
      </c>
      <c r="D125" s="170">
        <f>D85*10000/D62</f>
        <v>-0.48973965381117823</v>
      </c>
      <c r="E125" s="170">
        <f>E85*10000/E62</f>
        <v>-0.261840426485035</v>
      </c>
      <c r="F125" s="170">
        <f>F85*10000/F62</f>
        <v>-0.1774824869657386</v>
      </c>
      <c r="G125" s="170">
        <f>AVERAGE(C125:E125)</f>
        <v>-0.30680550374495263</v>
      </c>
      <c r="H125" s="170">
        <f>STDEV(C125:E125)</f>
        <v>0.16510939780108683</v>
      </c>
      <c r="I125" s="170">
        <f>(B125*B4+C125*C4+D125*D4+E125*E4+F125*F4)/SUM(B4:F4)</f>
        <v>-0.24802183684497386</v>
      </c>
    </row>
    <row r="126" spans="1:9" ht="12.75">
      <c r="A126" s="170" t="s">
        <v>181</v>
      </c>
      <c r="B126" s="170">
        <f>B86*10000/B62</f>
        <v>0.6003132572074215</v>
      </c>
      <c r="C126" s="170">
        <f>C86*10000/C62</f>
        <v>0.17276447696718858</v>
      </c>
      <c r="D126" s="170">
        <f>D86*10000/D62</f>
        <v>-0.09923974823815328</v>
      </c>
      <c r="E126" s="170">
        <f>E86*10000/E62</f>
        <v>0.22212176751475005</v>
      </c>
      <c r="F126" s="170">
        <f>F86*10000/F62</f>
        <v>1.7501073966197918</v>
      </c>
      <c r="G126" s="170">
        <f>AVERAGE(C126:E126)</f>
        <v>0.09854883208126179</v>
      </c>
      <c r="H126" s="170">
        <f>STDEV(C126:E126)</f>
        <v>0.17305859531131754</v>
      </c>
      <c r="I126" s="170">
        <f>(B126*B4+C126*C4+D126*D4+E126*E4+F126*F4)/SUM(B4:F4)</f>
        <v>0.3915206664013502</v>
      </c>
    </row>
    <row r="127" spans="1:9" ht="12.75">
      <c r="A127" s="170" t="s">
        <v>182</v>
      </c>
      <c r="B127" s="170">
        <f>B87*10000/B62</f>
        <v>0.17784681285794185</v>
      </c>
      <c r="C127" s="170">
        <f>C87*10000/C62</f>
        <v>0.5527394962242189</v>
      </c>
      <c r="D127" s="170">
        <f>D87*10000/D62</f>
        <v>0.6987229626768752</v>
      </c>
      <c r="E127" s="170">
        <f>E87*10000/E62</f>
        <v>0.389542257421764</v>
      </c>
      <c r="F127" s="170">
        <f>F87*10000/F62</f>
        <v>0.681435155945623</v>
      </c>
      <c r="G127" s="170">
        <f>AVERAGE(C127:E127)</f>
        <v>0.5470015721076193</v>
      </c>
      <c r="H127" s="170">
        <f>STDEV(C127:E127)</f>
        <v>0.1546701973729519</v>
      </c>
      <c r="I127" s="170">
        <f>(B127*B4+C127*C4+D127*D4+E127*E4+F127*F4)/SUM(B4:F4)</f>
        <v>0.5115541449828753</v>
      </c>
    </row>
    <row r="128" spans="1:9" ht="12.75">
      <c r="A128" s="170" t="s">
        <v>183</v>
      </c>
      <c r="B128" s="170">
        <f>B88*10000/B62</f>
        <v>0.25170131948050645</v>
      </c>
      <c r="C128" s="170">
        <f>C88*10000/C62</f>
        <v>0.22166774048788254</v>
      </c>
      <c r="D128" s="170">
        <f>D88*10000/D62</f>
        <v>0.38383140237849545</v>
      </c>
      <c r="E128" s="170">
        <f>E88*10000/E62</f>
        <v>0.291083352193563</v>
      </c>
      <c r="F128" s="170">
        <f>F88*10000/F62</f>
        <v>0.25165439667374584</v>
      </c>
      <c r="G128" s="170">
        <f>AVERAGE(C128:E128)</f>
        <v>0.298860831686647</v>
      </c>
      <c r="H128" s="170">
        <f>STDEV(C128:E128)</f>
        <v>0.08136110987377375</v>
      </c>
      <c r="I128" s="170">
        <f>(B128*B4+C128*C4+D128*D4+E128*E4+F128*F4)/SUM(B4:F4)</f>
        <v>0.28574488837116474</v>
      </c>
    </row>
    <row r="129" spans="1:9" ht="12.75">
      <c r="A129" s="170" t="s">
        <v>184</v>
      </c>
      <c r="B129" s="170">
        <f>B89*10000/B62</f>
        <v>0.13357357637156642</v>
      </c>
      <c r="C129" s="170">
        <f>C89*10000/C62</f>
        <v>0.1027103183714877</v>
      </c>
      <c r="D129" s="170">
        <f>D89*10000/D62</f>
        <v>0.034716822244397934</v>
      </c>
      <c r="E129" s="170">
        <f>E89*10000/E62</f>
        <v>-0.012687390499237216</v>
      </c>
      <c r="F129" s="170">
        <f>F89*10000/F62</f>
        <v>0.1434433119193711</v>
      </c>
      <c r="G129" s="170">
        <f>AVERAGE(C129:E129)</f>
        <v>0.04157991670554947</v>
      </c>
      <c r="H129" s="170">
        <f>STDEV(C129:E129)</f>
        <v>0.05800417530092264</v>
      </c>
      <c r="I129" s="170">
        <f>(B129*B4+C129*C4+D129*D4+E129*E4+F129*F4)/SUM(B4:F4)</f>
        <v>0.06848016901355505</v>
      </c>
    </row>
    <row r="130" spans="1:9" ht="12.75">
      <c r="A130" s="170" t="s">
        <v>185</v>
      </c>
      <c r="B130" s="170">
        <f>B90*10000/B62</f>
        <v>-0.049892698447483015</v>
      </c>
      <c r="C130" s="170">
        <f>C90*10000/C62</f>
        <v>0.014509715713829564</v>
      </c>
      <c r="D130" s="170">
        <f>D90*10000/D62</f>
        <v>-0.0529341395869775</v>
      </c>
      <c r="E130" s="170">
        <f>E90*10000/E62</f>
        <v>0.029933157213647688</v>
      </c>
      <c r="F130" s="170">
        <f>F90*10000/F62</f>
        <v>0.23619410852890999</v>
      </c>
      <c r="G130" s="170">
        <f>AVERAGE(C130:E130)</f>
        <v>-0.0028304222198334158</v>
      </c>
      <c r="H130" s="170">
        <f>STDEV(C130:E130)</f>
        <v>0.044071050673084367</v>
      </c>
      <c r="I130" s="170">
        <f>(B130*B4+C130*C4+D130*D4+E130*E4+F130*F4)/SUM(B4:F4)</f>
        <v>0.022257368764351592</v>
      </c>
    </row>
    <row r="131" spans="1:9" ht="12.75">
      <c r="A131" s="170" t="s">
        <v>186</v>
      </c>
      <c r="B131" s="170">
        <f>B91*10000/B62</f>
        <v>-0.026415871942033972</v>
      </c>
      <c r="C131" s="170">
        <f>C91*10000/C62</f>
        <v>0.03428250888755139</v>
      </c>
      <c r="D131" s="170">
        <f>D91*10000/D62</f>
        <v>0.058308639806032035</v>
      </c>
      <c r="E131" s="170">
        <f>E91*10000/E62</f>
        <v>0.03672306829182196</v>
      </c>
      <c r="F131" s="170">
        <f>F91*10000/F62</f>
        <v>0.07533826450335124</v>
      </c>
      <c r="G131" s="170">
        <f>AVERAGE(C131:E131)</f>
        <v>0.043104738995135124</v>
      </c>
      <c r="H131" s="170">
        <f>STDEV(C131:E131)</f>
        <v>0.013223389597684012</v>
      </c>
      <c r="I131" s="170">
        <f>(B131*B4+C131*C4+D131*D4+E131*E4+F131*F4)/SUM(B4:F4)</f>
        <v>0.03735131546381982</v>
      </c>
    </row>
    <row r="132" spans="1:9" ht="12.75">
      <c r="A132" s="170" t="s">
        <v>187</v>
      </c>
      <c r="B132" s="170">
        <f>B92*10000/B62</f>
        <v>0.09946046080699752</v>
      </c>
      <c r="C132" s="170">
        <f>C92*10000/C62</f>
        <v>-0.04762014931275366</v>
      </c>
      <c r="D132" s="170">
        <f>D92*10000/D62</f>
        <v>0.060791749679508005</v>
      </c>
      <c r="E132" s="170">
        <f>E92*10000/E62</f>
        <v>0.0007956948657364889</v>
      </c>
      <c r="F132" s="170">
        <f>F92*10000/F62</f>
        <v>0.030294812378408472</v>
      </c>
      <c r="G132" s="170">
        <f>AVERAGE(C132:E132)</f>
        <v>0.004655765077496946</v>
      </c>
      <c r="H132" s="170">
        <f>STDEV(C132:E132)</f>
        <v>0.05430893174521919</v>
      </c>
      <c r="I132" s="170">
        <f>(B132*B4+C132*C4+D132*D4+E132*E4+F132*F4)/SUM(B4:F4)</f>
        <v>0.021794310640717744</v>
      </c>
    </row>
    <row r="133" spans="1:9" ht="12.75">
      <c r="A133" s="170" t="s">
        <v>188</v>
      </c>
      <c r="B133" s="170">
        <f>B93*10000/B62</f>
        <v>-0.017195926998970837</v>
      </c>
      <c r="C133" s="170">
        <f>C93*10000/C62</f>
        <v>-0.016298342769628413</v>
      </c>
      <c r="D133" s="170">
        <f>D93*10000/D62</f>
        <v>-0.013674111239815006</v>
      </c>
      <c r="E133" s="170">
        <f>E93*10000/E62</f>
        <v>-0.038389084814984084</v>
      </c>
      <c r="F133" s="170">
        <f>F93*10000/F62</f>
        <v>-0.03540507982403996</v>
      </c>
      <c r="G133" s="170">
        <f>AVERAGE(C133:E133)</f>
        <v>-0.0227871796081425</v>
      </c>
      <c r="H133" s="170">
        <f>STDEV(C133:E133)</f>
        <v>0.013575206530398336</v>
      </c>
      <c r="I133" s="170">
        <f>(B133*B4+C133*C4+D133*D4+E133*E4+F133*F4)/SUM(B4:F4)</f>
        <v>-0.023661724079555507</v>
      </c>
    </row>
    <row r="134" spans="1:9" ht="12.75">
      <c r="A134" s="170" t="s">
        <v>189</v>
      </c>
      <c r="B134" s="170">
        <f>B94*10000/B62</f>
        <v>-0.02105184553467713</v>
      </c>
      <c r="C134" s="170">
        <f>C94*10000/C62</f>
        <v>0.0033869560814221264</v>
      </c>
      <c r="D134" s="170">
        <f>D94*10000/D62</f>
        <v>-0.004451548099269773</v>
      </c>
      <c r="E134" s="170">
        <f>E94*10000/E62</f>
        <v>0.002832637770390637</v>
      </c>
      <c r="F134" s="170">
        <f>F94*10000/F62</f>
        <v>-0.021838855511902767</v>
      </c>
      <c r="G134" s="170">
        <f>AVERAGE(C134:E134)</f>
        <v>0.0005893485841809969</v>
      </c>
      <c r="H134" s="170">
        <f>STDEV(C134:E134)</f>
        <v>0.004374333860990142</v>
      </c>
      <c r="I134" s="170">
        <f>(B134*B4+C134*C4+D134*D4+E134*E4+F134*F4)/SUM(B4:F4)</f>
        <v>-0.005534444809962207</v>
      </c>
    </row>
    <row r="135" spans="1:9" ht="12.75">
      <c r="A135" s="170" t="s">
        <v>190</v>
      </c>
      <c r="B135" s="170">
        <f>B95*10000/B62</f>
        <v>-0.02988701759873275</v>
      </c>
      <c r="C135" s="170">
        <f>C95*10000/C62</f>
        <v>-0.019214716872824462</v>
      </c>
      <c r="D135" s="170">
        <f>D95*10000/D62</f>
        <v>-0.015040526640543865</v>
      </c>
      <c r="E135" s="170">
        <f>E95*10000/E62</f>
        <v>-0.004677001397194644</v>
      </c>
      <c r="F135" s="170">
        <f>F95*10000/F62</f>
        <v>0.0035028322342407206</v>
      </c>
      <c r="G135" s="170">
        <f>AVERAGE(C135:E135)</f>
        <v>-0.012977414970187657</v>
      </c>
      <c r="H135" s="170">
        <f>STDEV(C135:E135)</f>
        <v>0.0074852264585556555</v>
      </c>
      <c r="I135" s="170">
        <f>(B135*B4+C135*C4+D135*D4+E135*E4+F135*F4)/SUM(B4:F4)</f>
        <v>-0.013224160475041678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2003-09-18T13:27:06Z</cp:lastPrinted>
  <dcterms:created xsi:type="dcterms:W3CDTF">1999-06-17T15:15:05Z</dcterms:created>
  <dcterms:modified xsi:type="dcterms:W3CDTF">2005-10-05T09:02:39Z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-726942255</vt:i4>
  </property>
  <property fmtid="{D5CDD505-2E9C-101B-9397-08002B2CF9AE}" pid="3" name="_EmailSubject">
    <vt:lpwstr>WFM result of aperture 85 and 87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