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8370" windowHeight="1395" tabRatio="1000" firstSheet="3" activeTab="7"/>
  </bookViews>
  <sheets>
    <sheet name="Sommaire" sheetId="1" r:id="rId1"/>
    <sheet name="HCMQAP0009_02_pos1_1" sheetId="2" r:id="rId2"/>
    <sheet name="HCMQAP0009_02_pos2_1" sheetId="3" r:id="rId3"/>
    <sheet name="HCMQAP0009_02_pos3_1" sheetId="4" r:id="rId4"/>
    <sheet name="HCMQAP0009_02_pos4_1" sheetId="5" r:id="rId5"/>
    <sheet name="HCMQAP0009_02_pos5_1" sheetId="6" r:id="rId6"/>
    <sheet name="Lmag_hcmqap" sheetId="7" r:id="rId7"/>
    <sheet name="Result_HCMQAP" sheetId="8" r:id="rId8"/>
  </sheets>
  <definedNames>
    <definedName name="_xlnm.Print_Area" localSheetId="1">'HCMQAP0009_02_pos1_1'!$A$1:$N$28</definedName>
    <definedName name="_xlnm.Print_Area" localSheetId="2">'HCMQAP0009_02_pos2_1'!$A$1:$N$28</definedName>
    <definedName name="_xlnm.Print_Area" localSheetId="3">'HCMQAP0009_02_pos3_1'!$A$1:$N$28</definedName>
    <definedName name="_xlnm.Print_Area" localSheetId="4">'HCMQAP0009_02_pos4_1'!$A$1:$N$28</definedName>
    <definedName name="_xlnm.Print_Area" localSheetId="5">'HCMQAP0009_02_pos5_1'!$A$1:$N$28</definedName>
    <definedName name="_xlnm.Print_Area" localSheetId="6">'Lmag_hcmqap'!$A$1:$G$54</definedName>
    <definedName name="_xlnm.Print_Area" localSheetId="0">'Sommaire'!$A$1:$N$14</definedName>
  </definedNames>
  <calcPr fullCalcOnLoad="1"/>
</workbook>
</file>

<file path=xl/sharedStrings.xml><?xml version="1.0" encoding="utf-8"?>
<sst xmlns="http://schemas.openxmlformats.org/spreadsheetml/2006/main" count="505" uniqueCount="189">
  <si>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</si>
  <si>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</si>
  <si>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</si>
  <si>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</si>
  <si>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</si>
  <si>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</si>
  <si>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</si>
  <si>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</si>
  <si>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</si>
  <si>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</si>
  <si>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</si>
  <si>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</si>
  <si>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</si>
  <si>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</si>
  <si>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</si>
  <si>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hcmqap0009_02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</si>
  <si>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</si>
  <si>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</si>
  <si>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</si>
  <si>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</si>
  <si>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</si>
  <si>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</si>
  <si>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</si>
  <si>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</si>
  <si>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</si>
  <si>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</si>
  <si>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</si>
  <si>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</si>
  <si>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taupe_quadrupole#5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</si>
  <si>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</si>
  <si>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</si>
  <si>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</si>
  <si>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</si>
  <si>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</si>
  <si>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</si>
  <si>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</si>
  <si>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</si>
  <si>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</si>
  <si>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</si>
  <si>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</si>
  <si>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</si>
  <si>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</si>
  <si>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</si>
  <si>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</si>
  <si>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</si>
  <si>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</si>
  <si>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</si>
  <si>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</si>
  <si>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</si>
  <si>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</si>
  <si>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</si>
  <si>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</si>
  <si>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</si>
  <si>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</si>
  <si>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</si>
  <si>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</si>
  <si>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</si>
  <si>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</si>
  <si>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</si>
  <si>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-2.257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</si>
  <si>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</si>
  <si>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</si>
  <si>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</si>
  <si>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</si>
  <si>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</si>
  <si>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</si>
  <si>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</si>
  <si>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</si>
  <si>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HCMQAP0009_02_pos1_1</t>
  </si>
  <si>
    <t>±12.5</t>
  </si>
  <si>
    <t>THCMQAP0009-02_pos1_10991029aper2.xls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</si>
  <si>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-3.761 mT)</t>
    </r>
  </si>
  <si>
    <t>HCMQAP0009_02_pos2_1</t>
  </si>
  <si>
    <t>THCMQAP0009-02_pos2_10991035aper2.xls</t>
  </si>
  <si>
    <t>HCMQAP0009_02_pos3_1</t>
  </si>
  <si>
    <t>THCMQAP0009-02_pos3_10991042aper2.xls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</si>
  <si>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-3.762 mT)</t>
    </r>
  </si>
  <si>
    <t>HCMQAP0009_02_pos4_1</t>
  </si>
  <si>
    <t>THCMQAP0009-02_pos4_10991049aper2.xls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</si>
  <si>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-2.094 mT)</t>
    </r>
  </si>
  <si>
    <t>HCMQAP0009_02_pos5_1</t>
  </si>
  <si>
    <t>THCMQAP0009-02_pos5_10991055aper2.xls</t>
  </si>
  <si>
    <t>Sommaire : Valeurs intégrales calculées avec les fichiers: HCMQAP0009_02_pos1_1+HCMQAP0009_02_pos2_1+HCMQAP0009_02_pos3_1+HCMQAP0009_02_pos4_1+HCMQAP0009_02_pos5_1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</si>
  <si>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</si>
  <si>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</si>
  <si>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</si>
  <si>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</si>
  <si>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</si>
  <si>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</si>
  <si>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</si>
  <si>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</si>
  <si>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</si>
  <si>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</si>
  <si>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</si>
  <si>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</si>
  <si>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</si>
  <si>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</si>
  <si>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</si>
  <si>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</si>
  <si>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</si>
  <si>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</si>
  <si>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</si>
  <si>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</si>
  <si>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</si>
  <si>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</si>
  <si>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</si>
  <si>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</si>
  <si>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</si>
  <si>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</si>
  <si>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</si>
  <si>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</si>
  <si>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</si>
  <si>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</si>
  <si>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</si>
  <si>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</si>
  <si>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</si>
  <si>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</si>
  <si>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</si>
  <si>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</si>
  <si>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</si>
  <si>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</si>
  <si>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</si>
  <si>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</si>
  <si>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</si>
  <si>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</si>
  <si>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</si>
  <si>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=-3.761</t>
    </r>
  </si>
  <si>
    <t>Gradient (T/m)</t>
  </si>
  <si>
    <t>HCMQAP009_02_pos1_2</t>
  </si>
  <si>
    <t xml:space="preserve"> Thu 07/11/2002       11:00:53</t>
  </si>
  <si>
    <t>HUMEAU</t>
  </si>
  <si>
    <t>Aperture2</t>
  </si>
  <si>
    <t>Position</t>
  </si>
  <si>
    <t>Integrales</t>
  </si>
  <si>
    <t>Cn (mT)</t>
  </si>
  <si>
    <t>Angle(Horiz,Cn)</t>
  </si>
  <si>
    <t>b1</t>
  </si>
  <si>
    <t>b2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</si>
  <si>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</si>
  <si>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</si>
  <si>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</si>
  <si>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</si>
  <si>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</si>
  <si>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</si>
  <si>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</si>
  <si>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</si>
  <si>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Conclusion : NOT-ACCEPTED</t>
  </si>
  <si>
    <t>Dx corrected</t>
  </si>
  <si>
    <t>Dy corrected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</si>
  <si>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</si>
  <si>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</si>
  <si>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</si>
  <si>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</si>
  <si>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</si>
  <si>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</si>
  <si>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</si>
  <si>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</si>
  <si>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</si>
  <si>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</si>
  <si>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</si>
  <si>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</si>
  <si>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</si>
  <si>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</si>
  <si>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</si>
  <si>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</si>
  <si>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</si>
  <si>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</si>
  <si>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</si>
  <si>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</si>
  <si>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</si>
  <si>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</si>
  <si>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</si>
  <si>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</si>
  <si>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</si>
  <si>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</si>
  <si>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</si>
  <si>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</si>
  <si>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</si>
  <si>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</si>
  <si>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</si>
  <si>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</si>
  <si>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</si>
  <si>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</si>
  <si>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</si>
  <si>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</si>
  <si>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</si>
  <si>
    <t>HCMQAP009</t>
  </si>
  <si>
    <t>HCMQAP009_02_pos2_1</t>
  </si>
  <si>
    <t>Integrals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</si>
</sst>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dd/mm/yy\ h:mm:ss"/>
    <numFmt numFmtId="181" formatCode="0.0##"/>
    <numFmt numFmtId="182" formatCode="0.00E+0"/>
    <numFmt numFmtId="183" formatCode="0.0###"/>
    <numFmt numFmtId="184" formatCode="dd/mm/yy\ h:mm"/>
    <numFmt numFmtId="185" formatCode="0.0#"/>
    <numFmt numFmtId="186" formatCode="0.#"/>
    <numFmt numFmtId="187" formatCode="0.000"/>
    <numFmt numFmtId="188" formatCode="dd/mm/yy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81" fontId="3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81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81" fontId="3" fillId="0" borderId="2" xfId="0" applyNumberFormat="1" applyFont="1" applyFill="1" applyBorder="1" applyAlignment="1">
      <alignment horizontal="left" vertical="top" wrapText="1"/>
    </xf>
    <xf numFmtId="181" fontId="3" fillId="0" borderId="3" xfId="0" applyNumberFormat="1" applyFont="1" applyFill="1" applyBorder="1" applyAlignment="1">
      <alignment horizontal="left"/>
    </xf>
    <xf numFmtId="181" fontId="3" fillId="0" borderId="3" xfId="0" applyNumberFormat="1" applyFont="1" applyFill="1" applyBorder="1" applyAlignment="1">
      <alignment horizontal="center"/>
    </xf>
    <xf numFmtId="181" fontId="3" fillId="0" borderId="3" xfId="0" applyNumberFormat="1" applyFont="1" applyFill="1" applyBorder="1" applyAlignment="1">
      <alignment horizontal="right"/>
    </xf>
    <xf numFmtId="181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81" fontId="3" fillId="0" borderId="2" xfId="0" applyNumberFormat="1" applyFont="1" applyFill="1" applyBorder="1" applyAlignment="1">
      <alignment horizontal="right" vertical="top" wrapText="1"/>
    </xf>
    <xf numFmtId="181" fontId="2" fillId="0" borderId="3" xfId="0" applyNumberFormat="1" applyFont="1" applyFill="1" applyBorder="1" applyAlignment="1">
      <alignment horizontal="right" vertical="center"/>
    </xf>
    <xf numFmtId="186" fontId="3" fillId="0" borderId="2" xfId="0" applyNumberFormat="1" applyFont="1" applyFill="1" applyBorder="1" applyAlignment="1">
      <alignment horizontal="center" vertical="top" wrapText="1"/>
    </xf>
    <xf numFmtId="186" fontId="3" fillId="0" borderId="3" xfId="0" applyNumberFormat="1" applyFont="1" applyFill="1" applyBorder="1" applyAlignment="1">
      <alignment horizontal="center"/>
    </xf>
    <xf numFmtId="186" fontId="2" fillId="0" borderId="3" xfId="0" applyNumberFormat="1" applyFont="1" applyFill="1" applyBorder="1" applyAlignment="1">
      <alignment horizontal="center" vertical="center"/>
    </xf>
    <xf numFmtId="181" fontId="3" fillId="0" borderId="2" xfId="0" applyNumberFormat="1" applyFont="1" applyFill="1" applyBorder="1" applyAlignment="1">
      <alignment horizontal="center" vertical="top" wrapText="1"/>
    </xf>
    <xf numFmtId="181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86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81" fontId="3" fillId="2" borderId="3" xfId="0" applyNumberFormat="1" applyFont="1" applyFill="1" applyBorder="1" applyAlignment="1">
      <alignment horizontal="center"/>
    </xf>
    <xf numFmtId="181" fontId="3" fillId="2" borderId="3" xfId="0" applyNumberFormat="1" applyFont="1" applyFill="1" applyBorder="1" applyAlignment="1">
      <alignment horizontal="left"/>
    </xf>
    <xf numFmtId="181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81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81" fontId="2" fillId="2" borderId="3" xfId="0" applyNumberFormat="1" applyFont="1" applyFill="1" applyBorder="1" applyAlignment="1">
      <alignment horizontal="center"/>
    </xf>
    <xf numFmtId="181" fontId="2" fillId="2" borderId="3" xfId="0" applyNumberFormat="1" applyFont="1" applyFill="1" applyBorder="1" applyAlignment="1">
      <alignment horizontal="left"/>
    </xf>
    <xf numFmtId="181" fontId="2" fillId="2" borderId="3" xfId="0" applyNumberFormat="1" applyFont="1" applyFill="1" applyBorder="1" applyAlignment="1">
      <alignment horizontal="right"/>
    </xf>
    <xf numFmtId="181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8" fontId="3" fillId="0" borderId="2" xfId="0" applyNumberFormat="1" applyFont="1" applyFill="1" applyBorder="1" applyAlignment="1">
      <alignment horizontal="left" vertical="top"/>
    </xf>
    <xf numFmtId="188" fontId="3" fillId="2" borderId="3" xfId="0" applyNumberFormat="1" applyFont="1" applyFill="1" applyBorder="1" applyAlignment="1">
      <alignment horizontal="left"/>
    </xf>
    <xf numFmtId="188" fontId="4" fillId="2" borderId="3" xfId="0" applyNumberFormat="1" applyFont="1" applyFill="1" applyBorder="1" applyAlignment="1">
      <alignment horizontal="left"/>
    </xf>
    <xf numFmtId="188" fontId="2" fillId="0" borderId="3" xfId="0" applyNumberFormat="1" applyFont="1" applyFill="1" applyBorder="1" applyAlignment="1">
      <alignment horizontal="left" vertical="center"/>
    </xf>
    <xf numFmtId="188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81" fontId="3" fillId="0" borderId="7" xfId="0" applyNumberFormat="1" applyFont="1" applyFill="1" applyBorder="1" applyAlignment="1">
      <alignment horizontal="left"/>
    </xf>
    <xf numFmtId="181" fontId="3" fillId="0" borderId="8" xfId="0" applyNumberFormat="1" applyFont="1" applyFill="1" applyBorder="1" applyAlignment="1">
      <alignment horizontal="center"/>
    </xf>
    <xf numFmtId="181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81" fontId="3" fillId="0" borderId="12" xfId="0" applyNumberFormat="1" applyFont="1" applyFill="1" applyBorder="1" applyAlignment="1">
      <alignment horizontal="left"/>
    </xf>
    <xf numFmtId="181" fontId="3" fillId="0" borderId="13" xfId="0" applyNumberFormat="1" applyFont="1" applyFill="1" applyBorder="1" applyAlignment="1">
      <alignment horizontal="center"/>
    </xf>
    <xf numFmtId="181" fontId="3" fillId="0" borderId="14" xfId="0" applyNumberFormat="1" applyFont="1" applyFill="1" applyBorder="1" applyAlignment="1">
      <alignment horizontal="center"/>
    </xf>
    <xf numFmtId="182" fontId="3" fillId="0" borderId="15" xfId="0" applyNumberFormat="1" applyFont="1" applyFill="1" applyBorder="1" applyAlignment="1">
      <alignment horizontal="center"/>
    </xf>
    <xf numFmtId="182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84" fontId="3" fillId="0" borderId="11" xfId="0" applyNumberFormat="1" applyFont="1" applyFill="1" applyBorder="1" applyAlignment="1">
      <alignment horizontal="left"/>
    </xf>
    <xf numFmtId="181" fontId="3" fillId="0" borderId="16" xfId="0" applyNumberFormat="1" applyFont="1" applyFill="1" applyBorder="1" applyAlignment="1">
      <alignment horizontal="left"/>
    </xf>
    <xf numFmtId="181" fontId="3" fillId="0" borderId="17" xfId="0" applyNumberFormat="1" applyFont="1" applyFill="1" applyBorder="1" applyAlignment="1">
      <alignment horizontal="left"/>
    </xf>
    <xf numFmtId="181" fontId="3" fillId="0" borderId="17" xfId="0" applyNumberFormat="1" applyFont="1" applyFill="1" applyBorder="1" applyAlignment="1">
      <alignment horizontal="center"/>
    </xf>
    <xf numFmtId="181" fontId="3" fillId="0" borderId="18" xfId="0" applyNumberFormat="1" applyFont="1" applyFill="1" applyBorder="1" applyAlignment="1">
      <alignment horizontal="center"/>
    </xf>
    <xf numFmtId="181" fontId="3" fillId="0" borderId="12" xfId="0" applyNumberFormat="1" applyFont="1" applyFill="1" applyBorder="1" applyAlignment="1">
      <alignment horizontal="center"/>
    </xf>
    <xf numFmtId="181" fontId="5" fillId="0" borderId="13" xfId="0" applyNumberFormat="1" applyFont="1" applyFill="1" applyBorder="1" applyAlignment="1">
      <alignment horizontal="left"/>
    </xf>
    <xf numFmtId="181" fontId="5" fillId="0" borderId="13" xfId="0" applyNumberFormat="1" applyFont="1" applyFill="1" applyBorder="1" applyAlignment="1">
      <alignment horizontal="center"/>
    </xf>
    <xf numFmtId="181" fontId="5" fillId="0" borderId="14" xfId="0" applyNumberFormat="1" applyFont="1" applyFill="1" applyBorder="1" applyAlignment="1">
      <alignment horizontal="center"/>
    </xf>
    <xf numFmtId="181" fontId="5" fillId="0" borderId="19" xfId="0" applyNumberFormat="1" applyFont="1" applyFill="1" applyBorder="1" applyAlignment="1">
      <alignment horizontal="center"/>
    </xf>
    <xf numFmtId="181" fontId="5" fillId="0" borderId="20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left"/>
    </xf>
    <xf numFmtId="181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81" fontId="3" fillId="0" borderId="22" xfId="0" applyNumberFormat="1" applyFont="1" applyFill="1" applyBorder="1" applyAlignment="1">
      <alignment horizontal="center"/>
    </xf>
    <xf numFmtId="181" fontId="4" fillId="0" borderId="23" xfId="0" applyNumberFormat="1" applyFont="1" applyFill="1" applyBorder="1" applyAlignment="1">
      <alignment horizontal="center"/>
    </xf>
    <xf numFmtId="181" fontId="3" fillId="0" borderId="23" xfId="0" applyNumberFormat="1" applyFont="1" applyFill="1" applyBorder="1" applyAlignment="1">
      <alignment horizontal="center"/>
    </xf>
    <xf numFmtId="181" fontId="3" fillId="0" borderId="24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81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81" fontId="3" fillId="0" borderId="15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left"/>
    </xf>
    <xf numFmtId="181" fontId="3" fillId="0" borderId="10" xfId="0" applyNumberFormat="1" applyFont="1" applyFill="1" applyBorder="1" applyAlignment="1">
      <alignment horizontal="center"/>
    </xf>
    <xf numFmtId="183" fontId="3" fillId="0" borderId="11" xfId="0" applyNumberFormat="1" applyFont="1" applyFill="1" applyBorder="1" applyAlignment="1">
      <alignment horizontal="left"/>
    </xf>
    <xf numFmtId="181" fontId="5" fillId="0" borderId="11" xfId="0" applyNumberFormat="1" applyFont="1" applyFill="1" applyBorder="1" applyAlignment="1">
      <alignment horizontal="left"/>
    </xf>
    <xf numFmtId="181" fontId="3" fillId="3" borderId="10" xfId="0" applyNumberFormat="1" applyFont="1" applyFill="1" applyBorder="1" applyAlignment="1">
      <alignment horizontal="center"/>
    </xf>
    <xf numFmtId="185" fontId="3" fillId="0" borderId="11" xfId="0" applyNumberFormat="1" applyFont="1" applyFill="1" applyBorder="1" applyAlignment="1">
      <alignment horizontal="left"/>
    </xf>
    <xf numFmtId="181" fontId="3" fillId="0" borderId="25" xfId="0" applyNumberFormat="1" applyFont="1" applyFill="1" applyBorder="1" applyAlignment="1">
      <alignment horizontal="center"/>
    </xf>
    <xf numFmtId="181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81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left"/>
    </xf>
    <xf numFmtId="181" fontId="2" fillId="0" borderId="28" xfId="0" applyNumberFormat="1" applyFont="1" applyFill="1" applyBorder="1" applyAlignment="1">
      <alignment horizontal="left"/>
    </xf>
    <xf numFmtId="181" fontId="2" fillId="0" borderId="29" xfId="0" applyNumberFormat="1" applyFont="1" applyFill="1" applyBorder="1" applyAlignment="1">
      <alignment horizontal="left"/>
    </xf>
    <xf numFmtId="181" fontId="7" fillId="0" borderId="29" xfId="0" applyNumberFormat="1" applyFont="1" applyFill="1" applyBorder="1" applyAlignment="1">
      <alignment horizontal="left"/>
    </xf>
    <xf numFmtId="181" fontId="2" fillId="0" borderId="30" xfId="0" applyNumberFormat="1" applyFont="1" applyFill="1" applyBorder="1" applyAlignment="1">
      <alignment horizontal="left"/>
    </xf>
    <xf numFmtId="181" fontId="2" fillId="0" borderId="31" xfId="0" applyNumberFormat="1" applyFont="1" applyFill="1" applyBorder="1" applyAlignment="1">
      <alignment horizontal="left"/>
    </xf>
    <xf numFmtId="181" fontId="2" fillId="0" borderId="32" xfId="0" applyNumberFormat="1" applyFont="1" applyFill="1" applyBorder="1" applyAlignment="1">
      <alignment horizontal="left"/>
    </xf>
    <xf numFmtId="181" fontId="2" fillId="0" borderId="32" xfId="0" applyNumberFormat="1" applyFont="1" applyFill="1" applyBorder="1" applyAlignment="1">
      <alignment horizontal="center"/>
    </xf>
    <xf numFmtId="181" fontId="2" fillId="0" borderId="33" xfId="0" applyNumberFormat="1" applyFont="1" applyFill="1" applyBorder="1" applyAlignment="1">
      <alignment horizontal="left"/>
    </xf>
    <xf numFmtId="181" fontId="2" fillId="0" borderId="34" xfId="0" applyNumberFormat="1" applyFont="1" applyFill="1" applyBorder="1" applyAlignment="1">
      <alignment horizontal="left"/>
    </xf>
    <xf numFmtId="181" fontId="2" fillId="0" borderId="35" xfId="0" applyNumberFormat="1" applyFont="1" applyFill="1" applyBorder="1" applyAlignment="1">
      <alignment horizontal="left"/>
    </xf>
    <xf numFmtId="181" fontId="2" fillId="0" borderId="36" xfId="0" applyNumberFormat="1" applyFont="1" applyFill="1" applyBorder="1" applyAlignment="1">
      <alignment horizontal="left"/>
    </xf>
    <xf numFmtId="181" fontId="2" fillId="0" borderId="36" xfId="0" applyNumberFormat="1" applyFont="1" applyFill="1" applyBorder="1" applyAlignment="1">
      <alignment horizontal="center"/>
    </xf>
    <xf numFmtId="181" fontId="2" fillId="0" borderId="37" xfId="0" applyNumberFormat="1" applyFont="1" applyFill="1" applyBorder="1" applyAlignment="1">
      <alignment horizontal="left"/>
    </xf>
    <xf numFmtId="181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81" fontId="2" fillId="0" borderId="40" xfId="0" applyNumberFormat="1" applyFont="1" applyFill="1" applyBorder="1" applyAlignment="1">
      <alignment horizontal="left" vertical="center"/>
    </xf>
    <xf numFmtId="181" fontId="2" fillId="0" borderId="41" xfId="0" applyNumberFormat="1" applyFont="1" applyFill="1" applyBorder="1" applyAlignment="1">
      <alignment horizontal="left" vertical="center"/>
    </xf>
    <xf numFmtId="181" fontId="3" fillId="3" borderId="15" xfId="0" applyNumberFormat="1" applyFont="1" applyFill="1" applyBorder="1" applyAlignment="1">
      <alignment horizontal="center"/>
    </xf>
    <xf numFmtId="181" fontId="5" fillId="3" borderId="15" xfId="0" applyNumberFormat="1" applyFont="1" applyFill="1" applyBorder="1" applyAlignment="1">
      <alignment horizontal="center"/>
    </xf>
    <xf numFmtId="181" fontId="5" fillId="3" borderId="10" xfId="0" applyNumberFormat="1" applyFont="1" applyFill="1" applyBorder="1" applyAlignment="1">
      <alignment horizontal="center"/>
    </xf>
    <xf numFmtId="187" fontId="5" fillId="0" borderId="15" xfId="0" applyNumberFormat="1" applyFont="1" applyFill="1" applyBorder="1" applyAlignment="1">
      <alignment horizontal="center"/>
    </xf>
    <xf numFmtId="187" fontId="3" fillId="0" borderId="15" xfId="0" applyNumberFormat="1" applyFont="1" applyFill="1" applyBorder="1" applyAlignment="1">
      <alignment horizontal="center"/>
    </xf>
    <xf numFmtId="187" fontId="3" fillId="3" borderId="15" xfId="0" applyNumberFormat="1" applyFont="1" applyFill="1" applyBorder="1" applyAlignment="1">
      <alignment horizontal="center"/>
    </xf>
    <xf numFmtId="187" fontId="3" fillId="0" borderId="42" xfId="0" applyNumberFormat="1" applyFont="1" applyFill="1" applyBorder="1" applyAlignment="1">
      <alignment horizontal="center"/>
    </xf>
    <xf numFmtId="187" fontId="0" fillId="0" borderId="43" xfId="0" applyNumberFormat="1" applyBorder="1" applyAlignment="1">
      <alignment horizontal="left"/>
    </xf>
    <xf numFmtId="187" fontId="0" fillId="0" borderId="44" xfId="0" applyNumberFormat="1" applyBorder="1" applyAlignment="1">
      <alignment horizontal="center"/>
    </xf>
    <xf numFmtId="187" fontId="0" fillId="0" borderId="15" xfId="0" applyNumberFormat="1" applyBorder="1" applyAlignment="1">
      <alignment horizontal="center"/>
    </xf>
    <xf numFmtId="187" fontId="0" fillId="0" borderId="45" xfId="0" applyNumberFormat="1" applyBorder="1" applyAlignment="1">
      <alignment horizontal="center"/>
    </xf>
    <xf numFmtId="187" fontId="0" fillId="0" borderId="46" xfId="0" applyNumberFormat="1" applyBorder="1" applyAlignment="1">
      <alignment horizontal="center"/>
    </xf>
    <xf numFmtId="187" fontId="0" fillId="0" borderId="43" xfId="0" applyNumberForma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87" fontId="0" fillId="0" borderId="47" xfId="0" applyNumberFormat="1" applyBorder="1" applyAlignment="1">
      <alignment horizontal="left"/>
    </xf>
    <xf numFmtId="187" fontId="0" fillId="0" borderId="20" xfId="0" applyNumberFormat="1" applyBorder="1" applyAlignment="1">
      <alignment horizontal="center"/>
    </xf>
    <xf numFmtId="187" fontId="0" fillId="0" borderId="48" xfId="0" applyNumberFormat="1" applyBorder="1" applyAlignment="1">
      <alignment horizontal="center"/>
    </xf>
    <xf numFmtId="187" fontId="0" fillId="0" borderId="49" xfId="0" applyNumberFormat="1" applyBorder="1" applyAlignment="1">
      <alignment horizontal="left"/>
    </xf>
    <xf numFmtId="187" fontId="0" fillId="0" borderId="14" xfId="0" applyNumberFormat="1" applyBorder="1" applyAlignment="1">
      <alignment horizontal="center"/>
    </xf>
    <xf numFmtId="187" fontId="5" fillId="0" borderId="14" xfId="0" applyNumberFormat="1" applyFont="1" applyFill="1" applyBorder="1" applyAlignment="1">
      <alignment horizontal="center"/>
    </xf>
    <xf numFmtId="187" fontId="3" fillId="0" borderId="14" xfId="0" applyNumberFormat="1" applyFont="1" applyFill="1" applyBorder="1" applyAlignment="1">
      <alignment horizontal="center"/>
    </xf>
    <xf numFmtId="187" fontId="3" fillId="3" borderId="14" xfId="0" applyNumberFormat="1" applyFont="1" applyFill="1" applyBorder="1" applyAlignment="1">
      <alignment horizontal="center"/>
    </xf>
    <xf numFmtId="187" fontId="3" fillId="0" borderId="50" xfId="0" applyNumberFormat="1" applyFont="1" applyFill="1" applyBorder="1" applyAlignment="1">
      <alignment horizontal="center"/>
    </xf>
    <xf numFmtId="187" fontId="0" fillId="0" borderId="49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87" fontId="5" fillId="0" borderId="55" xfId="0" applyNumberFormat="1" applyFont="1" applyFill="1" applyBorder="1" applyAlignment="1">
      <alignment horizontal="center"/>
    </xf>
    <xf numFmtId="187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87" fontId="0" fillId="0" borderId="58" xfId="0" applyNumberFormat="1" applyBorder="1" applyAlignment="1">
      <alignment horizontal="center"/>
    </xf>
    <xf numFmtId="187" fontId="0" fillId="0" borderId="23" xfId="0" applyNumberFormat="1" applyBorder="1" applyAlignment="1">
      <alignment horizontal="center"/>
    </xf>
    <xf numFmtId="187" fontId="0" fillId="0" borderId="59" xfId="0" applyNumberFormat="1" applyBorder="1" applyAlignment="1">
      <alignment horizontal="center"/>
    </xf>
    <xf numFmtId="187" fontId="5" fillId="0" borderId="60" xfId="0" applyNumberFormat="1" applyFont="1" applyFill="1" applyBorder="1" applyAlignment="1">
      <alignment horizontal="center"/>
    </xf>
    <xf numFmtId="187" fontId="3" fillId="3" borderId="20" xfId="0" applyNumberFormat="1" applyFont="1" applyFill="1" applyBorder="1" applyAlignment="1">
      <alignment horizontal="center"/>
    </xf>
    <xf numFmtId="187" fontId="3" fillId="0" borderId="20" xfId="0" applyNumberFormat="1" applyFont="1" applyFill="1" applyBorder="1" applyAlignment="1">
      <alignment horizontal="center"/>
    </xf>
    <xf numFmtId="187" fontId="5" fillId="3" borderId="20" xfId="0" applyNumberFormat="1" applyFont="1" applyFill="1" applyBorder="1" applyAlignment="1">
      <alignment horizontal="center"/>
    </xf>
    <xf numFmtId="187" fontId="5" fillId="0" borderId="20" xfId="0" applyNumberFormat="1" applyFont="1" applyFill="1" applyBorder="1" applyAlignment="1">
      <alignment horizontal="center"/>
    </xf>
    <xf numFmtId="187" fontId="3" fillId="0" borderId="61" xfId="0" applyNumberFormat="1" applyFont="1" applyFill="1" applyBorder="1" applyAlignment="1">
      <alignment horizontal="center"/>
    </xf>
    <xf numFmtId="187" fontId="0" fillId="0" borderId="62" xfId="0" applyNumberFormat="1" applyBorder="1" applyAlignment="1">
      <alignment horizontal="center"/>
    </xf>
    <xf numFmtId="187" fontId="0" fillId="0" borderId="63" xfId="0" applyNumberFormat="1" applyBorder="1" applyAlignment="1">
      <alignment horizontal="center"/>
    </xf>
    <xf numFmtId="187" fontId="0" fillId="0" borderId="64" xfId="0" applyNumberFormat="1" applyBorder="1" applyAlignment="1">
      <alignment horizontal="center"/>
    </xf>
    <xf numFmtId="187" fontId="10" fillId="0" borderId="64" xfId="0" applyNumberFormat="1" applyFont="1" applyBorder="1" applyAlignment="1">
      <alignment horizontal="center"/>
    </xf>
    <xf numFmtId="187" fontId="0" fillId="0" borderId="65" xfId="0" applyNumberFormat="1" applyBorder="1" applyAlignment="1">
      <alignment horizontal="center"/>
    </xf>
    <xf numFmtId="187" fontId="11" fillId="0" borderId="66" xfId="0" applyNumberFormat="1" applyFont="1" applyBorder="1" applyAlignment="1">
      <alignment horizontal="center"/>
    </xf>
    <xf numFmtId="187" fontId="11" fillId="0" borderId="67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0" fontId="1" fillId="0" borderId="0" xfId="19" applyFont="1">
      <alignment/>
      <protection/>
    </xf>
    <xf numFmtId="181" fontId="3" fillId="0" borderId="59" xfId="0" applyNumberFormat="1" applyFont="1" applyFill="1" applyBorder="1" applyAlignment="1">
      <alignment horizontal="center"/>
    </xf>
    <xf numFmtId="181" fontId="3" fillId="0" borderId="58" xfId="0" applyNumberFormat="1" applyFont="1" applyFill="1" applyBorder="1" applyAlignment="1">
      <alignment horizontal="center"/>
    </xf>
    <xf numFmtId="181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09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Lmag_hcmqap!$B$4:$F$4</c:f>
              <c:numCache>
                <c:ptCount val="5"/>
                <c:pt idx="0">
                  <c:v>1.2610399200000002</c:v>
                </c:pt>
                <c:pt idx="1">
                  <c:v>-0.70416044</c:v>
                </c:pt>
                <c:pt idx="2">
                  <c:v>1.8530998999999997</c:v>
                </c:pt>
                <c:pt idx="3">
                  <c:v>1.2019632</c:v>
                </c:pt>
                <c:pt idx="4">
                  <c:v>-2.7143991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Lmag_hcmqap!$B$17:$F$17</c:f>
              <c:numCache>
                <c:ptCount val="5"/>
                <c:pt idx="0">
                  <c:v>-0.5717447099999999</c:v>
                </c:pt>
                <c:pt idx="1">
                  <c:v>-1.4911373</c:v>
                </c:pt>
                <c:pt idx="2">
                  <c:v>-0.9715896299999999</c:v>
                </c:pt>
                <c:pt idx="3">
                  <c:v>0.16532576</c:v>
                </c:pt>
                <c:pt idx="4">
                  <c:v>9.2363822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Lmag_hcmqap!$B$7:$F$7</c:f>
              <c:numCache>
                <c:ptCount val="5"/>
                <c:pt idx="0">
                  <c:v>4.059026900000001</c:v>
                </c:pt>
                <c:pt idx="1">
                  <c:v>4.9289762999999995</c:v>
                </c:pt>
                <c:pt idx="2">
                  <c:v>4.9878003</c:v>
                </c:pt>
                <c:pt idx="3">
                  <c:v>5.138575800000001</c:v>
                </c:pt>
                <c:pt idx="4">
                  <c:v>14.326618000000002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00FF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Lmag_hcmqap!$B$20:$F$20</c:f>
              <c:numCache>
                <c:ptCount val="5"/>
                <c:pt idx="0">
                  <c:v>0.194098957</c:v>
                </c:pt>
                <c:pt idx="1">
                  <c:v>0.32755303</c:v>
                </c:pt>
                <c:pt idx="2">
                  <c:v>0.08510671</c:v>
                </c:pt>
                <c:pt idx="3">
                  <c:v>-0.039998139999999995</c:v>
                </c:pt>
                <c:pt idx="4">
                  <c:v>2.7326287999999996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Lmag_hcmqap!$B$11:$F$11</c:f>
              <c:numCache>
                <c:ptCount val="5"/>
                <c:pt idx="0">
                  <c:v>-0.39415743000000003</c:v>
                </c:pt>
                <c:pt idx="1">
                  <c:v>-0.13406979400000002</c:v>
                </c:pt>
                <c:pt idx="2">
                  <c:v>-0.12985193</c:v>
                </c:pt>
                <c:pt idx="3">
                  <c:v>-0.15717134</c:v>
                </c:pt>
                <c:pt idx="4">
                  <c:v>-0.49500181000000004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Lmag_hcmqap!$B$24:$F$24</c:f>
              <c:numCache>
                <c:ptCount val="5"/>
                <c:pt idx="0">
                  <c:v>0.043112325</c:v>
                </c:pt>
                <c:pt idx="1">
                  <c:v>0.03635324299999999</c:v>
                </c:pt>
                <c:pt idx="2">
                  <c:v>-0.026186222999999998</c:v>
                </c:pt>
                <c:pt idx="3">
                  <c:v>-0.023703608000000004</c:v>
                </c:pt>
                <c:pt idx="4">
                  <c:v>0.13470996</c:v>
                </c:pt>
              </c:numCache>
            </c:numRef>
          </c:val>
          <c:smooth val="0"/>
        </c:ser>
        <c:marker val="1"/>
        <c:axId val="52010761"/>
        <c:axId val="65443666"/>
      </c:lineChart>
      <c:catAx>
        <c:axId val="520107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5443666"/>
        <c:crosses val="autoZero"/>
        <c:auto val="1"/>
        <c:lblOffset val="100"/>
        <c:noMultiLvlLbl val="0"/>
      </c:catAx>
      <c:valAx>
        <c:axId val="65443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5201076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35</xdr:row>
      <xdr:rowOff>123825</xdr:rowOff>
    </xdr:from>
    <xdr:to>
      <xdr:col>7</xdr:col>
      <xdr:colOff>19050</xdr:colOff>
      <xdr:row>55</xdr:row>
      <xdr:rowOff>9525</xdr:rowOff>
    </xdr:to>
    <xdr:graphicFrame>
      <xdr:nvGraphicFramePr>
        <xdr:cNvPr id="1" name="Chart 1"/>
        <xdr:cNvGraphicFramePr/>
      </xdr:nvGraphicFramePr>
      <xdr:xfrm>
        <a:off x="171450" y="5943600"/>
        <a:ext cx="5381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5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>
        <v>44023</v>
      </c>
      <c r="B2" s="24">
        <v>80</v>
      </c>
      <c r="C2" s="24" t="s">
        <v>69</v>
      </c>
      <c r="D2" s="25">
        <v>5</v>
      </c>
      <c r="E2" s="25">
        <v>1</v>
      </c>
      <c r="F2" s="26"/>
      <c r="G2" s="26" t="s">
        <v>68</v>
      </c>
      <c r="H2" s="25">
        <v>1099</v>
      </c>
      <c r="I2" s="27" t="s">
        <v>70</v>
      </c>
      <c r="J2" s="30"/>
      <c r="K2" s="28"/>
      <c r="L2" s="28"/>
      <c r="M2" s="28"/>
      <c r="N2" s="28"/>
    </row>
    <row r="3" spans="1:14" s="29" customFormat="1" ht="15" customHeight="1">
      <c r="A3" s="40">
        <v>44023</v>
      </c>
      <c r="B3" s="24">
        <v>80</v>
      </c>
      <c r="C3" s="24" t="s">
        <v>69</v>
      </c>
      <c r="D3" s="25">
        <v>5</v>
      </c>
      <c r="E3" s="25">
        <v>2</v>
      </c>
      <c r="F3" s="26"/>
      <c r="G3" s="26" t="s">
        <v>72</v>
      </c>
      <c r="H3" s="25">
        <v>1099</v>
      </c>
      <c r="I3" s="27" t="s">
        <v>73</v>
      </c>
      <c r="J3" s="30"/>
      <c r="K3" s="28"/>
      <c r="L3" s="28"/>
      <c r="M3" s="28"/>
      <c r="N3" s="28"/>
    </row>
    <row r="4" spans="1:14" s="29" customFormat="1" ht="15" customHeight="1">
      <c r="A4" s="40">
        <v>44023</v>
      </c>
      <c r="B4" s="24">
        <v>80</v>
      </c>
      <c r="C4" s="24" t="s">
        <v>69</v>
      </c>
      <c r="D4" s="25">
        <v>5</v>
      </c>
      <c r="E4" s="25">
        <v>3</v>
      </c>
      <c r="F4" s="26"/>
      <c r="G4" s="26" t="s">
        <v>74</v>
      </c>
      <c r="H4" s="25">
        <v>1099</v>
      </c>
      <c r="I4" s="27" t="s">
        <v>75</v>
      </c>
      <c r="J4" s="30"/>
      <c r="K4" s="31"/>
      <c r="L4" s="31"/>
      <c r="M4" s="31"/>
      <c r="N4" s="28"/>
    </row>
    <row r="5" spans="1:14" s="29" customFormat="1" ht="15" customHeight="1">
      <c r="A5" s="40">
        <v>44023</v>
      </c>
      <c r="B5" s="24">
        <v>80</v>
      </c>
      <c r="C5" s="24" t="s">
        <v>69</v>
      </c>
      <c r="D5" s="25">
        <v>5</v>
      </c>
      <c r="E5" s="25">
        <v>4</v>
      </c>
      <c r="F5" s="26"/>
      <c r="G5" s="26" t="s">
        <v>77</v>
      </c>
      <c r="H5" s="25">
        <v>1099</v>
      </c>
      <c r="I5" s="27" t="s">
        <v>78</v>
      </c>
      <c r="J5" s="30"/>
      <c r="K5" s="28"/>
      <c r="L5" s="28"/>
      <c r="M5" s="28"/>
      <c r="N5" s="28"/>
    </row>
    <row r="6" spans="1:14" s="29" customFormat="1" ht="15" customHeight="1">
      <c r="A6" s="40">
        <v>44023</v>
      </c>
      <c r="B6" s="24">
        <v>80</v>
      </c>
      <c r="C6" s="24" t="s">
        <v>69</v>
      </c>
      <c r="D6" s="25">
        <v>5</v>
      </c>
      <c r="E6" s="25">
        <v>5</v>
      </c>
      <c r="F6" s="26"/>
      <c r="G6" s="26" t="s">
        <v>80</v>
      </c>
      <c r="H6" s="25">
        <v>1099</v>
      </c>
      <c r="I6" s="27" t="s">
        <v>81</v>
      </c>
      <c r="J6" s="30"/>
      <c r="K6" s="28"/>
      <c r="L6" s="28"/>
      <c r="M6" s="28"/>
      <c r="N6" s="28"/>
    </row>
    <row r="7" spans="1:14" s="29" customFormat="1" ht="15" customHeight="1">
      <c r="A7" s="40" t="s">
        <v>82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8" customHeight="1">
      <c r="A9" s="41"/>
      <c r="B9" s="24"/>
      <c r="C9" s="24"/>
      <c r="D9" s="25"/>
      <c r="E9" s="33"/>
      <c r="F9" s="34"/>
      <c r="G9"/>
      <c r="H9" s="33"/>
      <c r="I9" s="35"/>
      <c r="J9" s="36"/>
      <c r="K9" s="37"/>
      <c r="L9" s="37"/>
      <c r="M9" s="28"/>
      <c r="N9" s="28"/>
    </row>
    <row r="10" spans="1:14" s="29" customFormat="1" ht="18" customHeight="1">
      <c r="A10" s="40"/>
      <c r="B10" s="24"/>
      <c r="C10" s="24"/>
      <c r="D10" s="38"/>
      <c r="E10" s="33"/>
      <c r="F10" s="34"/>
      <c r="G10" s="34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25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5" customHeight="1">
      <c r="A12" s="40"/>
      <c r="B12" s="24"/>
      <c r="C12" s="24"/>
      <c r="D12" s="25"/>
      <c r="E12" s="25"/>
      <c r="F12" s="26"/>
      <c r="G12" s="26"/>
      <c r="H12" s="25"/>
      <c r="I12" s="27"/>
      <c r="J12" s="30"/>
      <c r="K12" s="31"/>
      <c r="L12" s="28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8"/>
      <c r="J13" s="30"/>
      <c r="K13" s="31"/>
      <c r="L13" s="28"/>
      <c r="M13" s="28"/>
      <c r="N13" s="28"/>
    </row>
    <row r="14" spans="1:14" s="2" customFormat="1" ht="18" customHeight="1">
      <c r="A14" s="42"/>
      <c r="B14" s="20"/>
      <c r="C14" s="20"/>
      <c r="D14" s="15"/>
      <c r="E14" s="15"/>
      <c r="F14" s="22"/>
      <c r="G14" s="22"/>
      <c r="H14" s="15"/>
      <c r="I14" s="23"/>
      <c r="J14" s="17"/>
      <c r="K14" s="4"/>
      <c r="L14" s="4"/>
      <c r="M14" s="4"/>
      <c r="N14" s="4"/>
    </row>
    <row r="15" spans="10:14" ht="15" customHeight="1">
      <c r="J15" s="32"/>
      <c r="N15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-7.304896000000001E-06</v>
      </c>
      <c r="L2" s="54">
        <v>9.444380050592083E-08</v>
      </c>
      <c r="M2" s="54">
        <v>5.4096256E-05</v>
      </c>
      <c r="N2" s="55">
        <v>1.7508868111350146E-07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-3.2196815999999993E-05</v>
      </c>
      <c r="L3" s="54">
        <v>6.056671424258476E-07</v>
      </c>
      <c r="M3" s="54">
        <v>1.4309228000000002E-05</v>
      </c>
      <c r="N3" s="55">
        <v>1.205396975522161E-07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-0.0022566904004365303</v>
      </c>
      <c r="L4" s="54">
        <v>2.2792573524338608E-05</v>
      </c>
      <c r="M4" s="54">
        <v>4.3777857556254697E-08</v>
      </c>
      <c r="N4" s="55">
        <v>-5.049828400000001</v>
      </c>
    </row>
    <row r="5" spans="1:14" ht="15" customHeight="1" thickBot="1">
      <c r="A5" t="s">
        <v>18</v>
      </c>
      <c r="B5" s="58">
        <v>37567.436886574076</v>
      </c>
      <c r="D5" s="59"/>
      <c r="E5" s="60" t="s">
        <v>59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1099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1.2610399200000002</v>
      </c>
      <c r="E8" s="77">
        <v>0.025587928105444937</v>
      </c>
      <c r="F8" s="77">
        <v>-0.5717447099999999</v>
      </c>
      <c r="G8" s="77">
        <v>0.030413291093607776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0.11259148000000001</v>
      </c>
      <c r="E9" s="79">
        <v>0.015209730989817018</v>
      </c>
      <c r="F9" s="79">
        <v>0.6935460699999999</v>
      </c>
      <c r="G9" s="79">
        <v>0.020156429414500632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0.6982762499999999</v>
      </c>
      <c r="E10" s="79">
        <v>0.015544593025132388</v>
      </c>
      <c r="F10" s="79">
        <v>-0.72340296</v>
      </c>
      <c r="G10" s="79">
        <v>0.012865751474025085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1</v>
      </c>
      <c r="D11" s="76">
        <v>4.059026900000001</v>
      </c>
      <c r="E11" s="77">
        <v>0.005703504723525557</v>
      </c>
      <c r="F11" s="77">
        <v>0.194098957</v>
      </c>
      <c r="G11" s="77">
        <v>0.007648538895328103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3">
        <v>0.7499</v>
      </c>
      <c r="D12" s="82">
        <v>-0.128357944</v>
      </c>
      <c r="E12" s="79">
        <v>0.009914893830248104</v>
      </c>
      <c r="F12" s="79">
        <v>-0.015368663</v>
      </c>
      <c r="G12" s="79">
        <v>0.006693598431944214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19.403077</v>
      </c>
      <c r="D13" s="82">
        <v>-0.011276217</v>
      </c>
      <c r="E13" s="79">
        <v>0.006572747765573085</v>
      </c>
      <c r="F13" s="79">
        <v>0.09376357900000001</v>
      </c>
      <c r="G13" s="79">
        <v>0.00515028442529281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4">
        <v>12.5</v>
      </c>
      <c r="D14" s="82">
        <v>0.06000913142000001</v>
      </c>
      <c r="E14" s="79">
        <v>0.004646495521461188</v>
      </c>
      <c r="F14" s="79">
        <v>0.110894215</v>
      </c>
      <c r="G14" s="79">
        <v>0.003573023766966779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-0.39415743000000003</v>
      </c>
      <c r="E15" s="77">
        <v>0.003127756276085345</v>
      </c>
      <c r="F15" s="77">
        <v>0.043112325</v>
      </c>
      <c r="G15" s="77">
        <v>0.0037831615157232815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12.5055</v>
      </c>
      <c r="D16" s="82">
        <v>-0.009286255000000002</v>
      </c>
      <c r="E16" s="79">
        <v>0.0030038999668897067</v>
      </c>
      <c r="F16" s="79">
        <v>-0.007209187000000001</v>
      </c>
      <c r="G16" s="79">
        <v>0.0006887620612998344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0.4059999883174896</v>
      </c>
      <c r="D17" s="82">
        <v>0.03195714200000001</v>
      </c>
      <c r="E17" s="79">
        <v>0.002046432796163975</v>
      </c>
      <c r="F17" s="79">
        <v>-0.0030322649999999997</v>
      </c>
      <c r="G17" s="79">
        <v>0.0015797297875364638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4.068999767303467</v>
      </c>
      <c r="D18" s="82">
        <v>0.0029253084</v>
      </c>
      <c r="E18" s="79">
        <v>0.0016543511643805078</v>
      </c>
      <c r="F18" s="79">
        <v>0.075208069</v>
      </c>
      <c r="G18" s="79">
        <v>0.002053382757012027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0.1889999955892563</v>
      </c>
      <c r="D19" s="85">
        <v>-0.19579449000000002</v>
      </c>
      <c r="E19" s="79">
        <v>0.0010545617902229078</v>
      </c>
      <c r="F19" s="79">
        <v>-0.00200705461</v>
      </c>
      <c r="G19" s="79">
        <v>0.0011283873912298892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6">
        <v>-0.059129999999999995</v>
      </c>
      <c r="D20" s="87">
        <v>-0.0041250667</v>
      </c>
      <c r="E20" s="88">
        <v>0.001859743676585555</v>
      </c>
      <c r="F20" s="88">
        <v>-0.00029140940000000015</v>
      </c>
      <c r="G20" s="88">
        <v>0.0019249071341644617</v>
      </c>
      <c r="H20" s="89">
        <v>15</v>
      </c>
      <c r="I20" s="88">
        <v>0</v>
      </c>
      <c r="J20" s="88">
        <v>0</v>
      </c>
      <c r="K20" s="88">
        <v>0</v>
      </c>
      <c r="L20" s="88">
        <v>0</v>
      </c>
      <c r="M20" s="88">
        <v>0.05</v>
      </c>
      <c r="N20" s="90">
        <v>0.05</v>
      </c>
    </row>
    <row r="21" spans="1:6" ht="15" customHeight="1">
      <c r="A21" s="56" t="s">
        <v>42</v>
      </c>
      <c r="B21" s="86">
        <v>0.4069070999999999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1" t="s">
        <v>45</v>
      </c>
      <c r="B23" s="92">
        <v>15</v>
      </c>
    </row>
    <row r="24" spans="1:12" ht="18" customHeight="1" thickBot="1" thickTop="1">
      <c r="A24" s="93" t="s">
        <v>67</v>
      </c>
      <c r="B24" s="94">
        <v>-0.28933409897535967</v>
      </c>
      <c r="E24" s="95"/>
      <c r="F24" s="96"/>
      <c r="G24" s="97" t="s">
        <v>46</v>
      </c>
      <c r="H24" s="96"/>
      <c r="I24" s="96"/>
      <c r="J24" s="96"/>
      <c r="K24" s="96"/>
      <c r="L24" s="98"/>
    </row>
    <row r="25" spans="1:12" ht="18" customHeight="1">
      <c r="A25" s="44" t="s">
        <v>47</v>
      </c>
      <c r="B25" s="45">
        <v>10</v>
      </c>
      <c r="E25" s="99" t="s">
        <v>48</v>
      </c>
      <c r="F25" s="100"/>
      <c r="G25" s="101"/>
      <c r="H25" s="102">
        <v>-2.2568055</v>
      </c>
      <c r="I25" s="100" t="s">
        <v>49</v>
      </c>
      <c r="J25" s="101"/>
      <c r="K25" s="100"/>
      <c r="L25" s="103">
        <v>4.063665067403083</v>
      </c>
    </row>
    <row r="26" spans="1:12" ht="18" customHeight="1" thickBot="1">
      <c r="A26" s="56" t="s">
        <v>50</v>
      </c>
      <c r="B26" s="57" t="s">
        <v>51</v>
      </c>
      <c r="E26" s="104" t="s">
        <v>52</v>
      </c>
      <c r="F26" s="105"/>
      <c r="G26" s="106"/>
      <c r="H26" s="107">
        <v>1.3845987481023485</v>
      </c>
      <c r="I26" s="105" t="s">
        <v>53</v>
      </c>
      <c r="J26" s="106"/>
      <c r="K26" s="105"/>
      <c r="L26" s="108">
        <v>0.396508199399597</v>
      </c>
    </row>
    <row r="27" spans="1:2" ht="15" customHeight="1" thickBot="1" thickTop="1">
      <c r="A27" s="91" t="s">
        <v>54</v>
      </c>
      <c r="B27" s="92">
        <v>80</v>
      </c>
    </row>
    <row r="28" spans="1:14" s="2" customFormat="1" ht="18" customHeight="1" thickBot="1">
      <c r="A28" s="109" t="s">
        <v>55</v>
      </c>
      <c r="B28" s="110"/>
      <c r="C28" s="110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2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HCMQAP0009-02_pos1_10991029aper2res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-1.4991828E-05</v>
      </c>
      <c r="L2" s="54">
        <v>1.2941861282686475E-07</v>
      </c>
      <c r="M2" s="54">
        <v>8.978053399999999E-05</v>
      </c>
      <c r="N2" s="55">
        <v>2.3180850448869972E-07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-2.8999785999999998E-05</v>
      </c>
      <c r="L3" s="54">
        <v>7.107023071620397E-08</v>
      </c>
      <c r="M3" s="54">
        <v>1.2984146E-05</v>
      </c>
      <c r="N3" s="55">
        <v>1.2392070365335947E-07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-0.0037605475383049283</v>
      </c>
      <c r="L4" s="54">
        <v>4.0479698441384565E-05</v>
      </c>
      <c r="M4" s="54">
        <v>3.525529571213972E-08</v>
      </c>
      <c r="N4" s="55">
        <v>-5.381946999999999</v>
      </c>
    </row>
    <row r="5" spans="1:14" ht="15" customHeight="1" thickBot="1">
      <c r="A5" t="s">
        <v>18</v>
      </c>
      <c r="B5" s="58">
        <v>37567.44142361111</v>
      </c>
      <c r="D5" s="59"/>
      <c r="E5" s="60" t="s">
        <v>71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1099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-0.70416044</v>
      </c>
      <c r="E8" s="77">
        <v>0.011232548090676505</v>
      </c>
      <c r="F8" s="77">
        <v>-1.4911373</v>
      </c>
      <c r="G8" s="77">
        <v>0.009804903245798144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-0.25122758</v>
      </c>
      <c r="E9" s="79">
        <v>0.014619302292846196</v>
      </c>
      <c r="F9" s="79">
        <v>0.123943905</v>
      </c>
      <c r="G9" s="79">
        <v>0.00862412862460292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0.2671851042</v>
      </c>
      <c r="E10" s="79">
        <v>0.005661945430588422</v>
      </c>
      <c r="F10" s="79">
        <v>-1.5421144999999998</v>
      </c>
      <c r="G10" s="79">
        <v>0.007258424539841833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2</v>
      </c>
      <c r="D11" s="76">
        <v>4.9289762999999995</v>
      </c>
      <c r="E11" s="77">
        <v>0.005219112085748662</v>
      </c>
      <c r="F11" s="77">
        <v>0.32755303</v>
      </c>
      <c r="G11" s="77">
        <v>0.008219310329253176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3">
        <v>0.7499</v>
      </c>
      <c r="D12" s="82">
        <v>-0.15474678</v>
      </c>
      <c r="E12" s="79">
        <v>0.005288538948859401</v>
      </c>
      <c r="F12" s="79">
        <v>-0.1178975839</v>
      </c>
      <c r="G12" s="79">
        <v>0.005509556740302361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19.393921</v>
      </c>
      <c r="D13" s="82">
        <v>-0.007905660000000002</v>
      </c>
      <c r="E13" s="79">
        <v>0.0033167609674801713</v>
      </c>
      <c r="F13" s="79">
        <v>0.09566445999999999</v>
      </c>
      <c r="G13" s="79">
        <v>0.0028579320642703977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4">
        <v>12.5</v>
      </c>
      <c r="D14" s="82">
        <v>0.02052426817</v>
      </c>
      <c r="E14" s="79">
        <v>0.0022444390242488403</v>
      </c>
      <c r="F14" s="79">
        <v>0.006082570999999999</v>
      </c>
      <c r="G14" s="79">
        <v>0.0031174437792980333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-0.13406979400000002</v>
      </c>
      <c r="E15" s="77">
        <v>0.001728986478778749</v>
      </c>
      <c r="F15" s="77">
        <v>0.03635324299999999</v>
      </c>
      <c r="G15" s="77">
        <v>0.002038990029349381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12.5055</v>
      </c>
      <c r="D16" s="82">
        <v>0.0091549879</v>
      </c>
      <c r="E16" s="79">
        <v>0.0007887241733648386</v>
      </c>
      <c r="F16" s="79">
        <v>-0.015395376000000002</v>
      </c>
      <c r="G16" s="79">
        <v>0.0010202699521861596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-0.18400000035762787</v>
      </c>
      <c r="D17" s="82">
        <v>0.034261915</v>
      </c>
      <c r="E17" s="79">
        <v>0.0016033030783135908</v>
      </c>
      <c r="F17" s="79">
        <v>0.011181578</v>
      </c>
      <c r="G17" s="79">
        <v>0.0009468581683367398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68.15599822998047</v>
      </c>
      <c r="D18" s="82">
        <v>0.0044717443</v>
      </c>
      <c r="E18" s="79">
        <v>0.0011314519260044841</v>
      </c>
      <c r="F18" s="79">
        <v>0.07935626</v>
      </c>
      <c r="G18" s="79">
        <v>0.0007264208043965514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-0.4320000112056732</v>
      </c>
      <c r="D19" s="85">
        <v>-0.18903514999999999</v>
      </c>
      <c r="E19" s="79">
        <v>0.000431017950902124</v>
      </c>
      <c r="F19" s="79">
        <v>0.0029356721399999997</v>
      </c>
      <c r="G19" s="79">
        <v>0.00022211168038622304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6">
        <v>-0.0721262</v>
      </c>
      <c r="D20" s="87">
        <v>-0.0016549172809999999</v>
      </c>
      <c r="E20" s="88">
        <v>0.000683127131944955</v>
      </c>
      <c r="F20" s="88">
        <v>-0.0003302104</v>
      </c>
      <c r="G20" s="88">
        <v>0.0004445830434990071</v>
      </c>
      <c r="H20" s="89">
        <v>15</v>
      </c>
      <c r="I20" s="88">
        <v>0</v>
      </c>
      <c r="J20" s="88">
        <v>0</v>
      </c>
      <c r="K20" s="88">
        <v>0</v>
      </c>
      <c r="L20" s="88">
        <v>0</v>
      </c>
      <c r="M20" s="88">
        <v>0.05</v>
      </c>
      <c r="N20" s="90">
        <v>0.05</v>
      </c>
    </row>
    <row r="21" spans="1:6" ht="15" customHeight="1">
      <c r="A21" s="56" t="s">
        <v>42</v>
      </c>
      <c r="B21" s="86">
        <v>0.40509129999999993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1" t="s">
        <v>45</v>
      </c>
      <c r="B23" s="92">
        <v>15</v>
      </c>
    </row>
    <row r="24" spans="1:12" ht="18" customHeight="1" thickBot="1" thickTop="1">
      <c r="A24" s="93" t="s">
        <v>67</v>
      </c>
      <c r="B24" s="94">
        <v>-0.3083631091262704</v>
      </c>
      <c r="E24" s="95"/>
      <c r="F24" s="96"/>
      <c r="G24" s="97" t="s">
        <v>46</v>
      </c>
      <c r="H24" s="96"/>
      <c r="I24" s="96"/>
      <c r="J24" s="96"/>
      <c r="K24" s="96"/>
      <c r="L24" s="98"/>
    </row>
    <row r="25" spans="1:12" ht="18" customHeight="1">
      <c r="A25" s="44" t="s">
        <v>47</v>
      </c>
      <c r="B25" s="45">
        <v>10</v>
      </c>
      <c r="E25" s="99" t="s">
        <v>48</v>
      </c>
      <c r="F25" s="100"/>
      <c r="G25" s="101"/>
      <c r="H25" s="102">
        <v>-3.7607654000000004</v>
      </c>
      <c r="I25" s="100" t="s">
        <v>49</v>
      </c>
      <c r="J25" s="101"/>
      <c r="K25" s="100"/>
      <c r="L25" s="103">
        <v>4.9398480091419685</v>
      </c>
    </row>
    <row r="26" spans="1:12" ht="18" customHeight="1" thickBot="1">
      <c r="A26" s="56" t="s">
        <v>50</v>
      </c>
      <c r="B26" s="57" t="s">
        <v>51</v>
      </c>
      <c r="E26" s="104" t="s">
        <v>52</v>
      </c>
      <c r="F26" s="105"/>
      <c r="G26" s="106"/>
      <c r="H26" s="107">
        <v>1.6490398335735508</v>
      </c>
      <c r="I26" s="105" t="s">
        <v>53</v>
      </c>
      <c r="J26" s="106"/>
      <c r="K26" s="105"/>
      <c r="L26" s="108">
        <v>0.13891100726659314</v>
      </c>
    </row>
    <row r="27" spans="1:2" ht="15" customHeight="1" thickBot="1" thickTop="1">
      <c r="A27" s="91" t="s">
        <v>54</v>
      </c>
      <c r="B27" s="92">
        <v>80</v>
      </c>
    </row>
    <row r="28" spans="1:14" s="2" customFormat="1" ht="18" customHeight="1" thickBot="1">
      <c r="A28" s="109" t="s">
        <v>55</v>
      </c>
      <c r="B28" s="110"/>
      <c r="C28" s="110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2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HCMQAP0009-02_pos2_10991035aper2res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28"/>
  <sheetViews>
    <sheetView workbookViewId="0" topLeftCell="A1">
      <selection activeCell="A1" sqref="A1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-2.5335240699999998E-05</v>
      </c>
      <c r="L2" s="54">
        <v>1.2125511789193105E-07</v>
      </c>
      <c r="M2" s="54">
        <v>9.3957283E-05</v>
      </c>
      <c r="N2" s="55">
        <v>5.678539854535555E-08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-2.7766961299999995E-05</v>
      </c>
      <c r="L3" s="54">
        <v>5.35135190034629E-08</v>
      </c>
      <c r="M3" s="54">
        <v>1.0851977E-05</v>
      </c>
      <c r="N3" s="55">
        <v>9.677255833145267E-08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-0.0037605228765257813</v>
      </c>
      <c r="L4" s="54">
        <v>4.1900395176552386E-05</v>
      </c>
      <c r="M4" s="54">
        <v>5.930989454524759E-08</v>
      </c>
      <c r="N4" s="55">
        <v>-5.570855800000001</v>
      </c>
    </row>
    <row r="5" spans="1:14" ht="15" customHeight="1" thickBot="1">
      <c r="A5" t="s">
        <v>18</v>
      </c>
      <c r="B5" s="58">
        <v>37567.446180555555</v>
      </c>
      <c r="D5" s="59"/>
      <c r="E5" s="60" t="s">
        <v>71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1099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1.8530998999999997</v>
      </c>
      <c r="E8" s="77">
        <v>0.010073976461193679</v>
      </c>
      <c r="F8" s="77">
        <v>-0.9715896299999999</v>
      </c>
      <c r="G8" s="77">
        <v>0.008721491704104103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-0.25066522999999996</v>
      </c>
      <c r="E9" s="79">
        <v>0.016254450616541787</v>
      </c>
      <c r="F9" s="79">
        <v>1.04061079</v>
      </c>
      <c r="G9" s="79">
        <v>0.005029347112382546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-0.36548341000000006</v>
      </c>
      <c r="E10" s="79">
        <v>0.0028274494963474615</v>
      </c>
      <c r="F10" s="79">
        <v>-1.8978771</v>
      </c>
      <c r="G10" s="79">
        <v>0.006896720875848992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3</v>
      </c>
      <c r="D11" s="76">
        <v>4.9878003</v>
      </c>
      <c r="E11" s="77">
        <v>0.003962254870190304</v>
      </c>
      <c r="F11" s="77">
        <v>0.08510671</v>
      </c>
      <c r="G11" s="77">
        <v>0.005654027938239975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3">
        <v>0.7499</v>
      </c>
      <c r="D12" s="82">
        <v>0.105800384</v>
      </c>
      <c r="E12" s="79">
        <v>0.0038482087283217364</v>
      </c>
      <c r="F12" s="79">
        <v>-0.1495976625</v>
      </c>
      <c r="G12" s="79">
        <v>0.004725030747658594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19.372559</v>
      </c>
      <c r="D13" s="82">
        <v>-0.02380806</v>
      </c>
      <c r="E13" s="79">
        <v>0.0027472627015631247</v>
      </c>
      <c r="F13" s="79">
        <v>0.25535457000000006</v>
      </c>
      <c r="G13" s="79">
        <v>0.0028384225405278986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4">
        <v>12.5</v>
      </c>
      <c r="D14" s="82">
        <v>-0.11379686999999998</v>
      </c>
      <c r="E14" s="79">
        <v>0.003924869407331093</v>
      </c>
      <c r="F14" s="79">
        <v>-0.03722088291</v>
      </c>
      <c r="G14" s="79">
        <v>0.0009743167501148327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-0.12985193</v>
      </c>
      <c r="E15" s="77">
        <v>0.001745478124925056</v>
      </c>
      <c r="F15" s="77">
        <v>-0.026186222999999998</v>
      </c>
      <c r="G15" s="77">
        <v>0.003153616252808185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12.5055</v>
      </c>
      <c r="D16" s="82">
        <v>0.024942912</v>
      </c>
      <c r="E16" s="79">
        <v>0.00197660490427937</v>
      </c>
      <c r="F16" s="79">
        <v>-0.019910278999999996</v>
      </c>
      <c r="G16" s="79">
        <v>0.0018921248467065012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0.3930000066757202</v>
      </c>
      <c r="D17" s="82">
        <v>0.029327959999999997</v>
      </c>
      <c r="E17" s="79">
        <v>0.002172669873754445</v>
      </c>
      <c r="F17" s="79">
        <v>0.03557037385</v>
      </c>
      <c r="G17" s="79">
        <v>0.0013024524636313832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-3.052000045776367</v>
      </c>
      <c r="D18" s="82">
        <v>-0.0151462969</v>
      </c>
      <c r="E18" s="79">
        <v>0.000511036735840389</v>
      </c>
      <c r="F18" s="79">
        <v>0.075578811</v>
      </c>
      <c r="G18" s="79">
        <v>0.0012872244928316373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0.08299999684095383</v>
      </c>
      <c r="D19" s="85">
        <v>-0.18712125999999998</v>
      </c>
      <c r="E19" s="79">
        <v>0.00039096538900818255</v>
      </c>
      <c r="F19" s="79">
        <v>-0.00385477043</v>
      </c>
      <c r="G19" s="79">
        <v>0.0008051556206103261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6">
        <v>-0.1192394</v>
      </c>
      <c r="D20" s="87">
        <v>0.0009696628999999998</v>
      </c>
      <c r="E20" s="88">
        <v>0.0006799794574159135</v>
      </c>
      <c r="F20" s="88">
        <v>0.0012883417000000002</v>
      </c>
      <c r="G20" s="88">
        <v>0.00039315027292405547</v>
      </c>
      <c r="H20" s="89">
        <v>15</v>
      </c>
      <c r="I20" s="88">
        <v>0</v>
      </c>
      <c r="J20" s="88">
        <v>0</v>
      </c>
      <c r="K20" s="88">
        <v>0</v>
      </c>
      <c r="L20" s="88">
        <v>0</v>
      </c>
      <c r="M20" s="88">
        <v>0.05</v>
      </c>
      <c r="N20" s="90">
        <v>0.05</v>
      </c>
    </row>
    <row r="21" spans="1:6" ht="15" customHeight="1">
      <c r="A21" s="56" t="s">
        <v>42</v>
      </c>
      <c r="B21" s="86">
        <v>0.4234229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1" t="s">
        <v>45</v>
      </c>
      <c r="B23" s="92">
        <v>15</v>
      </c>
    </row>
    <row r="24" spans="1:12" ht="18" customHeight="1" thickBot="1" thickTop="1">
      <c r="A24" s="93" t="s">
        <v>67</v>
      </c>
      <c r="B24" s="94">
        <v>-0.31918679522152804</v>
      </c>
      <c r="E24" s="95"/>
      <c r="F24" s="96"/>
      <c r="G24" s="97" t="s">
        <v>46</v>
      </c>
      <c r="H24" s="96"/>
      <c r="I24" s="96"/>
      <c r="J24" s="96"/>
      <c r="K24" s="96"/>
      <c r="L24" s="98"/>
    </row>
    <row r="25" spans="1:12" ht="18" customHeight="1">
      <c r="A25" s="44" t="s">
        <v>47</v>
      </c>
      <c r="B25" s="45">
        <v>10</v>
      </c>
      <c r="E25" s="99" t="s">
        <v>48</v>
      </c>
      <c r="F25" s="100"/>
      <c r="G25" s="101"/>
      <c r="H25" s="102">
        <v>-3.7607562999999997</v>
      </c>
      <c r="I25" s="100" t="s">
        <v>49</v>
      </c>
      <c r="J25" s="101"/>
      <c r="K25" s="100"/>
      <c r="L25" s="103">
        <v>4.988526333975507</v>
      </c>
    </row>
    <row r="26" spans="1:12" ht="18" customHeight="1" thickBot="1">
      <c r="A26" s="56" t="s">
        <v>50</v>
      </c>
      <c r="B26" s="57" t="s">
        <v>51</v>
      </c>
      <c r="E26" s="104" t="s">
        <v>52</v>
      </c>
      <c r="F26" s="105"/>
      <c r="G26" s="106"/>
      <c r="H26" s="107">
        <v>2.0923588718247035</v>
      </c>
      <c r="I26" s="105" t="s">
        <v>53</v>
      </c>
      <c r="J26" s="106"/>
      <c r="K26" s="105"/>
      <c r="L26" s="108">
        <v>0.13246600318470633</v>
      </c>
    </row>
    <row r="27" spans="1:2" ht="15" customHeight="1" thickBot="1" thickTop="1">
      <c r="A27" s="91" t="s">
        <v>54</v>
      </c>
      <c r="B27" s="92">
        <v>80</v>
      </c>
    </row>
    <row r="28" spans="1:14" s="2" customFormat="1" ht="18" customHeight="1" thickBot="1">
      <c r="A28" s="109" t="s">
        <v>55</v>
      </c>
      <c r="B28" s="110"/>
      <c r="C28" s="110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2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HCMQAP0009-02_pos3_10991042aper2res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-1.3535899999999999E-05</v>
      </c>
      <c r="L2" s="54">
        <v>5.354828232564264E-08</v>
      </c>
      <c r="M2" s="54">
        <v>0.00014353121</v>
      </c>
      <c r="N2" s="55">
        <v>2.451688589460427E-07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-2.7826314E-05</v>
      </c>
      <c r="L3" s="54">
        <v>1.4716273850470125E-07</v>
      </c>
      <c r="M3" s="54">
        <v>9.459030000000003E-06</v>
      </c>
      <c r="N3" s="55">
        <v>7.103603733330363E-08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-0.0037614719789627504</v>
      </c>
      <c r="L4" s="54">
        <v>2.452035627104419E-05</v>
      </c>
      <c r="M4" s="54">
        <v>6.060395154363455E-08</v>
      </c>
      <c r="N4" s="55">
        <v>-3.2593635</v>
      </c>
    </row>
    <row r="5" spans="1:14" ht="15" customHeight="1" thickBot="1">
      <c r="A5" t="s">
        <v>18</v>
      </c>
      <c r="B5" s="58">
        <v>37567.45092592593</v>
      </c>
      <c r="D5" s="59"/>
      <c r="E5" s="60" t="s">
        <v>76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1099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1.2019632</v>
      </c>
      <c r="E8" s="77">
        <v>0.011334928295309413</v>
      </c>
      <c r="F8" s="77">
        <v>0.16532576</v>
      </c>
      <c r="G8" s="77">
        <v>0.01220083359100516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-0.7912975999999998</v>
      </c>
      <c r="E9" s="79">
        <v>0.0037997333329008675</v>
      </c>
      <c r="F9" s="79">
        <v>0.1821369509</v>
      </c>
      <c r="G9" s="79">
        <v>0.01587284429745754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-0.099154984</v>
      </c>
      <c r="E10" s="79">
        <v>0.0047710980639254115</v>
      </c>
      <c r="F10" s="113">
        <v>-2.4719526000000003</v>
      </c>
      <c r="G10" s="79">
        <v>0.0053469167881461605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4</v>
      </c>
      <c r="D11" s="76">
        <v>5.138575800000001</v>
      </c>
      <c r="E11" s="77">
        <v>0.004313360354557995</v>
      </c>
      <c r="F11" s="77">
        <v>-0.039998139999999995</v>
      </c>
      <c r="G11" s="77">
        <v>0.005858619149031657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3">
        <v>0.7499</v>
      </c>
      <c r="D12" s="82">
        <v>0.3522106</v>
      </c>
      <c r="E12" s="79">
        <v>0.003103907507159893</v>
      </c>
      <c r="F12" s="79">
        <v>-0.20837951100000002</v>
      </c>
      <c r="G12" s="79">
        <v>0.0029373670375281713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19.366456</v>
      </c>
      <c r="D13" s="82">
        <v>-0.014771290000000003</v>
      </c>
      <c r="E13" s="79">
        <v>0.003922732032193886</v>
      </c>
      <c r="F13" s="79">
        <v>0.126903971</v>
      </c>
      <c r="G13" s="79">
        <v>0.0020802476480063013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4">
        <v>12.5</v>
      </c>
      <c r="D14" s="82">
        <v>-0.08393405200000001</v>
      </c>
      <c r="E14" s="79">
        <v>0.0012764260951445433</v>
      </c>
      <c r="F14" s="79">
        <v>0.008234223000000002</v>
      </c>
      <c r="G14" s="79">
        <v>0.002769617974386718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-0.15717134</v>
      </c>
      <c r="E15" s="77">
        <v>0.0009323622795927374</v>
      </c>
      <c r="F15" s="77">
        <v>-0.023703608000000004</v>
      </c>
      <c r="G15" s="77">
        <v>0.0021111984975235904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12.5055</v>
      </c>
      <c r="D16" s="82">
        <v>0.051594370763999996</v>
      </c>
      <c r="E16" s="79">
        <v>0.0017271615199364457</v>
      </c>
      <c r="F16" s="79">
        <v>-0.06236380960000001</v>
      </c>
      <c r="G16" s="79">
        <v>0.001060750911717917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-0.30399999022483826</v>
      </c>
      <c r="D17" s="82">
        <v>0.081787895</v>
      </c>
      <c r="E17" s="79">
        <v>0.001217488087839213</v>
      </c>
      <c r="F17" s="79">
        <v>0.020453776</v>
      </c>
      <c r="G17" s="79">
        <v>0.0012141189508544693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49.33700180053711</v>
      </c>
      <c r="D18" s="82">
        <v>-0.0102381902</v>
      </c>
      <c r="E18" s="79">
        <v>0.0006504004776917476</v>
      </c>
      <c r="F18" s="79">
        <v>0.11704051200000001</v>
      </c>
      <c r="G18" s="79">
        <v>0.0010336121280117077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-0.41999998688697815</v>
      </c>
      <c r="D19" s="85">
        <v>-0.18800144000000002</v>
      </c>
      <c r="E19" s="79">
        <v>0.000610798467078786</v>
      </c>
      <c r="F19" s="79">
        <v>0.00239134723</v>
      </c>
      <c r="G19" s="79">
        <v>0.001214745719714282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6">
        <v>-0.0653863</v>
      </c>
      <c r="D20" s="87">
        <v>-0.00038444330000000004</v>
      </c>
      <c r="E20" s="88">
        <v>0.0005455594871059066</v>
      </c>
      <c r="F20" s="88">
        <v>0.0024076019</v>
      </c>
      <c r="G20" s="88">
        <v>0.0008563197855620534</v>
      </c>
      <c r="H20" s="89">
        <v>15</v>
      </c>
      <c r="I20" s="88">
        <v>0</v>
      </c>
      <c r="J20" s="88">
        <v>0</v>
      </c>
      <c r="K20" s="88">
        <v>0</v>
      </c>
      <c r="L20" s="88">
        <v>0</v>
      </c>
      <c r="M20" s="88">
        <v>0.05</v>
      </c>
      <c r="N20" s="90">
        <v>0.05</v>
      </c>
    </row>
    <row r="21" spans="1:6" ht="15" customHeight="1">
      <c r="A21" s="56" t="s">
        <v>42</v>
      </c>
      <c r="B21" s="86">
        <v>0.6482711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1" t="s">
        <v>45</v>
      </c>
      <c r="B23" s="92">
        <v>15</v>
      </c>
    </row>
    <row r="24" spans="1:12" ht="18" customHeight="1" thickBot="1" thickTop="1">
      <c r="A24" s="93" t="s">
        <v>67</v>
      </c>
      <c r="B24" s="94">
        <v>-0.1867479301882168</v>
      </c>
      <c r="E24" s="95"/>
      <c r="F24" s="96"/>
      <c r="G24" s="97" t="s">
        <v>46</v>
      </c>
      <c r="H24" s="96"/>
      <c r="I24" s="96"/>
      <c r="J24" s="96"/>
      <c r="K24" s="96"/>
      <c r="L24" s="98"/>
    </row>
    <row r="25" spans="1:12" ht="18" customHeight="1">
      <c r="A25" s="44" t="s">
        <v>47</v>
      </c>
      <c r="B25" s="45">
        <v>10</v>
      </c>
      <c r="E25" s="99" t="s">
        <v>48</v>
      </c>
      <c r="F25" s="100"/>
      <c r="G25" s="101"/>
      <c r="H25" s="102">
        <v>-3.7615519</v>
      </c>
      <c r="I25" s="100" t="s">
        <v>49</v>
      </c>
      <c r="J25" s="101"/>
      <c r="K25" s="100"/>
      <c r="L25" s="103">
        <v>5.138731468324561</v>
      </c>
    </row>
    <row r="26" spans="1:12" ht="18" customHeight="1" thickBot="1">
      <c r="A26" s="56" t="s">
        <v>50</v>
      </c>
      <c r="B26" s="57" t="s">
        <v>51</v>
      </c>
      <c r="E26" s="104" t="s">
        <v>52</v>
      </c>
      <c r="F26" s="105"/>
      <c r="G26" s="106"/>
      <c r="H26" s="107">
        <v>1.2132799104385672</v>
      </c>
      <c r="I26" s="105" t="s">
        <v>53</v>
      </c>
      <c r="J26" s="106"/>
      <c r="K26" s="105"/>
      <c r="L26" s="108">
        <v>0.15894870603315164</v>
      </c>
    </row>
    <row r="27" spans="1:2" ht="15" customHeight="1" thickBot="1" thickTop="1">
      <c r="A27" s="91" t="s">
        <v>54</v>
      </c>
      <c r="B27" s="92">
        <v>80</v>
      </c>
    </row>
    <row r="28" spans="1:14" s="2" customFormat="1" ht="18" customHeight="1" thickBot="1">
      <c r="A28" s="109" t="s">
        <v>55</v>
      </c>
      <c r="B28" s="110"/>
      <c r="C28" s="110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2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HCMQAP0009-02_pos4_10991049aper2res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3.7322315200000004E-05</v>
      </c>
      <c r="L2" s="54">
        <v>1.0902176114167263E-07</v>
      </c>
      <c r="M2" s="54">
        <v>8.6510284E-05</v>
      </c>
      <c r="N2" s="55">
        <v>1.8186732192345154E-07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-3.12819408E-05</v>
      </c>
      <c r="L3" s="54">
        <v>1.2065235989972832E-07</v>
      </c>
      <c r="M3" s="54">
        <v>9.670442000000001E-06</v>
      </c>
      <c r="N3" s="55">
        <v>1.1638172947667336E-07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-0.002094348717154419</v>
      </c>
      <c r="L4" s="54">
        <v>1.0690197829747749E-05</v>
      </c>
      <c r="M4" s="54">
        <v>3.2225762959295826E-08</v>
      </c>
      <c r="N4" s="55">
        <v>-2.5521310999999995</v>
      </c>
    </row>
    <row r="5" spans="1:14" ht="15" customHeight="1" thickBot="1">
      <c r="A5" t="s">
        <v>18</v>
      </c>
      <c r="B5" s="58">
        <v>37567.45543981482</v>
      </c>
      <c r="D5" s="59"/>
      <c r="E5" s="60" t="s">
        <v>79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1099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-2.7143991</v>
      </c>
      <c r="E8" s="77">
        <v>0.015383714003464345</v>
      </c>
      <c r="F8" s="114">
        <v>9.2363822</v>
      </c>
      <c r="G8" s="77">
        <v>0.03601163275474167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5">
        <v>-3.3211777000000007</v>
      </c>
      <c r="E9" s="79">
        <v>0.012466193017732127</v>
      </c>
      <c r="F9" s="113">
        <v>3.2764637</v>
      </c>
      <c r="G9" s="79">
        <v>0.015051335856377789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-1.54118943</v>
      </c>
      <c r="E10" s="79">
        <v>0.010657031459297233</v>
      </c>
      <c r="F10" s="113">
        <v>-7.42122</v>
      </c>
      <c r="G10" s="79">
        <v>0.01972768592081887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5</v>
      </c>
      <c r="D11" s="115">
        <v>14.326618000000002</v>
      </c>
      <c r="E11" s="77">
        <v>0.007997965739585198</v>
      </c>
      <c r="F11" s="114">
        <v>2.7326287999999996</v>
      </c>
      <c r="G11" s="77">
        <v>0.012652916804504135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3">
        <v>0.7499</v>
      </c>
      <c r="D12" s="85">
        <v>-0.6515662</v>
      </c>
      <c r="E12" s="79">
        <v>0.004446926869536078</v>
      </c>
      <c r="F12" s="79">
        <v>0.29175545</v>
      </c>
      <c r="G12" s="79">
        <v>0.00196335475984184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19.393921</v>
      </c>
      <c r="D13" s="82">
        <v>-0.19134803900000003</v>
      </c>
      <c r="E13" s="79">
        <v>0.009282071692854462</v>
      </c>
      <c r="F13" s="79">
        <v>-0.07969438339999999</v>
      </c>
      <c r="G13" s="79">
        <v>0.005137893904381979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4">
        <v>12.5</v>
      </c>
      <c r="D14" s="82">
        <v>0.21648369</v>
      </c>
      <c r="E14" s="79">
        <v>0.005696117189225265</v>
      </c>
      <c r="F14" s="79">
        <v>0.27990334</v>
      </c>
      <c r="G14" s="79">
        <v>0.0035169681122248775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-0.49500181000000004</v>
      </c>
      <c r="E15" s="77">
        <v>0.0031207453469332355</v>
      </c>
      <c r="F15" s="77">
        <v>0.13470996</v>
      </c>
      <c r="G15" s="77">
        <v>0.005224993196014658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12.5055</v>
      </c>
      <c r="D16" s="82">
        <v>-0.07194408399999999</v>
      </c>
      <c r="E16" s="79">
        <v>0.0038008148723325842</v>
      </c>
      <c r="F16" s="79">
        <v>-0.018424370000000002</v>
      </c>
      <c r="G16" s="79">
        <v>0.0027272550280675843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0.3919999897480011</v>
      </c>
      <c r="D17" s="82">
        <v>0.060694908000000006</v>
      </c>
      <c r="E17" s="79">
        <v>0.0016756940868145726</v>
      </c>
      <c r="F17" s="79">
        <v>-0.059229846299999986</v>
      </c>
      <c r="G17" s="79">
        <v>0.003348516207105177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5.085999965667725</v>
      </c>
      <c r="D18" s="82">
        <v>0.0158784024</v>
      </c>
      <c r="E18" s="79">
        <v>0.0017155320933421652</v>
      </c>
      <c r="F18" s="79">
        <v>0.099824757</v>
      </c>
      <c r="G18" s="79">
        <v>0.0021338611335926386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0.14300000667572021</v>
      </c>
      <c r="D19" s="82">
        <v>-0.13908908</v>
      </c>
      <c r="E19" s="79">
        <v>0.0012868116469025932</v>
      </c>
      <c r="F19" s="79">
        <v>-0.030266781</v>
      </c>
      <c r="G19" s="79">
        <v>0.002099083774444033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6">
        <v>0.2993492</v>
      </c>
      <c r="D20" s="87">
        <v>-0.00420218772</v>
      </c>
      <c r="E20" s="88">
        <v>0.0006924276802173725</v>
      </c>
      <c r="F20" s="88">
        <v>0.00082827986</v>
      </c>
      <c r="G20" s="88">
        <v>0.0008836370062987394</v>
      </c>
      <c r="H20" s="89">
        <v>15</v>
      </c>
      <c r="I20" s="88">
        <v>0</v>
      </c>
      <c r="J20" s="88">
        <v>0</v>
      </c>
      <c r="K20" s="88">
        <v>0</v>
      </c>
      <c r="L20" s="88">
        <v>0</v>
      </c>
      <c r="M20" s="88">
        <v>0.05</v>
      </c>
      <c r="N20" s="90">
        <v>0.05</v>
      </c>
    </row>
    <row r="21" spans="1:6" ht="15" customHeight="1">
      <c r="A21" s="56" t="s">
        <v>42</v>
      </c>
      <c r="B21" s="86">
        <v>0.7037187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1" t="s">
        <v>45</v>
      </c>
      <c r="B23" s="92">
        <v>15</v>
      </c>
    </row>
    <row r="24" spans="1:12" ht="18" customHeight="1" thickBot="1" thickTop="1">
      <c r="A24" s="93" t="s">
        <v>67</v>
      </c>
      <c r="B24" s="94">
        <v>-0.14622646430629074</v>
      </c>
      <c r="E24" s="95"/>
      <c r="F24" s="96"/>
      <c r="G24" s="97" t="s">
        <v>46</v>
      </c>
      <c r="H24" s="96"/>
      <c r="I24" s="96"/>
      <c r="J24" s="96"/>
      <c r="K24" s="96"/>
      <c r="L24" s="98"/>
    </row>
    <row r="25" spans="1:12" ht="18" customHeight="1">
      <c r="A25" s="44" t="s">
        <v>47</v>
      </c>
      <c r="B25" s="45">
        <v>10</v>
      </c>
      <c r="E25" s="99" t="s">
        <v>48</v>
      </c>
      <c r="F25" s="100"/>
      <c r="G25" s="101"/>
      <c r="H25" s="102">
        <v>-2.0943759999999996</v>
      </c>
      <c r="I25" s="100" t="s">
        <v>49</v>
      </c>
      <c r="J25" s="101"/>
      <c r="K25" s="100"/>
      <c r="L25" s="103">
        <v>14.58489778766082</v>
      </c>
    </row>
    <row r="26" spans="1:12" ht="18" customHeight="1" thickBot="1">
      <c r="A26" s="56" t="s">
        <v>50</v>
      </c>
      <c r="B26" s="57" t="s">
        <v>51</v>
      </c>
      <c r="E26" s="104" t="s">
        <v>52</v>
      </c>
      <c r="F26" s="105"/>
      <c r="G26" s="106"/>
      <c r="H26" s="107">
        <v>9.62697868588882</v>
      </c>
      <c r="I26" s="105" t="s">
        <v>53</v>
      </c>
      <c r="J26" s="106"/>
      <c r="K26" s="105"/>
      <c r="L26" s="108">
        <v>0.5130044495191808</v>
      </c>
    </row>
    <row r="27" spans="1:2" ht="15" customHeight="1" thickBot="1" thickTop="1">
      <c r="A27" s="91" t="s">
        <v>54</v>
      </c>
      <c r="B27" s="92">
        <v>80</v>
      </c>
    </row>
    <row r="28" spans="1:14" s="2" customFormat="1" ht="18" customHeight="1" thickBot="1">
      <c r="A28" s="109" t="s">
        <v>55</v>
      </c>
      <c r="B28" s="110"/>
      <c r="C28" s="110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2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HCMQAP0009-02_pos5_10991055aper2res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8" t="s">
        <v>119</v>
      </c>
      <c r="B1" s="130" t="s">
        <v>128</v>
      </c>
      <c r="C1" s="120" t="s">
        <v>187</v>
      </c>
      <c r="D1" s="120" t="s">
        <v>74</v>
      </c>
      <c r="E1" s="120" t="s">
        <v>77</v>
      </c>
      <c r="F1" s="127" t="s">
        <v>80</v>
      </c>
      <c r="G1" s="162" t="s">
        <v>120</v>
      </c>
    </row>
    <row r="2" spans="1:7" ht="13.5" thickBot="1">
      <c r="A2" s="139" t="s">
        <v>89</v>
      </c>
      <c r="B2" s="131">
        <v>-2.2568055</v>
      </c>
      <c r="C2" s="122">
        <v>-3.7607654000000004</v>
      </c>
      <c r="D2" s="122">
        <v>-3.7607562999999997</v>
      </c>
      <c r="E2" s="122">
        <v>-3.7615519</v>
      </c>
      <c r="F2" s="128">
        <v>-2.0943759999999996</v>
      </c>
      <c r="G2" s="163">
        <v>3.1172697214764247</v>
      </c>
    </row>
    <row r="3" spans="1:7" ht="14.25" thickBot="1" thickTop="1">
      <c r="A3" s="147" t="s">
        <v>88</v>
      </c>
      <c r="B3" s="148" t="s">
        <v>83</v>
      </c>
      <c r="C3" s="149" t="s">
        <v>84</v>
      </c>
      <c r="D3" s="149" t="s">
        <v>85</v>
      </c>
      <c r="E3" s="149" t="s">
        <v>86</v>
      </c>
      <c r="F3" s="150" t="s">
        <v>87</v>
      </c>
      <c r="G3" s="157" t="s">
        <v>121</v>
      </c>
    </row>
    <row r="4" spans="1:7" ht="12.75">
      <c r="A4" s="144" t="s">
        <v>90</v>
      </c>
      <c r="B4" s="145">
        <v>1.2610399200000002</v>
      </c>
      <c r="C4" s="146">
        <v>-0.70416044</v>
      </c>
      <c r="D4" s="146">
        <v>1.8530998999999997</v>
      </c>
      <c r="E4" s="146">
        <v>1.2019632</v>
      </c>
      <c r="F4" s="151">
        <v>-2.7143991</v>
      </c>
      <c r="G4" s="158">
        <v>0.3839691320539878</v>
      </c>
    </row>
    <row r="5" spans="1:7" ht="12.75">
      <c r="A5" s="139" t="s">
        <v>92</v>
      </c>
      <c r="B5" s="133">
        <v>0.11259148000000001</v>
      </c>
      <c r="C5" s="117">
        <v>-0.25122758</v>
      </c>
      <c r="D5" s="117">
        <v>-0.25066522999999996</v>
      </c>
      <c r="E5" s="117">
        <v>-0.7912975999999998</v>
      </c>
      <c r="F5" s="152">
        <v>-3.3211777000000007</v>
      </c>
      <c r="G5" s="159">
        <v>-0.7397668482041514</v>
      </c>
    </row>
    <row r="6" spans="1:7" ht="12.75">
      <c r="A6" s="139" t="s">
        <v>94</v>
      </c>
      <c r="B6" s="133">
        <v>0.6982762499999999</v>
      </c>
      <c r="C6" s="117">
        <v>0.2671851042</v>
      </c>
      <c r="D6" s="117">
        <v>-0.36548341000000006</v>
      </c>
      <c r="E6" s="117">
        <v>-0.099154984</v>
      </c>
      <c r="F6" s="153">
        <v>-1.54118943</v>
      </c>
      <c r="G6" s="159">
        <v>-0.1531641013084277</v>
      </c>
    </row>
    <row r="7" spans="1:7" ht="12.75">
      <c r="A7" s="139" t="s">
        <v>96</v>
      </c>
      <c r="B7" s="132">
        <v>4.059026900000001</v>
      </c>
      <c r="C7" s="116">
        <v>4.9289762999999995</v>
      </c>
      <c r="D7" s="116">
        <v>4.9878003</v>
      </c>
      <c r="E7" s="116">
        <v>5.138575800000001</v>
      </c>
      <c r="F7" s="154">
        <v>14.326618000000002</v>
      </c>
      <c r="G7" s="159">
        <v>6.126892711667911</v>
      </c>
    </row>
    <row r="8" spans="1:7" ht="12.75">
      <c r="A8" s="139" t="s">
        <v>98</v>
      </c>
      <c r="B8" s="133">
        <v>-0.128357944</v>
      </c>
      <c r="C8" s="117">
        <v>-0.15474678</v>
      </c>
      <c r="D8" s="117">
        <v>0.105800384</v>
      </c>
      <c r="E8" s="117">
        <v>0.3522106</v>
      </c>
      <c r="F8" s="152">
        <v>-0.6515662</v>
      </c>
      <c r="G8" s="159">
        <v>-0.03284594923642666</v>
      </c>
    </row>
    <row r="9" spans="1:7" ht="12.75">
      <c r="A9" s="139" t="s">
        <v>100</v>
      </c>
      <c r="B9" s="133">
        <v>-0.011276217</v>
      </c>
      <c r="C9" s="117">
        <v>-0.007905660000000002</v>
      </c>
      <c r="D9" s="117">
        <v>-0.02380806</v>
      </c>
      <c r="E9" s="117">
        <v>-0.014771290000000003</v>
      </c>
      <c r="F9" s="153">
        <v>-0.19134803900000003</v>
      </c>
      <c r="G9" s="159">
        <v>-0.03844337855702191</v>
      </c>
    </row>
    <row r="10" spans="1:7" ht="12.75">
      <c r="A10" s="139" t="s">
        <v>102</v>
      </c>
      <c r="B10" s="133">
        <v>0.06000913142000001</v>
      </c>
      <c r="C10" s="117">
        <v>0.02052426817</v>
      </c>
      <c r="D10" s="117">
        <v>-0.11379686999999998</v>
      </c>
      <c r="E10" s="117">
        <v>-0.08393405200000001</v>
      </c>
      <c r="F10" s="153">
        <v>0.21648369</v>
      </c>
      <c r="G10" s="159">
        <v>-0.004967966039373609</v>
      </c>
    </row>
    <row r="11" spans="1:7" ht="12.75">
      <c r="A11" s="139" t="s">
        <v>104</v>
      </c>
      <c r="B11" s="132">
        <v>-0.39415743000000003</v>
      </c>
      <c r="C11" s="116">
        <v>-0.13406979400000002</v>
      </c>
      <c r="D11" s="116">
        <v>-0.12985193</v>
      </c>
      <c r="E11" s="116">
        <v>-0.15717134</v>
      </c>
      <c r="F11" s="155">
        <v>-0.49500181000000004</v>
      </c>
      <c r="G11" s="159">
        <v>-0.22450773657824974</v>
      </c>
    </row>
    <row r="12" spans="1:7" ht="12.75">
      <c r="A12" s="139" t="s">
        <v>106</v>
      </c>
      <c r="B12" s="133">
        <v>-0.009286255000000002</v>
      </c>
      <c r="C12" s="117">
        <v>0.0091549879</v>
      </c>
      <c r="D12" s="117">
        <v>0.024942912</v>
      </c>
      <c r="E12" s="117">
        <v>0.051594370763999996</v>
      </c>
      <c r="F12" s="153">
        <v>-0.07194408399999999</v>
      </c>
      <c r="G12" s="159">
        <v>0.009637404747395127</v>
      </c>
    </row>
    <row r="13" spans="1:7" ht="12.75">
      <c r="A13" s="139" t="s">
        <v>108</v>
      </c>
      <c r="B13" s="133">
        <v>0.03195714200000001</v>
      </c>
      <c r="C13" s="117">
        <v>0.034261915</v>
      </c>
      <c r="D13" s="117">
        <v>0.029327959999999997</v>
      </c>
      <c r="E13" s="117">
        <v>0.081787895</v>
      </c>
      <c r="F13" s="153">
        <v>0.060694908000000006</v>
      </c>
      <c r="G13" s="159">
        <v>0.04771795997542783</v>
      </c>
    </row>
    <row r="14" spans="1:7" ht="12.75">
      <c r="A14" s="139" t="s">
        <v>110</v>
      </c>
      <c r="B14" s="133">
        <v>0.0029253084</v>
      </c>
      <c r="C14" s="117">
        <v>0.0044717443</v>
      </c>
      <c r="D14" s="117">
        <v>-0.0151462969</v>
      </c>
      <c r="E14" s="117">
        <v>-0.0102381902</v>
      </c>
      <c r="F14" s="153">
        <v>0.0158784024</v>
      </c>
      <c r="G14" s="159">
        <v>-0.0024816428289833286</v>
      </c>
    </row>
    <row r="15" spans="1:7" ht="12.75">
      <c r="A15" s="139" t="s">
        <v>112</v>
      </c>
      <c r="B15" s="134">
        <v>-0.19579449000000002</v>
      </c>
      <c r="C15" s="118">
        <v>-0.18903514999999999</v>
      </c>
      <c r="D15" s="118">
        <v>-0.18712125999999998</v>
      </c>
      <c r="E15" s="118">
        <v>-0.18800144000000002</v>
      </c>
      <c r="F15" s="153">
        <v>-0.13908908</v>
      </c>
      <c r="G15" s="160">
        <v>-0.1826109640275256</v>
      </c>
    </row>
    <row r="16" spans="1:7" ht="12.75">
      <c r="A16" s="139" t="s">
        <v>114</v>
      </c>
      <c r="B16" s="133">
        <v>-0.0041250667</v>
      </c>
      <c r="C16" s="117">
        <v>-0.0016549172809999999</v>
      </c>
      <c r="D16" s="117">
        <v>0.0009696628999999998</v>
      </c>
      <c r="E16" s="117">
        <v>-0.00038444330000000004</v>
      </c>
      <c r="F16" s="153">
        <v>-0.00420218772</v>
      </c>
      <c r="G16" s="159">
        <v>-0.0014157135980493532</v>
      </c>
    </row>
    <row r="17" spans="1:7" ht="12.75">
      <c r="A17" s="139" t="s">
        <v>91</v>
      </c>
      <c r="B17" s="132">
        <v>-0.5717447099999999</v>
      </c>
      <c r="C17" s="116">
        <v>-1.4911373</v>
      </c>
      <c r="D17" s="116">
        <v>-0.9715896299999999</v>
      </c>
      <c r="E17" s="116">
        <v>0.16532576</v>
      </c>
      <c r="F17" s="154">
        <v>9.2363822</v>
      </c>
      <c r="G17" s="159">
        <v>0.6021580548793554</v>
      </c>
    </row>
    <row r="18" spans="1:7" ht="12.75">
      <c r="A18" s="139" t="s">
        <v>93</v>
      </c>
      <c r="B18" s="133">
        <v>0.6935460699999999</v>
      </c>
      <c r="C18" s="117">
        <v>0.123943905</v>
      </c>
      <c r="D18" s="117">
        <v>1.04061079</v>
      </c>
      <c r="E18" s="117">
        <v>0.1821369509</v>
      </c>
      <c r="F18" s="152">
        <v>3.2764637</v>
      </c>
      <c r="G18" s="159">
        <v>0.8629813550217719</v>
      </c>
    </row>
    <row r="19" spans="1:7" ht="12.75">
      <c r="A19" s="139" t="s">
        <v>95</v>
      </c>
      <c r="B19" s="133">
        <v>-0.72340296</v>
      </c>
      <c r="C19" s="117">
        <v>-1.5421144999999998</v>
      </c>
      <c r="D19" s="117">
        <v>-1.8978771</v>
      </c>
      <c r="E19" s="118">
        <v>-2.4719526000000003</v>
      </c>
      <c r="F19" s="152">
        <v>-7.42122</v>
      </c>
      <c r="G19" s="160">
        <v>-2.520795950917626</v>
      </c>
    </row>
    <row r="20" spans="1:7" ht="12.75">
      <c r="A20" s="139" t="s">
        <v>97</v>
      </c>
      <c r="B20" s="132">
        <v>0.194098957</v>
      </c>
      <c r="C20" s="116">
        <v>0.32755303</v>
      </c>
      <c r="D20" s="116">
        <v>0.08510671</v>
      </c>
      <c r="E20" s="116">
        <v>-0.039998139999999995</v>
      </c>
      <c r="F20" s="154">
        <v>2.7326287999999996</v>
      </c>
      <c r="G20" s="159">
        <v>0.48372348660929365</v>
      </c>
    </row>
    <row r="21" spans="1:7" ht="12.75">
      <c r="A21" s="139" t="s">
        <v>99</v>
      </c>
      <c r="B21" s="133">
        <v>-0.015368663</v>
      </c>
      <c r="C21" s="117">
        <v>-0.1178975839</v>
      </c>
      <c r="D21" s="117">
        <v>-0.1495976625</v>
      </c>
      <c r="E21" s="117">
        <v>-0.20837951100000002</v>
      </c>
      <c r="F21" s="153">
        <v>0.29175545</v>
      </c>
      <c r="G21" s="159">
        <v>-0.07761510315555957</v>
      </c>
    </row>
    <row r="22" spans="1:7" ht="12.75">
      <c r="A22" s="139" t="s">
        <v>101</v>
      </c>
      <c r="B22" s="133">
        <v>0.09376357900000001</v>
      </c>
      <c r="C22" s="117">
        <v>0.09566445999999999</v>
      </c>
      <c r="D22" s="117">
        <v>0.25535457000000006</v>
      </c>
      <c r="E22" s="117">
        <v>0.126903971</v>
      </c>
      <c r="F22" s="153">
        <v>-0.07969438339999999</v>
      </c>
      <c r="G22" s="159">
        <v>0.11782780294602564</v>
      </c>
    </row>
    <row r="23" spans="1:7" ht="12.75">
      <c r="A23" s="139" t="s">
        <v>103</v>
      </c>
      <c r="B23" s="133">
        <v>0.110894215</v>
      </c>
      <c r="C23" s="117">
        <v>0.006082570999999999</v>
      </c>
      <c r="D23" s="117">
        <v>-0.03722088291</v>
      </c>
      <c r="E23" s="117">
        <v>0.008234223000000002</v>
      </c>
      <c r="F23" s="153">
        <v>0.27990334</v>
      </c>
      <c r="G23" s="159">
        <v>0.04799457454043939</v>
      </c>
    </row>
    <row r="24" spans="1:7" ht="12.75">
      <c r="A24" s="139" t="s">
        <v>105</v>
      </c>
      <c r="B24" s="132">
        <v>0.043112325</v>
      </c>
      <c r="C24" s="116">
        <v>0.03635324299999999</v>
      </c>
      <c r="D24" s="116">
        <v>-0.026186222999999998</v>
      </c>
      <c r="E24" s="116">
        <v>-0.023703608000000004</v>
      </c>
      <c r="F24" s="155">
        <v>0.13470996</v>
      </c>
      <c r="G24" s="159">
        <v>0.021011752775175682</v>
      </c>
    </row>
    <row r="25" spans="1:7" ht="12.75">
      <c r="A25" s="139" t="s">
        <v>107</v>
      </c>
      <c r="B25" s="133">
        <v>-0.007209187000000001</v>
      </c>
      <c r="C25" s="117">
        <v>-0.015395376000000002</v>
      </c>
      <c r="D25" s="117">
        <v>-0.019910278999999996</v>
      </c>
      <c r="E25" s="117">
        <v>-0.06236380960000001</v>
      </c>
      <c r="F25" s="153">
        <v>-0.018424370000000002</v>
      </c>
      <c r="G25" s="159">
        <v>-0.027005962201049467</v>
      </c>
    </row>
    <row r="26" spans="1:7" ht="12.75">
      <c r="A26" s="139" t="s">
        <v>109</v>
      </c>
      <c r="B26" s="133">
        <v>-0.0030322649999999997</v>
      </c>
      <c r="C26" s="117">
        <v>0.011181578</v>
      </c>
      <c r="D26" s="117">
        <v>0.03557037385</v>
      </c>
      <c r="E26" s="117">
        <v>0.020453776</v>
      </c>
      <c r="F26" s="153">
        <v>-0.059229846299999986</v>
      </c>
      <c r="G26" s="159">
        <v>0.00779493090659958</v>
      </c>
    </row>
    <row r="27" spans="1:7" ht="12.75">
      <c r="A27" s="139" t="s">
        <v>111</v>
      </c>
      <c r="B27" s="133">
        <v>0.075208069</v>
      </c>
      <c r="C27" s="117">
        <v>0.07935626</v>
      </c>
      <c r="D27" s="117">
        <v>0.075578811</v>
      </c>
      <c r="E27" s="117">
        <v>0.11704051200000001</v>
      </c>
      <c r="F27" s="153">
        <v>0.099824757</v>
      </c>
      <c r="G27" s="159">
        <v>0.08965750378583419</v>
      </c>
    </row>
    <row r="28" spans="1:7" ht="12.75">
      <c r="A28" s="139" t="s">
        <v>113</v>
      </c>
      <c r="B28" s="133">
        <v>-0.00200705461</v>
      </c>
      <c r="C28" s="117">
        <v>0.0029356721399999997</v>
      </c>
      <c r="D28" s="117">
        <v>-0.00385477043</v>
      </c>
      <c r="E28" s="117">
        <v>0.00239134723</v>
      </c>
      <c r="F28" s="153">
        <v>-0.030266781</v>
      </c>
      <c r="G28" s="159">
        <v>-0.003990011194045206</v>
      </c>
    </row>
    <row r="29" spans="1:7" ht="13.5" thickBot="1">
      <c r="A29" s="140" t="s">
        <v>115</v>
      </c>
      <c r="B29" s="135">
        <v>-0.00029140940000000015</v>
      </c>
      <c r="C29" s="119">
        <v>-0.0003302104</v>
      </c>
      <c r="D29" s="119">
        <v>0.0012883417000000002</v>
      </c>
      <c r="E29" s="119">
        <v>0.0024076019</v>
      </c>
      <c r="F29" s="156">
        <v>0.00082827986</v>
      </c>
      <c r="G29" s="161">
        <v>0.0008786277219291258</v>
      </c>
    </row>
    <row r="30" spans="1:7" ht="13.5" thickTop="1">
      <c r="A30" s="141" t="s">
        <v>116</v>
      </c>
      <c r="B30" s="136">
        <v>-0.28933409897535967</v>
      </c>
      <c r="C30" s="125">
        <v>-0.3083631091262704</v>
      </c>
      <c r="D30" s="125">
        <v>-0.31918679522152804</v>
      </c>
      <c r="E30" s="125">
        <v>-0.1867479301882168</v>
      </c>
      <c r="F30" s="121">
        <v>-0.14622646430629074</v>
      </c>
      <c r="G30" s="162" t="s">
        <v>127</v>
      </c>
    </row>
    <row r="31" spans="1:7" ht="13.5" thickBot="1">
      <c r="A31" s="142" t="s">
        <v>117</v>
      </c>
      <c r="B31" s="131">
        <v>19.403077</v>
      </c>
      <c r="C31" s="122">
        <v>19.393921</v>
      </c>
      <c r="D31" s="122">
        <v>19.372559</v>
      </c>
      <c r="E31" s="122">
        <v>19.366456</v>
      </c>
      <c r="F31" s="123">
        <v>19.393921</v>
      </c>
      <c r="G31" s="164">
        <v>-210.09</v>
      </c>
    </row>
    <row r="32" spans="1:7" ht="15.75" thickBot="1" thickTop="1">
      <c r="A32" s="143" t="s">
        <v>118</v>
      </c>
      <c r="B32" s="137">
        <v>0.29749999195337296</v>
      </c>
      <c r="C32" s="126">
        <v>-0.30800000578165054</v>
      </c>
      <c r="D32" s="126">
        <v>0.23800000175833702</v>
      </c>
      <c r="E32" s="126">
        <v>-0.3619999885559082</v>
      </c>
      <c r="F32" s="124">
        <v>0.26749999821186066</v>
      </c>
      <c r="G32" s="129" t="s">
        <v>126</v>
      </c>
    </row>
    <row r="33" spans="1:7" ht="15" thickTop="1">
      <c r="A33" t="s">
        <v>122</v>
      </c>
      <c r="G33" s="32" t="s">
        <v>123</v>
      </c>
    </row>
    <row r="34" ht="14.25">
      <c r="A34" t="s">
        <v>124</v>
      </c>
    </row>
    <row r="35" spans="1:2" ht="12.75">
      <c r="A35" t="s">
        <v>125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31.33203125" style="165" bestFit="1" customWidth="1"/>
    <col min="2" max="2" width="15.66015625" style="165" bestFit="1" customWidth="1"/>
    <col min="3" max="3" width="15.33203125" style="165" bestFit="1" customWidth="1"/>
    <col min="4" max="4" width="16" style="165" bestFit="1" customWidth="1"/>
    <col min="5" max="5" width="20.83203125" style="165" bestFit="1" customWidth="1"/>
    <col min="6" max="6" width="14.83203125" style="165" bestFit="1" customWidth="1"/>
    <col min="7" max="7" width="15.33203125" style="165" bestFit="1" customWidth="1"/>
    <col min="8" max="8" width="14.16015625" style="165" bestFit="1" customWidth="1"/>
    <col min="9" max="9" width="14.83203125" style="165" bestFit="1" customWidth="1"/>
    <col min="10" max="10" width="6.33203125" style="165" bestFit="1" customWidth="1"/>
    <col min="11" max="11" width="15" style="165" bestFit="1" customWidth="1"/>
    <col min="12" max="16384" width="10.66015625" style="165" customWidth="1"/>
  </cols>
  <sheetData>
    <row r="1" spans="1:5" ht="12.75">
      <c r="A1" s="165" t="s">
        <v>129</v>
      </c>
      <c r="B1" s="165" t="s">
        <v>130</v>
      </c>
      <c r="C1" s="167" t="s">
        <v>186</v>
      </c>
      <c r="D1" s="165" t="s">
        <v>131</v>
      </c>
      <c r="E1" s="165" t="s">
        <v>28</v>
      </c>
    </row>
    <row r="3" spans="1:8" ht="12.75">
      <c r="A3" s="165" t="s">
        <v>132</v>
      </c>
      <c r="B3" s="165" t="s">
        <v>83</v>
      </c>
      <c r="C3" s="165" t="s">
        <v>84</v>
      </c>
      <c r="D3" s="165" t="s">
        <v>85</v>
      </c>
      <c r="E3" s="165" t="s">
        <v>86</v>
      </c>
      <c r="F3" s="165" t="s">
        <v>87</v>
      </c>
      <c r="G3" s="165" t="s">
        <v>133</v>
      </c>
      <c r="H3"/>
    </row>
    <row r="4" spans="1:8" ht="12.75">
      <c r="A4" s="165" t="s">
        <v>134</v>
      </c>
      <c r="B4" s="165">
        <v>0.002256</v>
      </c>
      <c r="C4" s="165">
        <v>0.003759</v>
      </c>
      <c r="D4" s="165">
        <v>0.003759</v>
      </c>
      <c r="E4" s="165">
        <v>0.00376</v>
      </c>
      <c r="F4" s="165">
        <v>0.002093</v>
      </c>
      <c r="G4" s="165">
        <v>0.011719</v>
      </c>
      <c r="H4"/>
    </row>
    <row r="5" spans="1:8" ht="12.75">
      <c r="A5" s="165" t="s">
        <v>135</v>
      </c>
      <c r="B5" s="165">
        <v>-0.760251</v>
      </c>
      <c r="C5" s="165">
        <v>-1.113019</v>
      </c>
      <c r="D5" s="165">
        <v>-0.813671</v>
      </c>
      <c r="E5" s="165">
        <v>1.085985</v>
      </c>
      <c r="F5" s="165">
        <v>2.276928</v>
      </c>
      <c r="G5" s="165">
        <v>-4.495182</v>
      </c>
      <c r="H5"/>
    </row>
    <row r="6" spans="1:8" ht="12.75">
      <c r="A6" s="165" t="s">
        <v>136</v>
      </c>
      <c r="B6" s="166">
        <v>49.53573</v>
      </c>
      <c r="C6" s="166">
        <v>56.8117</v>
      </c>
      <c r="D6" s="166">
        <v>84.66661</v>
      </c>
      <c r="E6" s="166">
        <v>54.88772</v>
      </c>
      <c r="F6" s="166">
        <v>-158.2535</v>
      </c>
      <c r="G6" s="166">
        <v>598.4049</v>
      </c>
      <c r="H6"/>
    </row>
    <row r="7" spans="1:8" ht="12.75">
      <c r="A7" s="165" t="s">
        <v>137</v>
      </c>
      <c r="B7" s="166">
        <v>10000</v>
      </c>
      <c r="C7" s="166">
        <v>10000</v>
      </c>
      <c r="D7" s="166">
        <v>10000</v>
      </c>
      <c r="E7" s="166">
        <v>10000</v>
      </c>
      <c r="F7" s="166">
        <v>10000</v>
      </c>
      <c r="G7" s="166">
        <v>10000</v>
      </c>
      <c r="H7"/>
    </row>
    <row r="8" spans="1:8" ht="12.75">
      <c r="A8" s="165" t="s">
        <v>90</v>
      </c>
      <c r="B8" s="166">
        <v>1.300644</v>
      </c>
      <c r="C8" s="166">
        <v>-0.6870408</v>
      </c>
      <c r="D8" s="166">
        <v>1.890704</v>
      </c>
      <c r="E8" s="166">
        <v>1.221905</v>
      </c>
      <c r="F8" s="166">
        <v>-3.033279</v>
      </c>
      <c r="G8" s="166">
        <v>0.5887356</v>
      </c>
      <c r="H8"/>
    </row>
    <row r="9" spans="1:8" ht="12.75">
      <c r="A9" s="165" t="s">
        <v>92</v>
      </c>
      <c r="B9" s="166">
        <v>0.08448652</v>
      </c>
      <c r="C9" s="166">
        <v>-0.298276</v>
      </c>
      <c r="D9" s="166">
        <v>-0.2789733</v>
      </c>
      <c r="E9" s="166">
        <v>-0.7125787</v>
      </c>
      <c r="F9" s="166">
        <v>-3.13596</v>
      </c>
      <c r="G9" s="166">
        <v>0.7182382</v>
      </c>
      <c r="H9"/>
    </row>
    <row r="10" spans="1:8" ht="12.75">
      <c r="A10" s="165" t="s">
        <v>94</v>
      </c>
      <c r="B10" s="166">
        <v>0.6635828</v>
      </c>
      <c r="C10" s="166">
        <v>0.203987</v>
      </c>
      <c r="D10" s="166">
        <v>-0.5022135</v>
      </c>
      <c r="E10" s="166">
        <v>-0.1357625</v>
      </c>
      <c r="F10" s="166">
        <v>-0.2361365</v>
      </c>
      <c r="G10" s="166">
        <v>2.401297</v>
      </c>
      <c r="H10"/>
    </row>
    <row r="11" spans="1:8" ht="12.75">
      <c r="A11" s="165" t="s">
        <v>96</v>
      </c>
      <c r="B11" s="166">
        <v>4.066008</v>
      </c>
      <c r="C11" s="166">
        <v>4.932417</v>
      </c>
      <c r="D11" s="166">
        <v>4.985229</v>
      </c>
      <c r="E11" s="166">
        <v>5.152044</v>
      </c>
      <c r="F11" s="166">
        <v>14.203</v>
      </c>
      <c r="G11" s="166">
        <v>6.114825</v>
      </c>
      <c r="H11"/>
    </row>
    <row r="12" spans="1:8" ht="12.75">
      <c r="A12" s="165" t="s">
        <v>98</v>
      </c>
      <c r="B12" s="166">
        <v>-0.1317384</v>
      </c>
      <c r="C12" s="166">
        <v>-0.1561372</v>
      </c>
      <c r="D12" s="166">
        <v>0.1101112</v>
      </c>
      <c r="E12" s="166">
        <v>0.3424707</v>
      </c>
      <c r="F12" s="166">
        <v>-0.6838506</v>
      </c>
      <c r="G12" s="166">
        <v>-0.07468348</v>
      </c>
      <c r="H12"/>
    </row>
    <row r="13" spans="1:8" ht="12.75">
      <c r="A13" s="165" t="s">
        <v>100</v>
      </c>
      <c r="B13" s="166">
        <v>-0.003170363</v>
      </c>
      <c r="C13" s="166">
        <v>-0.005758181</v>
      </c>
      <c r="D13" s="166">
        <v>-0.01851628</v>
      </c>
      <c r="E13" s="166">
        <v>-0.01531631</v>
      </c>
      <c r="F13" s="166">
        <v>-0.1860499</v>
      </c>
      <c r="G13" s="166">
        <v>0.03491313</v>
      </c>
      <c r="H13"/>
    </row>
    <row r="14" spans="1:8" ht="12.75">
      <c r="A14" s="165" t="s">
        <v>102</v>
      </c>
      <c r="B14" s="166">
        <v>0.07395062</v>
      </c>
      <c r="C14" s="166">
        <v>0.02815572</v>
      </c>
      <c r="D14" s="166">
        <v>-0.107636</v>
      </c>
      <c r="E14" s="166">
        <v>-0.07938887</v>
      </c>
      <c r="F14" s="166">
        <v>0.1136792</v>
      </c>
      <c r="G14" s="166">
        <v>-0.04668112</v>
      </c>
      <c r="H14"/>
    </row>
    <row r="15" spans="1:8" ht="12.75">
      <c r="A15" s="165" t="s">
        <v>104</v>
      </c>
      <c r="B15" s="166">
        <v>-0.4008566</v>
      </c>
      <c r="C15" s="166">
        <v>-0.1376292</v>
      </c>
      <c r="D15" s="166">
        <v>-0.1360554</v>
      </c>
      <c r="E15" s="166">
        <v>-0.157808</v>
      </c>
      <c r="F15" s="166">
        <v>-0.5141468</v>
      </c>
      <c r="G15" s="166">
        <v>-0.2305443</v>
      </c>
      <c r="H15"/>
    </row>
    <row r="16" spans="1:8" ht="12.75">
      <c r="A16" s="165" t="s">
        <v>106</v>
      </c>
      <c r="B16" s="166">
        <v>-0.01083337</v>
      </c>
      <c r="C16" s="166">
        <v>0.007566458</v>
      </c>
      <c r="D16" s="166">
        <v>0.02372934</v>
      </c>
      <c r="E16" s="166">
        <v>0.04764733</v>
      </c>
      <c r="F16" s="166">
        <v>-0.05578357</v>
      </c>
      <c r="G16" s="166">
        <v>-0.03132969</v>
      </c>
      <c r="H16"/>
    </row>
    <row r="17" spans="1:8" ht="12.75">
      <c r="A17" s="165" t="s">
        <v>108</v>
      </c>
      <c r="B17" s="166">
        <v>0.03744303</v>
      </c>
      <c r="C17" s="166">
        <v>0.03962908</v>
      </c>
      <c r="D17" s="166">
        <v>0.03484257</v>
      </c>
      <c r="E17" s="166">
        <v>0.07041899</v>
      </c>
      <c r="F17" s="166">
        <v>0.05123334</v>
      </c>
      <c r="G17" s="166">
        <v>-0.04712406</v>
      </c>
      <c r="H17"/>
    </row>
    <row r="18" spans="1:8" ht="12.75">
      <c r="A18" s="165" t="s">
        <v>110</v>
      </c>
      <c r="B18" s="166">
        <v>0.004693055</v>
      </c>
      <c r="C18" s="166">
        <v>0.00729592</v>
      </c>
      <c r="D18" s="166">
        <v>-0.01064273</v>
      </c>
      <c r="E18" s="166">
        <v>-0.01045463</v>
      </c>
      <c r="F18" s="166">
        <v>0.00349533</v>
      </c>
      <c r="G18" s="166">
        <v>-0.08966181</v>
      </c>
      <c r="H18"/>
    </row>
    <row r="19" spans="1:8" ht="12.75">
      <c r="A19" s="165" t="s">
        <v>112</v>
      </c>
      <c r="B19" s="166">
        <v>-0.195711</v>
      </c>
      <c r="C19" s="166">
        <v>-0.1889582</v>
      </c>
      <c r="D19" s="166">
        <v>-0.1871198</v>
      </c>
      <c r="E19" s="166">
        <v>-0.1879792</v>
      </c>
      <c r="F19" s="166">
        <v>-0.1380567</v>
      </c>
      <c r="G19" s="166">
        <v>-0.1824357</v>
      </c>
      <c r="H19"/>
    </row>
    <row r="20" spans="1:8" ht="12.75">
      <c r="A20" s="165" t="s">
        <v>114</v>
      </c>
      <c r="B20" s="166">
        <v>-0.004123221</v>
      </c>
      <c r="C20" s="166">
        <v>-0.001664901</v>
      </c>
      <c r="D20" s="166">
        <v>0.0009877318</v>
      </c>
      <c r="E20" s="166">
        <v>-0.0004164523</v>
      </c>
      <c r="F20" s="166">
        <v>-0.004224028</v>
      </c>
      <c r="G20" s="166">
        <v>0.000868658</v>
      </c>
      <c r="H20"/>
    </row>
    <row r="21" spans="1:8" ht="12.75">
      <c r="A21" s="165" t="s">
        <v>138</v>
      </c>
      <c r="B21" s="166">
        <v>-538.7948</v>
      </c>
      <c r="C21" s="166">
        <v>-537.8036</v>
      </c>
      <c r="D21" s="166">
        <v>-548.7466</v>
      </c>
      <c r="E21" s="166">
        <v>-680.5874</v>
      </c>
      <c r="F21" s="166">
        <v>-713.0184</v>
      </c>
      <c r="G21" s="166">
        <v>33.19141</v>
      </c>
      <c r="H21"/>
    </row>
    <row r="22" spans="1:8" ht="12.75">
      <c r="A22" s="165" t="s">
        <v>139</v>
      </c>
      <c r="B22" s="166">
        <v>-15.20503</v>
      </c>
      <c r="C22" s="166">
        <v>-22.26042</v>
      </c>
      <c r="D22" s="166">
        <v>-16.27343</v>
      </c>
      <c r="E22" s="166">
        <v>21.71974</v>
      </c>
      <c r="F22" s="166">
        <v>45.53888</v>
      </c>
      <c r="G22" s="166">
        <v>0</v>
      </c>
      <c r="H22"/>
    </row>
    <row r="23" spans="1:8" ht="12.75">
      <c r="A23" s="165" t="s">
        <v>91</v>
      </c>
      <c r="B23" s="166">
        <v>-0.5932435</v>
      </c>
      <c r="C23" s="166">
        <v>-1.494986</v>
      </c>
      <c r="D23" s="166">
        <v>-1.000711</v>
      </c>
      <c r="E23" s="166">
        <v>0.1377928</v>
      </c>
      <c r="F23" s="166">
        <v>9.267489</v>
      </c>
      <c r="G23" s="166">
        <v>-0.3648971</v>
      </c>
      <c r="H23"/>
    </row>
    <row r="24" spans="1:8" ht="12.75">
      <c r="A24" s="165" t="s">
        <v>93</v>
      </c>
      <c r="B24" s="166">
        <v>0.6939358</v>
      </c>
      <c r="C24" s="166">
        <v>0.1371501</v>
      </c>
      <c r="D24" s="166">
        <v>1.091368</v>
      </c>
      <c r="E24" s="166">
        <v>0.1936841</v>
      </c>
      <c r="F24" s="166">
        <v>2.684961</v>
      </c>
      <c r="G24" s="166">
        <v>-0.8019572</v>
      </c>
      <c r="H24"/>
    </row>
    <row r="25" spans="1:8" ht="12.75">
      <c r="A25" s="165" t="s">
        <v>95</v>
      </c>
      <c r="B25" s="166">
        <v>-0.831527</v>
      </c>
      <c r="C25" s="166">
        <v>-1.688808</v>
      </c>
      <c r="D25" s="166">
        <v>-2.012487</v>
      </c>
      <c r="E25" s="166">
        <v>-2.251414</v>
      </c>
      <c r="F25" s="166">
        <v>-6.339336</v>
      </c>
      <c r="G25" s="166">
        <v>-0.04016492</v>
      </c>
      <c r="H25"/>
    </row>
    <row r="26" spans="1:8" ht="12.75">
      <c r="A26" s="165" t="s">
        <v>97</v>
      </c>
      <c r="B26" s="166">
        <v>0.1884595</v>
      </c>
      <c r="C26" s="166">
        <v>0.3071775</v>
      </c>
      <c r="D26" s="166">
        <v>0.06833271</v>
      </c>
      <c r="E26" s="166">
        <v>0.02299176</v>
      </c>
      <c r="F26" s="166">
        <v>2.920783</v>
      </c>
      <c r="G26" s="166">
        <v>0.5146021</v>
      </c>
      <c r="H26"/>
    </row>
    <row r="27" spans="1:8" ht="12.75">
      <c r="A27" s="165" t="s">
        <v>99</v>
      </c>
      <c r="B27" s="166">
        <v>-0.006535803</v>
      </c>
      <c r="C27" s="166">
        <v>-0.1102823</v>
      </c>
      <c r="D27" s="166">
        <v>-0.1500926</v>
      </c>
      <c r="E27" s="166">
        <v>-0.1982737</v>
      </c>
      <c r="F27" s="166">
        <v>0.2731828</v>
      </c>
      <c r="G27" s="166">
        <v>0.03929992</v>
      </c>
      <c r="H27"/>
    </row>
    <row r="28" spans="1:8" ht="12.75">
      <c r="A28" s="165" t="s">
        <v>101</v>
      </c>
      <c r="B28" s="166">
        <v>0.0852007</v>
      </c>
      <c r="C28" s="166">
        <v>0.09545965</v>
      </c>
      <c r="D28" s="166">
        <v>0.2636212</v>
      </c>
      <c r="E28" s="166">
        <v>0.1246632</v>
      </c>
      <c r="F28" s="166">
        <v>-0.02698612</v>
      </c>
      <c r="G28" s="166">
        <v>-0.1250498</v>
      </c>
      <c r="H28"/>
    </row>
    <row r="29" spans="1:8" ht="12.75">
      <c r="A29" s="165" t="s">
        <v>103</v>
      </c>
      <c r="B29" s="166">
        <v>0.1286742</v>
      </c>
      <c r="C29" s="166">
        <v>0.0101873</v>
      </c>
      <c r="D29" s="166">
        <v>-0.03048374</v>
      </c>
      <c r="E29" s="166">
        <v>-0.004141472</v>
      </c>
      <c r="F29" s="166">
        <v>0.2536936</v>
      </c>
      <c r="G29" s="166">
        <v>-0.01231816</v>
      </c>
      <c r="H29"/>
    </row>
    <row r="30" spans="1:8" ht="12.75">
      <c r="A30" s="165" t="s">
        <v>105</v>
      </c>
      <c r="B30" s="166">
        <v>0.04427528</v>
      </c>
      <c r="C30" s="166">
        <v>0.03589665</v>
      </c>
      <c r="D30" s="166">
        <v>-0.02689086</v>
      </c>
      <c r="E30" s="166">
        <v>-0.02265626</v>
      </c>
      <c r="F30" s="166">
        <v>0.1121707</v>
      </c>
      <c r="G30" s="166">
        <v>0.01811764</v>
      </c>
      <c r="H30"/>
    </row>
    <row r="31" spans="1:8" ht="12.75">
      <c r="A31" s="165" t="s">
        <v>107</v>
      </c>
      <c r="B31" s="166">
        <v>-0.01332492</v>
      </c>
      <c r="C31" s="166">
        <v>-0.02061066</v>
      </c>
      <c r="D31" s="166">
        <v>-0.02668133</v>
      </c>
      <c r="E31" s="166">
        <v>-0.05875233</v>
      </c>
      <c r="F31" s="166">
        <v>-0.02907896</v>
      </c>
      <c r="G31" s="166">
        <v>-0.009957235</v>
      </c>
      <c r="H31"/>
    </row>
    <row r="32" spans="1:8" ht="12.75">
      <c r="A32" s="165" t="s">
        <v>109</v>
      </c>
      <c r="B32" s="166">
        <v>-0.005072769</v>
      </c>
      <c r="C32" s="166">
        <v>0.007284932</v>
      </c>
      <c r="D32" s="166">
        <v>0.03027148</v>
      </c>
      <c r="E32" s="166">
        <v>0.01632004</v>
      </c>
      <c r="F32" s="166">
        <v>-0.03527414</v>
      </c>
      <c r="G32" s="166">
        <v>-0.007506596</v>
      </c>
      <c r="H32"/>
    </row>
    <row r="33" spans="1:8" ht="12.75">
      <c r="A33" s="165" t="s">
        <v>111</v>
      </c>
      <c r="B33" s="166">
        <v>0.08003776</v>
      </c>
      <c r="C33" s="166">
        <v>0.08395996</v>
      </c>
      <c r="D33" s="166">
        <v>0.07950897</v>
      </c>
      <c r="E33" s="166">
        <v>0.1105395</v>
      </c>
      <c r="F33" s="166">
        <v>0.09100597</v>
      </c>
      <c r="G33" s="166">
        <v>-0.002182723</v>
      </c>
      <c r="H33"/>
    </row>
    <row r="34" spans="1:8" ht="12.75">
      <c r="A34" s="165" t="s">
        <v>113</v>
      </c>
      <c r="B34" s="166">
        <v>0.0001505089</v>
      </c>
      <c r="C34" s="166">
        <v>0.005923393</v>
      </c>
      <c r="D34" s="166">
        <v>-0.001702357</v>
      </c>
      <c r="E34" s="166">
        <v>-0.0004323674</v>
      </c>
      <c r="F34" s="166">
        <v>-0.03466589</v>
      </c>
      <c r="G34" s="166">
        <v>-0.003728594</v>
      </c>
      <c r="H34"/>
    </row>
    <row r="35" spans="1:8" ht="12.75">
      <c r="A35" s="165" t="s">
        <v>115</v>
      </c>
      <c r="B35" s="166">
        <v>-0.0002427012</v>
      </c>
      <c r="C35" s="166">
        <v>-0.0003029517</v>
      </c>
      <c r="D35" s="166">
        <v>0.001275857</v>
      </c>
      <c r="E35" s="166">
        <v>0.002401404</v>
      </c>
      <c r="F35" s="166">
        <v>0.0006870575</v>
      </c>
      <c r="G35" s="166">
        <v>0.001424237</v>
      </c>
      <c r="H35"/>
    </row>
    <row r="36" spans="1:6" ht="12.75">
      <c r="A36" s="165" t="s">
        <v>140</v>
      </c>
      <c r="B36" s="166">
        <v>19.39392</v>
      </c>
      <c r="C36" s="166">
        <v>19.40308</v>
      </c>
      <c r="D36" s="166">
        <v>19.42444</v>
      </c>
      <c r="E36" s="166">
        <v>19.43665</v>
      </c>
      <c r="F36" s="166">
        <v>19.4519</v>
      </c>
    </row>
    <row r="37" spans="1:6" ht="12.75">
      <c r="A37" s="165" t="s">
        <v>141</v>
      </c>
      <c r="B37" s="166">
        <v>0.3102621</v>
      </c>
      <c r="C37" s="166">
        <v>0.2604167</v>
      </c>
      <c r="D37" s="166">
        <v>0.2324422</v>
      </c>
      <c r="E37" s="166">
        <v>0.2131144</v>
      </c>
      <c r="F37" s="166">
        <v>0.197347</v>
      </c>
    </row>
    <row r="38" spans="1:7" ht="12.75">
      <c r="A38" s="165" t="s">
        <v>142</v>
      </c>
      <c r="B38" s="166">
        <v>-8.560325E-05</v>
      </c>
      <c r="C38" s="166">
        <v>-9.86146E-05</v>
      </c>
      <c r="D38" s="166">
        <v>-0.000145451</v>
      </c>
      <c r="E38" s="166">
        <v>-9.079572E-05</v>
      </c>
      <c r="F38" s="166">
        <v>0.0002745452</v>
      </c>
      <c r="G38" s="166">
        <v>-3.04968E-05</v>
      </c>
    </row>
    <row r="39" spans="1:7" ht="12.75">
      <c r="A39" s="165" t="s">
        <v>143</v>
      </c>
      <c r="B39" s="166">
        <v>0.000915821</v>
      </c>
      <c r="C39" s="166">
        <v>0.0009140465</v>
      </c>
      <c r="D39" s="166">
        <v>0.0009326325</v>
      </c>
      <c r="E39" s="166">
        <v>0.001157196</v>
      </c>
      <c r="F39" s="166">
        <v>0.001210881</v>
      </c>
      <c r="G39" s="166">
        <v>0.0005085074</v>
      </c>
    </row>
    <row r="40" spans="2:5" ht="12.75">
      <c r="B40" s="165" t="s">
        <v>144</v>
      </c>
      <c r="C40" s="165">
        <v>0.003759</v>
      </c>
      <c r="D40" s="165" t="s">
        <v>145</v>
      </c>
      <c r="E40" s="165">
        <v>3.11727</v>
      </c>
    </row>
    <row r="42" ht="12.75">
      <c r="A42" s="165" t="s">
        <v>146</v>
      </c>
    </row>
    <row r="50" spans="1:8" ht="12.75">
      <c r="A50" s="165" t="s">
        <v>147</v>
      </c>
      <c r="B50" s="165">
        <f>-0.017/(B7*B7+B22*B22)*(B21*B22+B6*B7)</f>
        <v>-8.560324957796637E-05</v>
      </c>
      <c r="C50" s="165">
        <f>-0.017/(C7*C7+C22*C22)*(C21*C22+C6*C7)</f>
        <v>-9.861459612103902E-05</v>
      </c>
      <c r="D50" s="165">
        <f>-0.017/(D7*D7+D22*D22)*(D21*D22+D6*D7)</f>
        <v>-0.00014545095000529653</v>
      </c>
      <c r="E50" s="165">
        <f>-0.017/(E7*E7+E22*E22)*(E21*E22+E6*E7)</f>
        <v>-9.07957248399991E-05</v>
      </c>
      <c r="F50" s="165">
        <f>-0.017/(F7*F7+F22*F22)*(F21*F22+F6*F7)</f>
        <v>0.0002745451666013273</v>
      </c>
      <c r="G50" s="165">
        <f>(B50*B$4+C50*C$4+D50*D$4+E50*E$4+F50*F$4)/SUM(B$4:F$4)</f>
        <v>-5.6142075295233E-05</v>
      </c>
      <c r="H50"/>
    </row>
    <row r="51" spans="1:8" ht="12.75">
      <c r="A51" s="165" t="s">
        <v>148</v>
      </c>
      <c r="B51" s="165">
        <f>-0.017/(B7*B7+B22*B22)*(B21*B7-B6*B22)</f>
        <v>0.000915821000002207</v>
      </c>
      <c r="C51" s="165">
        <f>-0.017/(C7*C7+C22*C22)*(C21*C7-C6*C22)</f>
        <v>0.0009140465997672214</v>
      </c>
      <c r="D51" s="165">
        <f>-0.017/(D7*D7+D22*D22)*(D21*D7-D6*D22)</f>
        <v>0.0009326325214146654</v>
      </c>
      <c r="E51" s="165">
        <f>-0.017/(E7*E7+E22*E22)*(E21*E7-E6*E22)</f>
        <v>0.0011571957859536637</v>
      </c>
      <c r="F51" s="165">
        <f>-0.017/(F7*F7+F22*F22)*(F21*F7-F6*F22)</f>
        <v>0.0012108810320603563</v>
      </c>
      <c r="G51" s="165">
        <f>(B51*B$4+C51*C$4+D51*D$4+E51*E$4+F51*F$4)/SUM(B$4:F$4)</f>
        <v>0.0010170339251177956</v>
      </c>
      <c r="H51"/>
    </row>
    <row r="58" ht="12.75">
      <c r="A58" s="165" t="s">
        <v>149</v>
      </c>
    </row>
    <row r="60" spans="2:6" ht="12.75">
      <c r="B60" s="165" t="s">
        <v>83</v>
      </c>
      <c r="C60" s="165" t="s">
        <v>84</v>
      </c>
      <c r="D60" s="165" t="s">
        <v>85</v>
      </c>
      <c r="E60" s="165" t="s">
        <v>86</v>
      </c>
      <c r="F60" s="165" t="s">
        <v>87</v>
      </c>
    </row>
    <row r="61" spans="1:6" ht="12.75">
      <c r="A61" s="165" t="s">
        <v>151</v>
      </c>
      <c r="B61" s="165">
        <f>B6+(1/0.017)*(B7*B50-B22*B51)</f>
        <v>0</v>
      </c>
      <c r="C61" s="165">
        <f>C6+(1/0.017)*(C7*C50-C22*C51)</f>
        <v>0</v>
      </c>
      <c r="D61" s="165">
        <f>D6+(1/0.017)*(D7*D50-D22*D51)</f>
        <v>0</v>
      </c>
      <c r="E61" s="165">
        <f>E6+(1/0.017)*(E7*E50-E22*E51)</f>
        <v>0</v>
      </c>
      <c r="F61" s="165">
        <f>F6+(1/0.017)*(F7*F50-F22*F51)</f>
        <v>0</v>
      </c>
    </row>
    <row r="62" spans="1:6" ht="12.75">
      <c r="A62" s="165" t="s">
        <v>154</v>
      </c>
      <c r="B62" s="165">
        <f>B7+(2/0.017)*(B8*B50-B23*B51)</f>
        <v>10000.050819470878</v>
      </c>
      <c r="C62" s="165">
        <f>C7+(2/0.017)*(C8*C50-C23*C51)</f>
        <v>10000.168734014236</v>
      </c>
      <c r="D62" s="165">
        <f>D7+(2/0.017)*(D8*D50-D23*D51)</f>
        <v>10000.077445991783</v>
      </c>
      <c r="E62" s="165">
        <f>E7+(2/0.017)*(E8*E50-E23*E51)</f>
        <v>9999.968188588511</v>
      </c>
      <c r="F62" s="165">
        <f>F7+(2/0.017)*(F8*F50-F23*F51)</f>
        <v>9998.581811913726</v>
      </c>
    </row>
    <row r="63" spans="1:6" ht="12.75">
      <c r="A63" s="165" t="s">
        <v>155</v>
      </c>
      <c r="B63" s="165">
        <f>B8+(3/0.017)*(B9*B50-B24*B51)</f>
        <v>1.1872169472439649</v>
      </c>
      <c r="C63" s="165">
        <f>C8+(3/0.017)*(C9*C50-C24*C51)</f>
        <v>-0.7039726615217886</v>
      </c>
      <c r="D63" s="165">
        <f>D8+(3/0.017)*(D9*D50-D24*D51)</f>
        <v>1.718244877978794</v>
      </c>
      <c r="E63" s="165">
        <f>E8+(3/0.017)*(E9*E50-E24*E51)</f>
        <v>1.193770060337497</v>
      </c>
      <c r="F63" s="165">
        <f>F8+(3/0.017)*(F9*F50-F24*F51)</f>
        <v>-3.7589491777723945</v>
      </c>
    </row>
    <row r="64" spans="1:6" ht="12.75">
      <c r="A64" s="165" t="s">
        <v>156</v>
      </c>
      <c r="B64" s="165">
        <f>B9+(4/0.017)*(B10*B50-B25*B51)</f>
        <v>0.250304177558774</v>
      </c>
      <c r="C64" s="165">
        <f>C9+(4/0.017)*(C10*C50-C25*C51)</f>
        <v>0.06020237986840926</v>
      </c>
      <c r="D64" s="165">
        <f>D9+(4/0.017)*(D10*D50-D25*D51)</f>
        <v>0.17984040724816963</v>
      </c>
      <c r="E64" s="165">
        <f>E9+(4/0.017)*(E10*E50-E25*E51)</f>
        <v>-0.0966602416869008</v>
      </c>
      <c r="F64" s="165">
        <f>F9+(4/0.017)*(F10*F50-F25*F51)</f>
        <v>-1.3450537450531252</v>
      </c>
    </row>
    <row r="65" spans="1:6" ht="12.75">
      <c r="A65" s="165" t="s">
        <v>157</v>
      </c>
      <c r="B65" s="165">
        <f>B10+(5/0.017)*(B11*B50-B26*B51)</f>
        <v>0.5104478984235519</v>
      </c>
      <c r="C65" s="165">
        <f>C10+(5/0.017)*(C11*C50-C26*C51)</f>
        <v>-0.021655017575159557</v>
      </c>
      <c r="D65" s="165">
        <f>D10+(5/0.017)*(D11*D50-D26*D51)</f>
        <v>-0.7342239710783387</v>
      </c>
      <c r="E65" s="165">
        <f>E10+(5/0.017)*(E11*E50-E26*E51)</f>
        <v>-0.2811711874033019</v>
      </c>
      <c r="F65" s="165">
        <f>F10+(5/0.017)*(F11*F50-F26*F51)</f>
        <v>-0.1294764212428507</v>
      </c>
    </row>
    <row r="66" spans="1:6" ht="12.75">
      <c r="A66" s="165" t="s">
        <v>158</v>
      </c>
      <c r="B66" s="165">
        <f>B11+(6/0.017)*(B12*B50-B27*B51)</f>
        <v>4.072100774390639</v>
      </c>
      <c r="C66" s="165">
        <f>C11+(6/0.017)*(C12*C50-C27*C51)</f>
        <v>4.97342896526364</v>
      </c>
      <c r="D66" s="165">
        <f>D11+(6/0.017)*(D12*D50-D27*D51)</f>
        <v>5.028981515766162</v>
      </c>
      <c r="E66" s="165">
        <f>E11+(6/0.017)*(E12*E50-E27*E51)</f>
        <v>5.222048687527934</v>
      </c>
      <c r="F66" s="165">
        <f>F11+(6/0.017)*(F12*F50-F27*F51)</f>
        <v>14.019985971395569</v>
      </c>
    </row>
    <row r="67" spans="1:6" ht="12.75">
      <c r="A67" s="165" t="s">
        <v>159</v>
      </c>
      <c r="B67" s="165">
        <f>B12+(7/0.017)*(B13*B50-B28*B51)</f>
        <v>-0.16375606931166026</v>
      </c>
      <c r="C67" s="165">
        <f>C12+(7/0.017)*(C13*C50-C28*C51)</f>
        <v>-0.19183173497801972</v>
      </c>
      <c r="D67" s="165">
        <f>D12+(7/0.017)*(D13*D50-D28*D51)</f>
        <v>0.009982996613848827</v>
      </c>
      <c r="E67" s="165">
        <f>E12+(7/0.017)*(E13*E50-E28*E51)</f>
        <v>0.28364225766786927</v>
      </c>
      <c r="F67" s="165">
        <f>F12+(7/0.017)*(F13*F50-F28*F51)</f>
        <v>-0.6914279435107817</v>
      </c>
    </row>
    <row r="68" spans="1:6" ht="12.75">
      <c r="A68" s="165" t="s">
        <v>160</v>
      </c>
      <c r="B68" s="165">
        <f>B13+(8/0.017)*(B14*B50-B29*B51)</f>
        <v>-0.061604691422959684</v>
      </c>
      <c r="C68" s="165">
        <f>C13+(8/0.017)*(C14*C50-C29*C51)</f>
        <v>-0.0114467607092262</v>
      </c>
      <c r="D68" s="165">
        <f>D13+(8/0.017)*(D14*D50-D29*D51)</f>
        <v>0.0022300191779384415</v>
      </c>
      <c r="E68" s="165">
        <f>E13+(8/0.017)*(E14*E50-E29*E51)</f>
        <v>-0.009668938733212446</v>
      </c>
      <c r="F68" s="165">
        <f>F13+(8/0.017)*(F14*F50-F29*F51)</f>
        <v>-0.31592410860800074</v>
      </c>
    </row>
    <row r="69" spans="1:6" ht="12.75">
      <c r="A69" s="165" t="s">
        <v>161</v>
      </c>
      <c r="B69" s="165">
        <f>B14+(9/0.017)*(B15*B50-B30*B51)</f>
        <v>0.0706504769016574</v>
      </c>
      <c r="C69" s="165">
        <f>C14+(9/0.017)*(C15*C50-C30*C51)</f>
        <v>0.017970386698373475</v>
      </c>
      <c r="D69" s="165">
        <f>D14+(9/0.017)*(D15*D50-D30*D51)</f>
        <v>-0.08388199413332738</v>
      </c>
      <c r="E69" s="165">
        <f>E14+(9/0.017)*(E15*E50-E30*E51)</f>
        <v>-0.05792332981840058</v>
      </c>
      <c r="F69" s="165">
        <f>F14+(9/0.017)*(F15*F50-F30*F51)</f>
        <v>-0.03295827215401455</v>
      </c>
    </row>
    <row r="70" spans="1:6" ht="12.75">
      <c r="A70" s="165" t="s">
        <v>162</v>
      </c>
      <c r="B70" s="165">
        <f>B15+(10/0.017)*(B16*B50-B31*B51)</f>
        <v>-0.3931327098616295</v>
      </c>
      <c r="C70" s="165">
        <f>C15+(10/0.017)*(C16*C50-C31*C51)</f>
        <v>-0.12698629382810503</v>
      </c>
      <c r="D70" s="165">
        <f>D15+(10/0.017)*(D16*D50-D31*D51)</f>
        <v>-0.12344809351376583</v>
      </c>
      <c r="E70" s="165">
        <f>E15+(10/0.017)*(E16*E50-E31*E51)</f>
        <v>-0.12035989716063625</v>
      </c>
      <c r="F70" s="165">
        <f>F15+(10/0.017)*(F16*F50-F31*F51)</f>
        <v>-0.5024432402489559</v>
      </c>
    </row>
    <row r="71" spans="1:6" ht="12.75">
      <c r="A71" s="165" t="s">
        <v>163</v>
      </c>
      <c r="B71" s="165">
        <f>B16+(11/0.017)*(B17*B50-B32*B51)</f>
        <v>-0.00990127960591388</v>
      </c>
      <c r="C71" s="165">
        <f>C16+(11/0.017)*(C17*C50-C32*C51)</f>
        <v>0.0007291342663046201</v>
      </c>
      <c r="D71" s="165">
        <f>D16+(11/0.017)*(D17*D50-D32*D51)</f>
        <v>0.0021822477711013963</v>
      </c>
      <c r="E71" s="165">
        <f>E16+(11/0.017)*(E17*E50-E32*E51)</f>
        <v>0.031290184570846785</v>
      </c>
      <c r="F71" s="165">
        <f>F16+(11/0.017)*(F17*F50-F32*F51)</f>
        <v>-0.019044441643828035</v>
      </c>
    </row>
    <row r="72" spans="1:6" ht="12.75">
      <c r="A72" s="165" t="s">
        <v>164</v>
      </c>
      <c r="B72" s="165">
        <f>B17+(12/0.017)*(B18*B50-B33*B51)</f>
        <v>-0.014581912700883368</v>
      </c>
      <c r="C72" s="165">
        <f>C17+(12/0.017)*(C18*C50-C33*C51)</f>
        <v>-0.015050543641451766</v>
      </c>
      <c r="D72" s="165">
        <f>D17+(12/0.017)*(D18*D50-D33*D51)</f>
        <v>-0.016407775395552784</v>
      </c>
      <c r="E72" s="165">
        <f>E17+(12/0.017)*(E18*E50-E33*E51)</f>
        <v>-0.01920449791009954</v>
      </c>
      <c r="F72" s="165">
        <f>F17+(12/0.017)*(F18*F50-F33*F51)</f>
        <v>-0.025875679002407448</v>
      </c>
    </row>
    <row r="73" spans="1:6" ht="12.75">
      <c r="A73" s="165" t="s">
        <v>165</v>
      </c>
      <c r="B73" s="165">
        <f>B18+(13/0.017)*(B19*B50-B34*B51)</f>
        <v>0.017399146692294108</v>
      </c>
      <c r="C73" s="165">
        <f>C18+(13/0.017)*(C19*C50-C34*C51)</f>
        <v>0.017405163029312127</v>
      </c>
      <c r="D73" s="165">
        <f>D18+(13/0.017)*(D19*D50-D34*D51)</f>
        <v>0.011384184134633341</v>
      </c>
      <c r="E73" s="165">
        <f>E18+(13/0.017)*(E19*E50-E34*E51)</f>
        <v>0.0029797546398464547</v>
      </c>
      <c r="F73" s="165">
        <f>F18+(13/0.017)*(F19*F50-F34*F51)</f>
        <v>0.006610335674193951</v>
      </c>
    </row>
    <row r="74" spans="1:6" ht="12.75">
      <c r="A74" s="165" t="s">
        <v>166</v>
      </c>
      <c r="B74" s="165">
        <f>B19+(14/0.017)*(B20*B50-B35*B51)</f>
        <v>-0.19523727955245918</v>
      </c>
      <c r="C74" s="165">
        <f>C19+(14/0.017)*(C20*C50-C35*C51)</f>
        <v>-0.18859494487331452</v>
      </c>
      <c r="D74" s="165">
        <f>D19+(14/0.017)*(D20*D50-D35*D51)</f>
        <v>-0.18821803597844058</v>
      </c>
      <c r="E74" s="165">
        <f>E19+(14/0.017)*(E20*E50-E35*E51)</f>
        <v>-0.19023656205942677</v>
      </c>
      <c r="F74" s="165">
        <f>F19+(14/0.017)*(F20*F50-F35*F51)</f>
        <v>-0.13969686700702522</v>
      </c>
    </row>
    <row r="75" spans="1:6" ht="12.75">
      <c r="A75" s="165" t="s">
        <v>167</v>
      </c>
      <c r="B75" s="166">
        <f>B20</f>
        <v>-0.004123221</v>
      </c>
      <c r="C75" s="166">
        <f>C20</f>
        <v>-0.001664901</v>
      </c>
      <c r="D75" s="166">
        <f>D20</f>
        <v>0.0009877318</v>
      </c>
      <c r="E75" s="166">
        <f>E20</f>
        <v>-0.0004164523</v>
      </c>
      <c r="F75" s="166">
        <f>F20</f>
        <v>-0.004224028</v>
      </c>
    </row>
    <row r="78" ht="12.75">
      <c r="A78" s="165" t="s">
        <v>149</v>
      </c>
    </row>
    <row r="80" spans="2:6" ht="12.75">
      <c r="B80" s="165" t="s">
        <v>83</v>
      </c>
      <c r="C80" s="165" t="s">
        <v>84</v>
      </c>
      <c r="D80" s="165" t="s">
        <v>85</v>
      </c>
      <c r="E80" s="165" t="s">
        <v>86</v>
      </c>
      <c r="F80" s="165" t="s">
        <v>87</v>
      </c>
    </row>
    <row r="81" spans="1:6" ht="12.75">
      <c r="A81" s="165" t="s">
        <v>168</v>
      </c>
      <c r="B81" s="165">
        <f>B21+(1/0.017)*(B7*B51+B22*B50)</f>
        <v>0</v>
      </c>
      <c r="C81" s="165">
        <f>C21+(1/0.017)*(C7*C51+C22*C50)</f>
        <v>0</v>
      </c>
      <c r="D81" s="165">
        <f>D21+(1/0.017)*(D7*D51+D22*D50)</f>
        <v>0</v>
      </c>
      <c r="E81" s="165">
        <f>E21+(1/0.017)*(E7*E51+E22*E50)</f>
        <v>0</v>
      </c>
      <c r="F81" s="165">
        <f>F21+(1/0.017)*(F7*F51+F22*F50)</f>
        <v>0</v>
      </c>
    </row>
    <row r="82" spans="1:6" ht="12.75">
      <c r="A82" s="165" t="s">
        <v>169</v>
      </c>
      <c r="B82" s="165">
        <f>B22+(2/0.017)*(B8*B51+B23*B50)</f>
        <v>-15.05891933410378</v>
      </c>
      <c r="C82" s="165">
        <f>C22+(2/0.017)*(C8*C51+C23*C50)</f>
        <v>-22.316956454887617</v>
      </c>
      <c r="D82" s="165">
        <f>D22+(2/0.017)*(D8*D51+D23*D50)</f>
        <v>-16.04885512889417</v>
      </c>
      <c r="E82" s="165">
        <f>E22+(2/0.017)*(E8*E51+E23*E50)</f>
        <v>21.884619096433177</v>
      </c>
      <c r="F82" s="165">
        <f>F22+(2/0.017)*(F8*F51+F23*F50)</f>
        <v>45.4061040359334</v>
      </c>
    </row>
    <row r="83" spans="1:6" ht="12.75">
      <c r="A83" s="165" t="s">
        <v>170</v>
      </c>
      <c r="B83" s="165">
        <f>B23+(3/0.017)*(B9*B51+B24*B50)</f>
        <v>-0.5900720818080082</v>
      </c>
      <c r="C83" s="165">
        <f>C23+(3/0.017)*(C9*C51+C24*C50)</f>
        <v>-1.5454853821138166</v>
      </c>
      <c r="D83" s="165">
        <f>D23+(3/0.017)*(D9*D51+D24*D50)</f>
        <v>-1.0746380737514853</v>
      </c>
      <c r="E83" s="165">
        <f>E23+(3/0.017)*(E9*E51+E24*E50)</f>
        <v>-0.01082698065585111</v>
      </c>
      <c r="F83" s="165">
        <f>F23+(3/0.017)*(F9*F51+F24*F50)</f>
        <v>8.727465808899366</v>
      </c>
    </row>
    <row r="84" spans="1:6" ht="12.75">
      <c r="A84" s="165" t="s">
        <v>171</v>
      </c>
      <c r="B84" s="165">
        <f>B24+(4/0.017)*(B10*B51+B25*B50)</f>
        <v>0.8536780298334311</v>
      </c>
      <c r="C84" s="165">
        <f>C24+(4/0.017)*(C10*C51+C25*C50)</f>
        <v>0.22020768649239902</v>
      </c>
      <c r="D84" s="165">
        <f>D24+(4/0.017)*(D10*D51+D25*D50)</f>
        <v>1.0500356478187822</v>
      </c>
      <c r="E84" s="165">
        <f>E24+(4/0.017)*(E10*E51+E25*E50)</f>
        <v>0.20481703485985586</v>
      </c>
      <c r="F84" s="165">
        <f>F24+(4/0.017)*(F10*F51+F25*F50)</f>
        <v>2.208168701861432</v>
      </c>
    </row>
    <row r="85" spans="1:6" ht="12.75">
      <c r="A85" s="165" t="s">
        <v>172</v>
      </c>
      <c r="B85" s="165">
        <f>B25+(5/0.017)*(B11*B51+B26*B50)</f>
        <v>0.2589444020479811</v>
      </c>
      <c r="C85" s="165">
        <f>C25+(5/0.017)*(C11*C51+C26*C50)</f>
        <v>-0.37170011694586225</v>
      </c>
      <c r="D85" s="165">
        <f>D25+(5/0.017)*(D11*D51+D26*D50)</f>
        <v>-0.6479435780842429</v>
      </c>
      <c r="E85" s="165">
        <f>E25+(5/0.017)*(E11*E51+E26*E50)</f>
        <v>-0.4985210434313794</v>
      </c>
      <c r="F85" s="165">
        <f>F25+(5/0.017)*(F11*F51+F26*F50)</f>
        <v>-1.045209484207481</v>
      </c>
    </row>
    <row r="86" spans="1:6" ht="12.75">
      <c r="A86" s="165" t="s">
        <v>173</v>
      </c>
      <c r="B86" s="165">
        <f>B26+(6/0.017)*(B12*B51+B27*B50)</f>
        <v>0.146075038617192</v>
      </c>
      <c r="C86" s="165">
        <f>C26+(6/0.017)*(C12*C51+C27*C50)</f>
        <v>0.26064530037057343</v>
      </c>
      <c r="D86" s="165">
        <f>D26+(6/0.017)*(D12*D51+D27*D50)</f>
        <v>0.11228249730026807</v>
      </c>
      <c r="E86" s="165">
        <f>E26+(6/0.017)*(E12*E51+E27*E50)</f>
        <v>0.1692181324096976</v>
      </c>
      <c r="F86" s="165">
        <f>F26+(6/0.017)*(F12*F51+F27*F50)</f>
        <v>2.6549968695419492</v>
      </c>
    </row>
    <row r="87" spans="1:6" ht="12.75">
      <c r="A87" s="165" t="s">
        <v>174</v>
      </c>
      <c r="B87" s="165">
        <f>B27+(7/0.017)*(B13*B51+B28*B50)</f>
        <v>-0.010734543740907768</v>
      </c>
      <c r="C87" s="165">
        <f>C27+(7/0.017)*(C13*C51+C28*C50)</f>
        <v>-0.11632575436244116</v>
      </c>
      <c r="D87" s="165">
        <f>D27+(7/0.017)*(D13*D51+D28*D50)</f>
        <v>-0.17299200424682903</v>
      </c>
      <c r="E87" s="165">
        <f>E27+(7/0.017)*(E13*E51+E28*E50)</f>
        <v>-0.21023252264427272</v>
      </c>
      <c r="F87" s="165">
        <f>F27+(7/0.017)*(F13*F51+F28*F50)</f>
        <v>0.17736795140197964</v>
      </c>
    </row>
    <row r="88" spans="1:6" ht="12.75">
      <c r="A88" s="165" t="s">
        <v>175</v>
      </c>
      <c r="B88" s="165">
        <f>B28+(8/0.017)*(B14*B51+B29*B50)</f>
        <v>0.1118880416952179</v>
      </c>
      <c r="C88" s="165">
        <f>C28+(8/0.017)*(C14*C51+C29*C50)</f>
        <v>0.10709777877879251</v>
      </c>
      <c r="D88" s="165">
        <f>D28+(8/0.017)*(D14*D51+D29*D50)</f>
        <v>0.21846781405540025</v>
      </c>
      <c r="E88" s="165">
        <f>E28+(8/0.017)*(E14*E51+E29*E50)</f>
        <v>0.08160793512306887</v>
      </c>
      <c r="F88" s="165">
        <f>F28+(8/0.017)*(F14*F51+F29*F50)</f>
        <v>0.07056792173999347</v>
      </c>
    </row>
    <row r="89" spans="1:6" ht="12.75">
      <c r="A89" s="165" t="s">
        <v>176</v>
      </c>
      <c r="B89" s="165">
        <f>B29+(9/0.017)*(B15*B51+B30*B50)</f>
        <v>-0.06768621182477244</v>
      </c>
      <c r="C89" s="165">
        <f>C29+(9/0.017)*(C15*C51+C30*C50)</f>
        <v>-0.058286519022045916</v>
      </c>
      <c r="D89" s="165">
        <f>D29+(9/0.017)*(D15*D51+D30*D50)</f>
        <v>-0.09558994626974077</v>
      </c>
      <c r="E89" s="165">
        <f>E29+(9/0.017)*(E15*E51+E30*E50)</f>
        <v>-0.09973082196283589</v>
      </c>
      <c r="F89" s="165">
        <f>F29+(9/0.017)*(F15*F51+F30*F50)</f>
        <v>-0.059598879921010484</v>
      </c>
    </row>
    <row r="90" spans="1:6" ht="12.75">
      <c r="A90" s="165" t="s">
        <v>177</v>
      </c>
      <c r="B90" s="165">
        <f>B30+(10/0.017)*(B16*B51+B31*B50)</f>
        <v>0.039110120415042665</v>
      </c>
      <c r="C90" s="165">
        <f>C30+(10/0.017)*(C16*C51+C31*C50)</f>
        <v>0.0411605365405115</v>
      </c>
      <c r="D90" s="165">
        <f>D30+(10/0.017)*(D16*D51+D31*D50)</f>
        <v>-0.011589931181405472</v>
      </c>
      <c r="E90" s="165">
        <f>E30+(10/0.017)*(E16*E51+E31*E50)</f>
        <v>0.01291535757431318</v>
      </c>
      <c r="F90" s="165">
        <f>F30+(10/0.017)*(F16*F51+F31*F50)</f>
        <v>0.06774084427564443</v>
      </c>
    </row>
    <row r="91" spans="1:6" ht="12.75">
      <c r="A91" s="165" t="s">
        <v>178</v>
      </c>
      <c r="B91" s="165">
        <f>B31+(11/0.017)*(B17*B51+B32*B50)</f>
        <v>0.009144429739598888</v>
      </c>
      <c r="C91" s="165">
        <f>C31+(11/0.017)*(C17*C51+C32*C50)</f>
        <v>0.002362791599323153</v>
      </c>
      <c r="D91" s="165">
        <f>D31+(11/0.017)*(D17*D51+D32*D50)</f>
        <v>-0.008503960455081932</v>
      </c>
      <c r="E91" s="165">
        <f>E31+(11/0.017)*(E17*E51+E32*E50)</f>
        <v>-0.006983244423714743</v>
      </c>
      <c r="F91" s="165">
        <f>F31+(11/0.017)*(F17*F51+F32*F50)</f>
        <v>0.004796597923110969</v>
      </c>
    </row>
    <row r="92" spans="1:6" ht="12.75">
      <c r="A92" s="165" t="s">
        <v>179</v>
      </c>
      <c r="B92" s="165">
        <f>B32+(12/0.017)*(B18*B51+B33*B50)</f>
        <v>-0.006875235368312482</v>
      </c>
      <c r="C92" s="165">
        <f>C32+(12/0.017)*(C18*C51+C33*C50)</f>
        <v>0.006147849639365935</v>
      </c>
      <c r="D92" s="165">
        <f>D32+(12/0.017)*(D18*D51+D33*D50)</f>
        <v>0.015101777881121325</v>
      </c>
      <c r="E92" s="165">
        <f>E32+(12/0.017)*(E18*E51+E33*E50)</f>
        <v>0.0006956391960076524</v>
      </c>
      <c r="F92" s="165">
        <f>F32+(12/0.017)*(F18*F51+F33*F50)</f>
        <v>-0.014649896710712765</v>
      </c>
    </row>
    <row r="93" spans="1:6" ht="12.75">
      <c r="A93" s="165" t="s">
        <v>180</v>
      </c>
      <c r="B93" s="165">
        <f>B33+(13/0.017)*(B19*B51+B34*B50)</f>
        <v>-0.0570351024218065</v>
      </c>
      <c r="C93" s="165">
        <f>C33+(13/0.017)*(C19*C51+C34*C50)</f>
        <v>-0.04856413010673205</v>
      </c>
      <c r="D93" s="165">
        <f>D33+(13/0.017)*(D19*D51+D34*D50)</f>
        <v>-0.05375357227589568</v>
      </c>
      <c r="E93" s="165">
        <f>E33+(13/0.017)*(E19*E51+E34*E50)</f>
        <v>-0.055775985451822926</v>
      </c>
      <c r="F93" s="165">
        <f>F33+(13/0.017)*(F19*F51+F34*F50)</f>
        <v>-0.044108070883273134</v>
      </c>
    </row>
    <row r="94" spans="1:6" ht="12.75">
      <c r="A94" s="165" t="s">
        <v>181</v>
      </c>
      <c r="B94" s="165">
        <f>B34+(14/0.017)*(B20*B51+B35*B50)</f>
        <v>-0.002942137520750047</v>
      </c>
      <c r="C94" s="165">
        <f>C34+(14/0.017)*(C20*C51+C35*C50)</f>
        <v>0.004694751650680523</v>
      </c>
      <c r="D94" s="165">
        <f>D34+(14/0.017)*(D20*D51+D35*D50)</f>
        <v>-0.0010965554347339096</v>
      </c>
      <c r="E94" s="165">
        <f>E34+(14/0.017)*(E20*E51+E35*E50)</f>
        <v>-0.0010088001581141986</v>
      </c>
      <c r="F94" s="165">
        <f>F34+(14/0.017)*(F20*F51+F35*F50)</f>
        <v>-0.03872273346800324</v>
      </c>
    </row>
    <row r="95" spans="1:6" ht="12.75">
      <c r="A95" s="165" t="s">
        <v>182</v>
      </c>
      <c r="B95" s="166">
        <f>B35</f>
        <v>-0.0002427012</v>
      </c>
      <c r="C95" s="166">
        <f>C35</f>
        <v>-0.0003029517</v>
      </c>
      <c r="D95" s="166">
        <f>D35</f>
        <v>0.001275857</v>
      </c>
      <c r="E95" s="166">
        <f>E35</f>
        <v>0.002401404</v>
      </c>
      <c r="F95" s="166">
        <f>F35</f>
        <v>0.0006870575</v>
      </c>
    </row>
    <row r="98" ht="12.75">
      <c r="A98" s="165" t="s">
        <v>150</v>
      </c>
    </row>
    <row r="100" spans="2:11" ht="12.75">
      <c r="B100" s="165" t="s">
        <v>83</v>
      </c>
      <c r="C100" s="165" t="s">
        <v>84</v>
      </c>
      <c r="D100" s="165" t="s">
        <v>85</v>
      </c>
      <c r="E100" s="165" t="s">
        <v>86</v>
      </c>
      <c r="F100" s="165" t="s">
        <v>87</v>
      </c>
      <c r="G100" s="165" t="s">
        <v>152</v>
      </c>
      <c r="H100" s="165" t="s">
        <v>153</v>
      </c>
      <c r="I100" s="165" t="s">
        <v>188</v>
      </c>
      <c r="K100" s="165" t="s">
        <v>183</v>
      </c>
    </row>
    <row r="101" spans="1:9" ht="12.75">
      <c r="A101" s="165" t="s">
        <v>151</v>
      </c>
      <c r="B101" s="165">
        <f>B61*10000/B62</f>
        <v>0</v>
      </c>
      <c r="C101" s="165">
        <f>C61*10000/C62</f>
        <v>0</v>
      </c>
      <c r="D101" s="165">
        <f>D61*10000/D62</f>
        <v>0</v>
      </c>
      <c r="E101" s="165">
        <f>E61*10000/E62</f>
        <v>0</v>
      </c>
      <c r="F101" s="165">
        <f>F61*10000/F62</f>
        <v>0</v>
      </c>
      <c r="G101" s="165">
        <f>AVERAGE(C101:E101)</f>
        <v>0</v>
      </c>
      <c r="H101" s="165">
        <f>STDEV(C101:E101)</f>
        <v>0</v>
      </c>
      <c r="I101" s="165">
        <f>(B101*B4+C101*C4+D101*D4+E101*E4+F101*F4)/SUM(B4:F4)</f>
        <v>0</v>
      </c>
    </row>
    <row r="102" spans="1:9" ht="12.75">
      <c r="A102" s="165" t="s">
        <v>154</v>
      </c>
      <c r="B102" s="165">
        <f>B62*10000/B62</f>
        <v>10000</v>
      </c>
      <c r="C102" s="165">
        <f>C62*10000/C62</f>
        <v>10000</v>
      </c>
      <c r="D102" s="165">
        <f>D62*10000/D62</f>
        <v>10000</v>
      </c>
      <c r="E102" s="165">
        <f>E62*10000/E62</f>
        <v>10000</v>
      </c>
      <c r="F102" s="165">
        <f>F62*10000/F62</f>
        <v>10000</v>
      </c>
      <c r="G102" s="165">
        <f>AVERAGE(C102:E102)</f>
        <v>10000</v>
      </c>
      <c r="H102" s="165">
        <f>STDEV(C102:E102)</f>
        <v>0</v>
      </c>
      <c r="I102" s="165">
        <f>(B102*B4+C102*C4+D102*D4+E102*E4+F102*F4)/SUM(B4:F4)</f>
        <v>10000</v>
      </c>
    </row>
    <row r="103" spans="1:11" ht="12.75">
      <c r="A103" s="165" t="s">
        <v>155</v>
      </c>
      <c r="B103" s="165">
        <f>B63*10000/B62</f>
        <v>1.1872109139009184</v>
      </c>
      <c r="C103" s="165">
        <f>C63*10000/C62</f>
        <v>-0.7039607833089053</v>
      </c>
      <c r="D103" s="165">
        <f>D63*10000/D62</f>
        <v>1.7182315709639815</v>
      </c>
      <c r="E103" s="165">
        <f>E63*10000/E62</f>
        <v>1.1937738579006387</v>
      </c>
      <c r="F103" s="165">
        <f>F63*10000/F62</f>
        <v>-3.759482343079346</v>
      </c>
      <c r="G103" s="165">
        <f>AVERAGE(C103:E103)</f>
        <v>0.7360148818519049</v>
      </c>
      <c r="H103" s="165">
        <f>STDEV(C103:E103)</f>
        <v>1.2743278268912583</v>
      </c>
      <c r="I103" s="165">
        <f>(B103*B4+C103*C4+D103*D4+E103*E4+F103*F4)/SUM(B4:F4)</f>
        <v>0.19907755002222013</v>
      </c>
      <c r="K103" s="165">
        <f>(LN(H103)+LN(H123))/2-LN(K114*K115^3)</f>
        <v>-3.8776272992398164</v>
      </c>
    </row>
    <row r="104" spans="1:11" ht="12.75">
      <c r="A104" s="165" t="s">
        <v>156</v>
      </c>
      <c r="B104" s="165">
        <f>B64*10000/B62</f>
        <v>0.2503029055326521</v>
      </c>
      <c r="C104" s="165">
        <f>C64*10000/C62</f>
        <v>0.06020136406662712</v>
      </c>
      <c r="D104" s="165">
        <f>D64*10000/D62</f>
        <v>0.17983901446708597</v>
      </c>
      <c r="E104" s="165">
        <f>E64*10000/E62</f>
        <v>-0.09666054917775126</v>
      </c>
      <c r="F104" s="165">
        <f>F64*10000/F62</f>
        <v>-1.3452445260291193</v>
      </c>
      <c r="G104" s="165">
        <f>AVERAGE(C104:E104)</f>
        <v>0.04779327645198728</v>
      </c>
      <c r="H104" s="165">
        <f>STDEV(C104:E104)</f>
        <v>0.13866676837885775</v>
      </c>
      <c r="I104" s="165">
        <f>(B104*B4+C104*C4+D104*D4+E104*E4+F104*F4)/SUM(B4:F4)</f>
        <v>-0.10955687720595125</v>
      </c>
      <c r="K104" s="165">
        <f>(LN(H104)+LN(H124))/2-LN(K114*K115^4)</f>
        <v>-4.638325311713742</v>
      </c>
    </row>
    <row r="105" spans="1:11" ht="12.75">
      <c r="A105" s="165" t="s">
        <v>157</v>
      </c>
      <c r="B105" s="165">
        <f>B65*10000/B62</f>
        <v>0.5104453043675238</v>
      </c>
      <c r="C105" s="165">
        <f>C65*10000/C62</f>
        <v>-0.02165465218752051</v>
      </c>
      <c r="D105" s="165">
        <f>D65*10000/D62</f>
        <v>-0.7342182848520131</v>
      </c>
      <c r="E105" s="165">
        <f>E65*10000/E62</f>
        <v>-0.2811720818513814</v>
      </c>
      <c r="F105" s="165">
        <f>F65*10000/F62</f>
        <v>-0.12949478603913023</v>
      </c>
      <c r="G105" s="165">
        <f>AVERAGE(C105:E105)</f>
        <v>-0.34568167296363833</v>
      </c>
      <c r="H105" s="165">
        <f>STDEV(C105:E105)</f>
        <v>0.36063533958571975</v>
      </c>
      <c r="I105" s="165">
        <f>(B105*B4+C105*C4+D105*D4+E105*E4+F105*F4)/SUM(B4:F4)</f>
        <v>-0.19312736792855736</v>
      </c>
      <c r="K105" s="165">
        <f>(LN(H105)+LN(H125))/2-LN(K114*K115^5)</f>
        <v>-4.195119955326362</v>
      </c>
    </row>
    <row r="106" spans="1:11" ht="12.75">
      <c r="A106" s="165" t="s">
        <v>158</v>
      </c>
      <c r="B106" s="165">
        <f>B66*10000/B62</f>
        <v>4.072080080295135</v>
      </c>
      <c r="C106" s="165">
        <f>C66*10000/C62</f>
        <v>4.973345048016227</v>
      </c>
      <c r="D106" s="165">
        <f>D66*10000/D62</f>
        <v>5.0289425686216775</v>
      </c>
      <c r="E106" s="165">
        <f>E66*10000/E62</f>
        <v>5.222065299654741</v>
      </c>
      <c r="F106" s="165">
        <f>F66*10000/F62</f>
        <v>14.021974551121014</v>
      </c>
      <c r="G106" s="165">
        <f>AVERAGE(C106:E106)</f>
        <v>5.074784305430882</v>
      </c>
      <c r="H106" s="165">
        <f>STDEV(C106:E106)</f>
        <v>0.13054324769608633</v>
      </c>
      <c r="I106" s="165">
        <f>(B106*B4+C106*C4+D106*D4+E106*E4+F106*F4)/SUM(B4:F4)</f>
        <v>6.128378452312395</v>
      </c>
      <c r="K106" s="165">
        <f>(LN(H106)+LN(H126))/2-LN(K114*K115^6)</f>
        <v>-4.418807639555142</v>
      </c>
    </row>
    <row r="107" spans="1:11" ht="12.75">
      <c r="A107" s="165" t="s">
        <v>159</v>
      </c>
      <c r="B107" s="165">
        <f>B67*10000/B62</f>
        <v>-0.16375523711620987</v>
      </c>
      <c r="C107" s="165">
        <f>C67*10000/C62</f>
        <v>-0.19182849817876546</v>
      </c>
      <c r="D107" s="165">
        <f>D67*10000/D62</f>
        <v>0.009982919300140218</v>
      </c>
      <c r="E107" s="165">
        <f>E67*10000/E62</f>
        <v>0.28364315997679707</v>
      </c>
      <c r="F107" s="165">
        <f>F67*10000/F62</f>
        <v>-0.6915260149063506</v>
      </c>
      <c r="G107" s="165">
        <f>AVERAGE(C107:E107)</f>
        <v>0.033932527032723946</v>
      </c>
      <c r="H107" s="165">
        <f>STDEV(C107:E107)</f>
        <v>0.2386388740549379</v>
      </c>
      <c r="I107" s="165">
        <f>(B107*B4+C107*C4+D107*D4+E107*E4+F107*F4)/SUM(B4:F4)</f>
        <v>-0.09175497623505192</v>
      </c>
      <c r="K107" s="165">
        <f>(LN(H107)+LN(H127))/2-LN(K114*K115^7)</f>
        <v>-3.755446877748227</v>
      </c>
    </row>
    <row r="108" spans="1:9" ht="12.75">
      <c r="A108" s="165" t="s">
        <v>160</v>
      </c>
      <c r="B108" s="165">
        <f>B68*10000/B62</f>
        <v>-0.06160437835276852</v>
      </c>
      <c r="C108" s="165">
        <f>C68*10000/C62</f>
        <v>-0.011446567566696724</v>
      </c>
      <c r="D108" s="165">
        <f>D68*10000/D62</f>
        <v>0.0022300019074675014</v>
      </c>
      <c r="E108" s="165">
        <f>E68*10000/E62</f>
        <v>-0.009668969491569162</v>
      </c>
      <c r="F108" s="165">
        <f>F68*10000/F62</f>
        <v>-0.31596891894364865</v>
      </c>
      <c r="G108" s="165">
        <f>AVERAGE(C108:E108)</f>
        <v>-0.006295178383599461</v>
      </c>
      <c r="H108" s="165">
        <f>STDEV(C108:E108)</f>
        <v>0.007436328931372774</v>
      </c>
      <c r="I108" s="165">
        <f>(B108*B4+C108*C4+D108*D4+E108*E4+F108*F4)/SUM(B4:F4)</f>
        <v>-0.05575624371371632</v>
      </c>
    </row>
    <row r="109" spans="1:9" ht="12.75">
      <c r="A109" s="165" t="s">
        <v>161</v>
      </c>
      <c r="B109" s="165">
        <f>B69*10000/B62</f>
        <v>0.07065011786149669</v>
      </c>
      <c r="C109" s="165">
        <f>C69*10000/C62</f>
        <v>0.017970083481941266</v>
      </c>
      <c r="D109" s="165">
        <f>D69*10000/D62</f>
        <v>-0.08388134450593564</v>
      </c>
      <c r="E109" s="165">
        <f>E69*10000/E62</f>
        <v>-0.05792351408127471</v>
      </c>
      <c r="F109" s="165">
        <f>F69*10000/F62</f>
        <v>-0.03296294691987557</v>
      </c>
      <c r="G109" s="165">
        <f>AVERAGE(C109:E109)</f>
        <v>-0.041278258368423026</v>
      </c>
      <c r="H109" s="165">
        <f>STDEV(C109:E109)</f>
        <v>0.052926616641365665</v>
      </c>
      <c r="I109" s="165">
        <f>(B109*B4+C109*C4+D109*D4+E109*E4+F109*F4)/SUM(B4:F4)</f>
        <v>-0.024007015111189016</v>
      </c>
    </row>
    <row r="110" spans="1:11" ht="12.75">
      <c r="A110" s="165" t="s">
        <v>162</v>
      </c>
      <c r="B110" s="165">
        <f>B70*10000/B62</f>
        <v>-0.3931307119921526</v>
      </c>
      <c r="C110" s="165">
        <f>C70*10000/C62</f>
        <v>-0.12698415117354783</v>
      </c>
      <c r="D110" s="165">
        <f>D70*10000/D62</f>
        <v>-0.12344713746516645</v>
      </c>
      <c r="E110" s="165">
        <f>E70*10000/E62</f>
        <v>-0.12036028004367579</v>
      </c>
      <c r="F110" s="165">
        <f>F70*10000/F62</f>
        <v>-0.5025145062575515</v>
      </c>
      <c r="G110" s="165">
        <f>AVERAGE(C110:E110)</f>
        <v>-0.12359718956079668</v>
      </c>
      <c r="H110" s="165">
        <f>STDEV(C110:E110)</f>
        <v>0.003314483958302261</v>
      </c>
      <c r="I110" s="165">
        <f>(B110*B4+C110*C4+D110*D4+E110*E4+F110*F4)/SUM(B4:F4)</f>
        <v>-0.21325856625126377</v>
      </c>
      <c r="K110" s="165">
        <f>EXP(AVERAGE(K103:K107))</f>
        <v>0.01534346824945893</v>
      </c>
    </row>
    <row r="111" spans="1:9" ht="12.75">
      <c r="A111" s="165" t="s">
        <v>163</v>
      </c>
      <c r="B111" s="165">
        <f>B71*10000/B62</f>
        <v>-0.009901229288390533</v>
      </c>
      <c r="C111" s="165">
        <f>C71*10000/C62</f>
        <v>0.0007291219635370425</v>
      </c>
      <c r="D111" s="165">
        <f>D71*10000/D62</f>
        <v>0.002182230870597989</v>
      </c>
      <c r="E111" s="165">
        <f>E71*10000/E62</f>
        <v>0.03129028410965713</v>
      </c>
      <c r="F111" s="165">
        <f>F71*10000/F62</f>
        <v>-0.019047142886940018</v>
      </c>
      <c r="G111" s="165">
        <f>AVERAGE(C111:E111)</f>
        <v>0.011400545647930721</v>
      </c>
      <c r="H111" s="165">
        <f>STDEV(C111:E111)</f>
        <v>0.01724033507304467</v>
      </c>
      <c r="I111" s="165">
        <f>(B111*B4+C111*C4+D111*D4+E111*E4+F111*F4)/SUM(B4:F4)</f>
        <v>0.004248569797072368</v>
      </c>
    </row>
    <row r="112" spans="1:9" ht="12.75">
      <c r="A112" s="165" t="s">
        <v>164</v>
      </c>
      <c r="B112" s="165">
        <f>B72*10000/B62</f>
        <v>-0.014581838596751176</v>
      </c>
      <c r="C112" s="165">
        <f>C72*10000/C62</f>
        <v>-0.015050289691872255</v>
      </c>
      <c r="D112" s="165">
        <f>D72*10000/D62</f>
        <v>-0.01640764832489305</v>
      </c>
      <c r="E112" s="165">
        <f>E72*10000/E62</f>
        <v>-0.019204559002512427</v>
      </c>
      <c r="F112" s="165">
        <f>F72*10000/F62</f>
        <v>-0.02587934918087633</v>
      </c>
      <c r="G112" s="165">
        <f>AVERAGE(C112:E112)</f>
        <v>-0.016887499006425912</v>
      </c>
      <c r="H112" s="165">
        <f>STDEV(C112:E112)</f>
        <v>0.0021182966939872626</v>
      </c>
      <c r="I112" s="165">
        <f>(B112*B4+C112*C4+D112*D4+E112*E4+F112*F4)/SUM(B4:F4)</f>
        <v>-0.017759111573834536</v>
      </c>
    </row>
    <row r="113" spans="1:9" ht="12.75">
      <c r="A113" s="165" t="s">
        <v>165</v>
      </c>
      <c r="B113" s="165">
        <f>B73*10000/B62</f>
        <v>0.017399058271200595</v>
      </c>
      <c r="C113" s="165">
        <f>C73*10000/C62</f>
        <v>0.01740486934996486</v>
      </c>
      <c r="D113" s="165">
        <f>D73*10000/D62</f>
        <v>0.011384095969373051</v>
      </c>
      <c r="E113" s="165">
        <f>E73*10000/E62</f>
        <v>0.0029797641188967073</v>
      </c>
      <c r="F113" s="165">
        <f>F73*10000/F62</f>
        <v>0.006611273277093619</v>
      </c>
      <c r="G113" s="165">
        <f>AVERAGE(C113:E113)</f>
        <v>0.01058957647941154</v>
      </c>
      <c r="H113" s="165">
        <f>STDEV(C113:E113)</f>
        <v>0.007245299244806521</v>
      </c>
      <c r="I113" s="165">
        <f>(B113*B4+C113*C4+D113*D4+E113*E4+F113*F4)/SUM(B4:F4)</f>
        <v>0.011039310433943067</v>
      </c>
    </row>
    <row r="114" spans="1:11" ht="12.75">
      <c r="A114" s="165" t="s">
        <v>166</v>
      </c>
      <c r="B114" s="165">
        <f>B74*10000/B62</f>
        <v>-0.19523628737197712</v>
      </c>
      <c r="C114" s="165">
        <f>C74*10000/C62</f>
        <v>-0.1885917626887975</v>
      </c>
      <c r="D114" s="165">
        <f>D74*10000/D62</f>
        <v>-0.18821657831648284</v>
      </c>
      <c r="E114" s="165">
        <f>E74*10000/E62</f>
        <v>-0.1902371672307075</v>
      </c>
      <c r="F114" s="165">
        <f>F74*10000/F62</f>
        <v>-0.13971668146033528</v>
      </c>
      <c r="G114" s="165">
        <f>AVERAGE(C114:E114)</f>
        <v>-0.18901516941199592</v>
      </c>
      <c r="H114" s="165">
        <f>STDEV(C114:E114)</f>
        <v>0.0010747789679832458</v>
      </c>
      <c r="I114" s="165">
        <f>(B114*B4+C114*C4+D114*D4+E114*E4+F114*F4)/SUM(B4:F4)</f>
        <v>-0.18331057664516354</v>
      </c>
      <c r="J114" s="165" t="s">
        <v>184</v>
      </c>
      <c r="K114" s="165">
        <v>285</v>
      </c>
    </row>
    <row r="115" spans="1:11" ht="12.75">
      <c r="A115" s="165" t="s">
        <v>167</v>
      </c>
      <c r="B115" s="165">
        <f>B75*10000/B62</f>
        <v>-0.004123200046115533</v>
      </c>
      <c r="C115" s="165">
        <f>C75*10000/C62</f>
        <v>-0.0016648729079311053</v>
      </c>
      <c r="D115" s="165">
        <f>D75*10000/D62</f>
        <v>0.0009877241504723559</v>
      </c>
      <c r="E115" s="165">
        <f>E75*10000/E62</f>
        <v>-0.00041645362479776247</v>
      </c>
      <c r="F115" s="165">
        <f>F75*10000/F62</f>
        <v>-0.004224627131586697</v>
      </c>
      <c r="G115" s="165">
        <f>AVERAGE(C115:E115)</f>
        <v>-0.0003645341274188373</v>
      </c>
      <c r="H115" s="165">
        <f>STDEV(C115:E115)</f>
        <v>0.0013270604787343847</v>
      </c>
      <c r="I115" s="165">
        <f>(B115*B4+C115*C4+D115*D4+E115*E4+F115*F4)/SUM(B4:F4)</f>
        <v>-0.0014241602162266987</v>
      </c>
      <c r="J115" s="165" t="s">
        <v>185</v>
      </c>
      <c r="K115" s="165">
        <v>0.5536</v>
      </c>
    </row>
    <row r="118" ht="12.75">
      <c r="A118" s="165" t="s">
        <v>150</v>
      </c>
    </row>
    <row r="120" spans="2:9" ht="12.75">
      <c r="B120" s="165" t="s">
        <v>83</v>
      </c>
      <c r="C120" s="165" t="s">
        <v>84</v>
      </c>
      <c r="D120" s="165" t="s">
        <v>85</v>
      </c>
      <c r="E120" s="165" t="s">
        <v>86</v>
      </c>
      <c r="F120" s="165" t="s">
        <v>87</v>
      </c>
      <c r="G120" s="165" t="s">
        <v>152</v>
      </c>
      <c r="H120" s="165" t="s">
        <v>153</v>
      </c>
      <c r="I120" s="165" t="s">
        <v>188</v>
      </c>
    </row>
    <row r="121" spans="1:9" ht="12.75">
      <c r="A121" s="165" t="s">
        <v>168</v>
      </c>
      <c r="B121" s="165">
        <f>B81*10000/B62</f>
        <v>0</v>
      </c>
      <c r="C121" s="165">
        <f>C81*10000/C62</f>
        <v>0</v>
      </c>
      <c r="D121" s="165">
        <f>D81*10000/D62</f>
        <v>0</v>
      </c>
      <c r="E121" s="165">
        <f>E81*10000/E62</f>
        <v>0</v>
      </c>
      <c r="F121" s="165">
        <f>F81*10000/F62</f>
        <v>0</v>
      </c>
      <c r="G121" s="165">
        <f>AVERAGE(C121:E121)</f>
        <v>0</v>
      </c>
      <c r="H121" s="165">
        <f>STDEV(C121:E121)</f>
        <v>0</v>
      </c>
      <c r="I121" s="165">
        <f>(B121*B4+C121*C4+D121*D4+E121*E4+F121*F4)/SUM(B4:F4)</f>
        <v>0</v>
      </c>
    </row>
    <row r="122" spans="1:9" ht="12.75">
      <c r="A122" s="165" t="s">
        <v>169</v>
      </c>
      <c r="B122" s="165">
        <f>B82*10000/B62</f>
        <v>-15.058842805861438</v>
      </c>
      <c r="C122" s="165">
        <f>C82*10000/C62</f>
        <v>-22.31657989827659</v>
      </c>
      <c r="D122" s="165">
        <f>D82*10000/D62</f>
        <v>-16.04873083790651</v>
      </c>
      <c r="E122" s="165">
        <f>E82*10000/E62</f>
        <v>21.884688714716976</v>
      </c>
      <c r="F122" s="165">
        <f>F82*10000/F62</f>
        <v>45.412544388875375</v>
      </c>
      <c r="G122" s="165">
        <f>AVERAGE(C122:E122)</f>
        <v>-5.493540673822043</v>
      </c>
      <c r="H122" s="165">
        <f>STDEV(C122:E122)</f>
        <v>23.91646015403391</v>
      </c>
      <c r="I122" s="165">
        <f>(B122*B4+C122*C4+D122*D4+E122*E4+F122*F4)/SUM(B4:F4)</f>
        <v>-0.05458932962716453</v>
      </c>
    </row>
    <row r="123" spans="1:9" ht="12.75">
      <c r="A123" s="165" t="s">
        <v>170</v>
      </c>
      <c r="B123" s="165">
        <f>B83*10000/B62</f>
        <v>-0.5900690831081497</v>
      </c>
      <c r="C123" s="165">
        <f>C83*10000/C62</f>
        <v>-1.54545930495858</v>
      </c>
      <c r="D123" s="165">
        <f>D83*10000/D62</f>
        <v>-1.0746297511747975</v>
      </c>
      <c r="E123" s="165">
        <f>E83*10000/E62</f>
        <v>-0.010827015098114358</v>
      </c>
      <c r="F123" s="165">
        <f>F83*10000/F62</f>
        <v>8.728703703259423</v>
      </c>
      <c r="G123" s="165">
        <f>AVERAGE(C123:E123)</f>
        <v>-0.8769720237438307</v>
      </c>
      <c r="H123" s="165">
        <f>STDEV(C123:E123)</f>
        <v>0.7861777783558087</v>
      </c>
      <c r="I123" s="165">
        <f>(B123*B4+C123*C4+D123*D4+E123*E4+F123*F4)/SUM(B4:F4)</f>
        <v>0.451037093533993</v>
      </c>
    </row>
    <row r="124" spans="1:9" ht="12.75">
      <c r="A124" s="165" t="s">
        <v>171</v>
      </c>
      <c r="B124" s="165">
        <f>B84*10000/B62</f>
        <v>0.8536736915089007</v>
      </c>
      <c r="C124" s="165">
        <f>C84*10000/C62</f>
        <v>0.22020397090240293</v>
      </c>
      <c r="D124" s="165">
        <f>D84*10000/D62</f>
        <v>1.0500275157765464</v>
      </c>
      <c r="E124" s="165">
        <f>E84*10000/E62</f>
        <v>0.20481768641382614</v>
      </c>
      <c r="F124" s="165">
        <f>F84*10000/F62</f>
        <v>2.208481906134235</v>
      </c>
      <c r="G124" s="165">
        <f>AVERAGE(C124:E124)</f>
        <v>0.49168305769759185</v>
      </c>
      <c r="H124" s="165">
        <f>STDEV(C124:E124)</f>
        <v>0.4836016799373241</v>
      </c>
      <c r="I124" s="165">
        <f>(B124*B4+C124*C4+D124*D4+E124*E4+F124*F4)/SUM(B4:F4)</f>
        <v>0.7738628743152998</v>
      </c>
    </row>
    <row r="125" spans="1:9" ht="12.75">
      <c r="A125" s="165" t="s">
        <v>172</v>
      </c>
      <c r="B125" s="165">
        <f>B85*10000/B62</f>
        <v>0.25894308611291866</v>
      </c>
      <c r="C125" s="165">
        <f>C85*10000/C62</f>
        <v>-0.37169384520640536</v>
      </c>
      <c r="D125" s="165">
        <f>D85*10000/D62</f>
        <v>-0.647938560059803</v>
      </c>
      <c r="E125" s="165">
        <f>E85*10000/E62</f>
        <v>-0.49852262930222907</v>
      </c>
      <c r="F125" s="165">
        <f>F85*10000/F62</f>
        <v>-1.0453577355961328</v>
      </c>
      <c r="G125" s="165">
        <f>AVERAGE(C125:E125)</f>
        <v>-0.5060516781894792</v>
      </c>
      <c r="H125" s="165">
        <f>STDEV(C125:E125)</f>
        <v>0.1382761749325195</v>
      </c>
      <c r="I125" s="165">
        <f>(B125*B4+C125*C4+D125*D4+E125*E4+F125*F4)/SUM(B4:F4)</f>
        <v>-0.46784420783925385</v>
      </c>
    </row>
    <row r="126" spans="1:9" ht="12.75">
      <c r="A126" s="165" t="s">
        <v>173</v>
      </c>
      <c r="B126" s="165">
        <f>B86*10000/B62</f>
        <v>0.14607429627534746</v>
      </c>
      <c r="C126" s="165">
        <f>C86*10000/C62</f>
        <v>0.2606409024719986</v>
      </c>
      <c r="D126" s="165">
        <f>D86*10000/D62</f>
        <v>0.11228162772406626</v>
      </c>
      <c r="E126" s="165">
        <f>E86*10000/E62</f>
        <v>0.16921867071817417</v>
      </c>
      <c r="F126" s="165">
        <f>F86*10000/F62</f>
        <v>2.655373451441293</v>
      </c>
      <c r="G126" s="165">
        <f>AVERAGE(C126:E126)</f>
        <v>0.18071373363807966</v>
      </c>
      <c r="H126" s="165">
        <f>STDEV(C126:E126)</f>
        <v>0.07484464546367074</v>
      </c>
      <c r="I126" s="165">
        <f>(B126*B4+C126*C4+D126*D4+E126*E4+F126*F4)/SUM(B4:F4)</f>
        <v>0.5071554514091733</v>
      </c>
    </row>
    <row r="127" spans="1:9" ht="12.75">
      <c r="A127" s="165" t="s">
        <v>174</v>
      </c>
      <c r="B127" s="165">
        <f>B87*10000/B62</f>
        <v>-0.010734489188801696</v>
      </c>
      <c r="C127" s="165">
        <f>C87*10000/C62</f>
        <v>-0.11632379158441065</v>
      </c>
      <c r="D127" s="165">
        <f>D87*10000/D62</f>
        <v>-0.17299066450347086</v>
      </c>
      <c r="E127" s="165">
        <f>E87*10000/E62</f>
        <v>-0.21023319142572885</v>
      </c>
      <c r="F127" s="165">
        <f>F87*10000/F62</f>
        <v>0.17739310908136827</v>
      </c>
      <c r="G127" s="165">
        <f>AVERAGE(C127:E127)</f>
        <v>-0.16651588250453678</v>
      </c>
      <c r="H127" s="165">
        <f>STDEV(C127:E127)</f>
        <v>0.04728832779967418</v>
      </c>
      <c r="I127" s="165">
        <f>(B127*B4+C127*C4+D127*D4+E127*E4+F127*F4)/SUM(B4:F4)</f>
        <v>-0.09796781663132526</v>
      </c>
    </row>
    <row r="128" spans="1:9" ht="12.75">
      <c r="A128" s="165" t="s">
        <v>175</v>
      </c>
      <c r="B128" s="165">
        <f>B88*10000/B62</f>
        <v>0.11188747308899988</v>
      </c>
      <c r="C128" s="165">
        <f>C88*10000/C62</f>
        <v>0.10709597170547107</v>
      </c>
      <c r="D128" s="165">
        <f>D88*10000/D62</f>
        <v>0.21846612212285035</v>
      </c>
      <c r="E128" s="165">
        <f>E88*10000/E62</f>
        <v>0.08160819473025521</v>
      </c>
      <c r="F128" s="165">
        <f>F88*10000/F62</f>
        <v>0.07057793101808585</v>
      </c>
      <c r="G128" s="165">
        <f>AVERAGE(C128:E128)</f>
        <v>0.13572342951952554</v>
      </c>
      <c r="H128" s="165">
        <f>STDEV(C128:E128)</f>
        <v>0.07278167061988074</v>
      </c>
      <c r="I128" s="165">
        <f>(B128*B4+C128*C4+D128*D4+E128*E4+F128*F4)/SUM(B4:F4)</f>
        <v>0.12355362333116127</v>
      </c>
    </row>
    <row r="129" spans="1:9" ht="12.75">
      <c r="A129" s="165" t="s">
        <v>176</v>
      </c>
      <c r="B129" s="165">
        <f>B89*10000/B62</f>
        <v>-0.06768586784877344</v>
      </c>
      <c r="C129" s="165">
        <f>C89*10000/C62</f>
        <v>-0.05828553554680744</v>
      </c>
      <c r="D129" s="165">
        <f>D89*10000/D62</f>
        <v>-0.09558920596965476</v>
      </c>
      <c r="E129" s="165">
        <f>E89*10000/E62</f>
        <v>-0.0997311392216667</v>
      </c>
      <c r="F129" s="165">
        <f>F89*10000/F62</f>
        <v>-0.05960733336201334</v>
      </c>
      <c r="G129" s="165">
        <f>AVERAGE(C129:E129)</f>
        <v>-0.0845352935793763</v>
      </c>
      <c r="H129" s="165">
        <f>STDEV(C129:E129)</f>
        <v>0.02282709465399268</v>
      </c>
      <c r="I129" s="165">
        <f>(B129*B4+C129*C4+D129*D4+E129*E4+F129*F4)/SUM(B4:F4)</f>
        <v>-0.07876506709076436</v>
      </c>
    </row>
    <row r="130" spans="1:9" ht="12.75">
      <c r="A130" s="165" t="s">
        <v>177</v>
      </c>
      <c r="B130" s="165">
        <f>B90*10000/B62</f>
        <v>0.03910992166049018</v>
      </c>
      <c r="C130" s="165">
        <f>C90*10000/C62</f>
        <v>0.04115984203397433</v>
      </c>
      <c r="D130" s="165">
        <f>D90*10000/D62</f>
        <v>-0.011589841422729112</v>
      </c>
      <c r="E130" s="165">
        <f>E90*10000/E62</f>
        <v>0.012915398660019312</v>
      </c>
      <c r="F130" s="165">
        <f>F90*10000/F62</f>
        <v>0.06775045256411104</v>
      </c>
      <c r="G130" s="165">
        <f>AVERAGE(C130:E130)</f>
        <v>0.014161799757088178</v>
      </c>
      <c r="H130" s="165">
        <f>STDEV(C130:E130)</f>
        <v>0.026396920520520645</v>
      </c>
      <c r="I130" s="165">
        <f>(B130*B4+C130*C4+D130*D4+E130*E4+F130*F4)/SUM(B4:F4)</f>
        <v>0.024940757134580764</v>
      </c>
    </row>
    <row r="131" spans="1:9" ht="12.75">
      <c r="A131" s="165" t="s">
        <v>178</v>
      </c>
      <c r="B131" s="165">
        <f>B91*10000/B62</f>
        <v>0.009144383268326967</v>
      </c>
      <c r="C131" s="165">
        <f>C91*10000/C62</f>
        <v>0.0023627517316647203</v>
      </c>
      <c r="D131" s="165">
        <f>D91*10000/D62</f>
        <v>-0.008503894595826832</v>
      </c>
      <c r="E131" s="165">
        <f>E91*10000/E62</f>
        <v>-0.0069832666384716</v>
      </c>
      <c r="F131" s="165">
        <f>F91*10000/F62</f>
        <v>0.0047972782673995065</v>
      </c>
      <c r="G131" s="165">
        <f>AVERAGE(C131:E131)</f>
        <v>-0.004374803167544571</v>
      </c>
      <c r="H131" s="165">
        <f>STDEV(C131:E131)</f>
        <v>0.0058842214320219905</v>
      </c>
      <c r="I131" s="165">
        <f>(B131*B4+C131*C4+D131*D4+E131*E4+F131*F4)/SUM(B4:F4)</f>
        <v>-0.0011948042823335119</v>
      </c>
    </row>
    <row r="132" spans="1:9" ht="12.75">
      <c r="A132" s="165" t="s">
        <v>179</v>
      </c>
      <c r="B132" s="165">
        <f>B92*10000/B62</f>
        <v>-0.006875200428907683</v>
      </c>
      <c r="C132" s="165">
        <f>C92*10000/C62</f>
        <v>0.006147745905981413</v>
      </c>
      <c r="D132" s="165">
        <f>D92*10000/D62</f>
        <v>0.015101660924810535</v>
      </c>
      <c r="E132" s="165">
        <f>E92*10000/E62</f>
        <v>0.0006956414089411634</v>
      </c>
      <c r="F132" s="165">
        <f>F92*10000/F62</f>
        <v>-0.014651974636299726</v>
      </c>
      <c r="G132" s="165">
        <f>AVERAGE(C132:E132)</f>
        <v>0.007315016079911037</v>
      </c>
      <c r="H132" s="165">
        <f>STDEV(C132:E132)</f>
        <v>0.007273598787196856</v>
      </c>
      <c r="I132" s="165">
        <f>(B132*B4+C132*C4+D132*D4+E132*E4+F132*F4)/SUM(B4:F4)</f>
        <v>0.0023238687459636942</v>
      </c>
    </row>
    <row r="133" spans="1:9" ht="12.75">
      <c r="A133" s="165" t="s">
        <v>180</v>
      </c>
      <c r="B133" s="165">
        <f>B93*10000/B62</f>
        <v>-0.05703481257390683</v>
      </c>
      <c r="C133" s="165">
        <f>C93*10000/C62</f>
        <v>-0.048563310678496514</v>
      </c>
      <c r="D133" s="165">
        <f>D93*10000/D62</f>
        <v>-0.053753155979248055</v>
      </c>
      <c r="E133" s="165">
        <f>E93*10000/E62</f>
        <v>-0.05577616288366981</v>
      </c>
      <c r="F133" s="165">
        <f>F93*10000/F62</f>
        <v>-0.04411432712458934</v>
      </c>
      <c r="G133" s="165">
        <f>AVERAGE(C133:E133)</f>
        <v>-0.052697543180471464</v>
      </c>
      <c r="H133" s="165">
        <f>STDEV(C133:E133)</f>
        <v>0.0037204902928409072</v>
      </c>
      <c r="I133" s="165">
        <f>(B133*B4+C133*C4+D133*D4+E133*E4+F133*F4)/SUM(B4:F4)</f>
        <v>-0.05217430053417543</v>
      </c>
    </row>
    <row r="134" spans="1:9" ht="12.75">
      <c r="A134" s="165" t="s">
        <v>181</v>
      </c>
      <c r="B134" s="165">
        <f>B94*10000/B62</f>
        <v>-0.002942122569038825</v>
      </c>
      <c r="C134" s="165">
        <f>C94*10000/C62</f>
        <v>0.0046946724355879646</v>
      </c>
      <c r="D134" s="165">
        <f>D94*10000/D62</f>
        <v>-0.0010965469424173604</v>
      </c>
      <c r="E134" s="165">
        <f>E94*10000/E62</f>
        <v>-0.0010088033672601014</v>
      </c>
      <c r="F134" s="165">
        <f>F94*10000/F62</f>
        <v>-0.0387282258588548</v>
      </c>
      <c r="G134" s="165">
        <f>AVERAGE(C134:E134)</f>
        <v>0.0008631073753035007</v>
      </c>
      <c r="H134" s="165">
        <f>STDEV(C134:E134)</f>
        <v>0.003318522689712978</v>
      </c>
      <c r="I134" s="165">
        <f>(B134*B4+C134*C4+D134*D4+E134*E4+F134*F4)/SUM(B4:F4)</f>
        <v>-0.004989015944864936</v>
      </c>
    </row>
    <row r="135" spans="1:9" ht="12.75">
      <c r="A135" s="165" t="s">
        <v>182</v>
      </c>
      <c r="B135" s="165">
        <f>B95*10000/B62</f>
        <v>-0.00024269996661161145</v>
      </c>
      <c r="C135" s="165">
        <f>C95*10000/C62</f>
        <v>-0.00030294658826060636</v>
      </c>
      <c r="D135" s="165">
        <f>D95*10000/D62</f>
        <v>0.0012758471190754501</v>
      </c>
      <c r="E135" s="165">
        <f>E95*10000/E62</f>
        <v>0.0024014116392293812</v>
      </c>
      <c r="F135" s="165">
        <f>F95*10000/F62</f>
        <v>0.0006871549514965637</v>
      </c>
      <c r="G135" s="165">
        <f>AVERAGE(C135:E135)</f>
        <v>0.001124770723348075</v>
      </c>
      <c r="H135" s="165">
        <f>STDEV(C135:E135)</f>
        <v>0.0013584941713742013</v>
      </c>
      <c r="I135" s="165">
        <f>(B135*B4+C135*C4+D135*D4+E135*E4+F135*F4)/SUM(B4:F4)</f>
        <v>0.000868824793475522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2001-11-15T13:19:38Z</cp:lastPrinted>
  <dcterms:created xsi:type="dcterms:W3CDTF">1999-06-17T15:15:05Z</dcterms:created>
  <dcterms:modified xsi:type="dcterms:W3CDTF">2003-09-26T12:27:35Z</dcterms:modified>
  <cp:category/>
  <cp:version/>
  <cp:contentType/>
  <cp:contentStatus/>
</cp:coreProperties>
</file>