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3960" windowWidth="2625" windowHeight="1065" tabRatio="1000" firstSheet="6" activeTab="7"/>
  </bookViews>
  <sheets>
    <sheet name="Sommaire" sheetId="1" r:id="rId1"/>
    <sheet name="HCMQAP091_pos5ap2" sheetId="2" r:id="rId2"/>
    <sheet name="HCMQAP091_pos2ap2" sheetId="3" r:id="rId3"/>
    <sheet name="HCMQAP091_pos3ap2" sheetId="4" r:id="rId4"/>
    <sheet name="HCMQAP091_pos4ap2" sheetId="5" r:id="rId5"/>
    <sheet name="HCMQAP091_pos1ap2" sheetId="6" r:id="rId6"/>
    <sheet name="Lmag_hcmqap" sheetId="7" r:id="rId7"/>
    <sheet name="Result_HCMQAP" sheetId="8" r:id="rId8"/>
  </sheets>
  <definedNames>
    <definedName name="_xlnm.Print_Area" localSheetId="5">'HCMQAP091_pos1ap2'!$A$1:$N$28</definedName>
    <definedName name="_xlnm.Print_Area" localSheetId="2">'HCMQAP091_pos2ap2'!$A$1:$N$28</definedName>
    <definedName name="_xlnm.Print_Area" localSheetId="3">'HCMQAP091_pos3ap2'!$A$1:$N$28</definedName>
    <definedName name="_xlnm.Print_Area" localSheetId="4">'HCMQAP091_pos4ap2'!$A$1:$N$28</definedName>
    <definedName name="_xlnm.Print_Area" localSheetId="1">'HCMQAP091_pos5ap2'!$A$1:$N$28</definedName>
    <definedName name="_xlnm.Print_Area" localSheetId="6">'Lmag_hcmqap'!$A$1:$G$54</definedName>
    <definedName name="_xlnm.Print_Area" localSheetId="0">'Sommaire'!$A$1:$N$15</definedName>
  </definedNames>
  <calcPr fullCalcOnLoad="1"/>
</workbook>
</file>

<file path=xl/sharedStrings.xml><?xml version="1.0" encoding="utf-8"?>
<sst xmlns="http://schemas.openxmlformats.org/spreadsheetml/2006/main" count="510" uniqueCount="191">
  <si>
    <t>Jour</t>
  </si>
  <si>
    <t>vit-esse</t>
  </si>
  <si>
    <t>I(A)</t>
  </si>
  <si>
    <t>NB mesures</t>
  </si>
  <si>
    <t>Posi-tion</t>
  </si>
  <si>
    <t>N° run</t>
  </si>
  <si>
    <t>NOM Fich.res</t>
  </si>
  <si>
    <t>NOM Fich.raw</t>
  </si>
  <si>
    <t>Observation</t>
  </si>
  <si>
    <t>Nombre de fichiers</t>
  </si>
  <si>
    <t>N° fich. Originel</t>
  </si>
  <si>
    <t>N° fich.  Epuré</t>
  </si>
  <si>
    <t>Bench Number</t>
  </si>
  <si>
    <t>Valeurs dipôlaires en Teslas (signal absolu mesuré par la bobine externe corrigé de la dérive de l'électronique)</t>
  </si>
  <si>
    <t>Magnet Name</t>
  </si>
  <si>
    <t>hcmqap091</t>
  </si>
  <si>
    <t>Magnet Type</t>
  </si>
  <si>
    <t>Aperture Number</t>
  </si>
  <si>
    <t>GMT Time</t>
  </si>
  <si>
    <t>Run Number</t>
  </si>
  <si>
    <t>Valeurs mesurées (unité)</t>
  </si>
  <si>
    <t>Multipôle</t>
  </si>
  <si>
    <t>Run Type</t>
  </si>
  <si>
    <t>manual</t>
  </si>
  <si>
    <t>Average</t>
  </si>
  <si>
    <t>Uncertainty</t>
  </si>
  <si>
    <t>Standard Deviation</t>
  </si>
  <si>
    <t>Coil Name</t>
  </si>
  <si>
    <t>taupe_quadrupole#4</t>
  </si>
  <si>
    <t>Rref</t>
  </si>
  <si>
    <t>Meas Type</t>
  </si>
  <si>
    <t>cmp</t>
  </si>
  <si>
    <t>Shaft Pos</t>
  </si>
  <si>
    <t>Coil length</t>
  </si>
  <si>
    <t>Température (bobine)</t>
  </si>
  <si>
    <t>Spec Curv (I spécifié)</t>
  </si>
  <si>
    <t>Angle(horiz./X_top codeur)</t>
  </si>
  <si>
    <t>Mid Current (I réel moyen)</t>
  </si>
  <si>
    <t>Inclinaison RefMag (niv max)</t>
  </si>
  <si>
    <t>Incli. Cryostat(ecart niv max)</t>
  </si>
  <si>
    <t>Incli. carriage (niv min)</t>
  </si>
  <si>
    <t>Dx moyen(mm)</t>
  </si>
  <si>
    <t>Dy moyen(mm)</t>
  </si>
  <si>
    <t>Analysis Tool</t>
  </si>
  <si>
    <t xml:space="preserve">DRI ROT NOR CEL FDW </t>
  </si>
  <si>
    <t>Number of point</t>
  </si>
  <si>
    <t>VALEURS PRINCIPALES</t>
  </si>
  <si>
    <t>Nombre Mesure</t>
  </si>
  <si>
    <t>Sens du courant</t>
  </si>
  <si>
    <t>+I / -I</t>
  </si>
  <si>
    <t>Vitesse (%)</t>
  </si>
  <si>
    <t>Commentaire</t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</si>
  <si>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créé par le décentrement de la taupe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(+I)-B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</si>
  <si>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issu des champs constants/externes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(+I)+B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</si>
  <si>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>Valeurs quadripolaires: b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a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q</t>
    </r>
    <r>
      <rPr>
        <sz val="10"/>
        <color indexed="8"/>
        <rFont val="Times New Roman"/>
        <family val="1"/>
      </rPr>
      <t xml:space="preserve"> </t>
    </r>
    <r>
      <rPr>
        <vertAlign val="subscript"/>
        <sz val="10"/>
        <color indexed="8"/>
        <rFont val="Times New Roman"/>
        <family val="1"/>
      </rPr>
      <t>Y_top codeur</t>
    </r>
    <r>
      <rPr>
        <sz val="10"/>
        <color indexed="8"/>
        <rFont val="Times New Roman"/>
        <family val="1"/>
      </rPr>
      <t xml:space="preserve"> (mrad)</t>
    </r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</si>
  <si>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-2.089 mT)</t>
    </r>
  </si>
  <si>
    <r>
      <t>Valeurs spécifiées (b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)</t>
    </r>
  </si>
  <si>
    <r>
      <t>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(normal)</t>
    </r>
  </si>
  <si>
    <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n</t>
    </r>
  </si>
  <si>
    <r>
      <t>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(skew)</t>
    </r>
  </si>
  <si>
    <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n</t>
    </r>
  </si>
  <si>
    <r>
      <t>Multipôle refusé (orange) : (av.+unc.+2*STDV)+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(av.-unc.-2*STDV)-</t>
    </r>
    <r>
      <rPr>
        <sz val="10"/>
        <color indexed="8"/>
        <rFont val="Symbol"/>
        <family val="1"/>
      </rPr>
      <t>s</t>
    </r>
  </si>
  <si>
    <r>
      <t>Multipôle litigieux (vert): (av.+unc.+2*STDV)-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(av.-unc.-2*STDV)+</t>
    </r>
    <r>
      <rPr>
        <sz val="10"/>
        <color indexed="8"/>
        <rFont val="Symbol"/>
        <family val="1"/>
      </rPr>
      <t>s</t>
    </r>
  </si>
  <si>
    <r>
      <t>q</t>
    </r>
    <r>
      <rPr>
        <sz val="10"/>
        <color indexed="8"/>
        <rFont val="Times New Roman"/>
        <family val="1"/>
      </rPr>
      <t>(°) = Angle(verticale,C2)</t>
    </r>
  </si>
  <si>
    <r>
      <t>Module de C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(mT)</t>
    </r>
  </si>
  <si>
    <r>
      <t>Module de C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</si>
  <si>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</si>
  <si>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 xml:space="preserve"> (unité)</t>
    </r>
  </si>
  <si>
    <t>HCMQAP091_pos5ap2</t>
  </si>
  <si>
    <t>25/09/2003</t>
  </si>
  <si>
    <t>±12.5</t>
  </si>
  <si>
    <t>THCMQAP091_pos5ap2.xls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</si>
  <si>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-3.762 mT)</t>
    </r>
  </si>
  <si>
    <t>HCMQAP091_pos2ap2</t>
  </si>
  <si>
    <t>THCMQAP091_pos2ap2.xls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</si>
  <si>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-3.761 mT)</t>
    </r>
  </si>
  <si>
    <t>HCMQAP091_pos3ap2</t>
  </si>
  <si>
    <t>THCMQAP091_pos3ap2.xls</t>
  </si>
  <si>
    <t>HCMQAP091_pos4ap2</t>
  </si>
  <si>
    <t>THCMQAP091_pos4ap2.xls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</si>
  <si>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-2.257 mT)</t>
    </r>
  </si>
  <si>
    <t>HCMQAP091_pos1ap2</t>
  </si>
  <si>
    <t>THCMQAP091_pos1ap2.xls</t>
  </si>
  <si>
    <t>Sommaire : Valeurs intégrales calculées avec les fichiers: HCMQAP091_pos5ap2+HCMQAP091_pos2ap2+HCMQAP091_pos3ap2+HCMQAP091_pos4ap2+HCMQAP091_pos1ap2</t>
  </si>
  <si>
    <t>Position 1</t>
  </si>
  <si>
    <t>Position 2</t>
  </si>
  <si>
    <t>Position 3</t>
  </si>
  <si>
    <t>Position 4</t>
  </si>
  <si>
    <t>Position 5</t>
  </si>
  <si>
    <t>Mutipôles</t>
  </si>
  <si>
    <t>C2 (mT)</t>
  </si>
  <si>
    <t>b3</t>
  </si>
  <si>
    <t>a3</t>
  </si>
  <si>
    <t>b4</t>
  </si>
  <si>
    <t>a4</t>
  </si>
  <si>
    <t>b5</t>
  </si>
  <si>
    <t>a5</t>
  </si>
  <si>
    <t>b6</t>
  </si>
  <si>
    <t>a6</t>
  </si>
  <si>
    <t>b7</t>
  </si>
  <si>
    <t>a7</t>
  </si>
  <si>
    <t>b8</t>
  </si>
  <si>
    <t>a8</t>
  </si>
  <si>
    <t>b9</t>
  </si>
  <si>
    <t>a9</t>
  </si>
  <si>
    <t>b10</t>
  </si>
  <si>
    <t>a10</t>
  </si>
  <si>
    <t>b11</t>
  </si>
  <si>
    <t>a11</t>
  </si>
  <si>
    <t>b12</t>
  </si>
  <si>
    <t>a12</t>
  </si>
  <si>
    <t>b13</t>
  </si>
  <si>
    <t>a13</t>
  </si>
  <si>
    <t>b14</t>
  </si>
  <si>
    <t>a14</t>
  </si>
  <si>
    <t>b15</t>
  </si>
  <si>
    <t>a15</t>
  </si>
  <si>
    <t>Angle[Horiz,C2](°)</t>
  </si>
  <si>
    <t>Temp. taupe (°C)</t>
  </si>
  <si>
    <t>Niv. moyen (mrad)</t>
  </si>
  <si>
    <t>Fichiers</t>
  </si>
  <si>
    <t>Long. mag (m)</t>
  </si>
  <si>
    <t>Intégrales</t>
  </si>
  <si>
    <r>
      <t>Intégrale(C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>) = Sum(C</t>
    </r>
    <r>
      <rPr>
        <vertAlign val="subscript"/>
        <sz val="10"/>
        <rFont val="Times New Roman"/>
        <family val="1"/>
      </rPr>
      <t>n,pos=[1,5]</t>
    </r>
    <r>
      <rPr>
        <sz val="10"/>
        <rFont val="Times New Roman"/>
        <family val="1"/>
      </rPr>
      <t>)/(Sum(C</t>
    </r>
    <r>
      <rPr>
        <vertAlign val="subscript"/>
        <sz val="10"/>
        <rFont val="Times New Roman"/>
        <family val="1"/>
      </rPr>
      <t>2,pos=[1,5]</t>
    </r>
    <r>
      <rPr>
        <sz val="10"/>
        <rFont val="Times New Roman"/>
        <family val="1"/>
      </rPr>
      <t>)</t>
    </r>
  </si>
  <si>
    <r>
      <t>Gradient = 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/R</t>
    </r>
    <r>
      <rPr>
        <vertAlign val="subscript"/>
        <sz val="10"/>
        <rFont val="Times New Roman"/>
        <family val="1"/>
      </rPr>
      <t>ref</t>
    </r>
    <r>
      <rPr>
        <sz val="10"/>
        <rFont val="Times New Roman"/>
        <family val="1"/>
      </rPr>
      <t>*(11870/Spec_curv)</t>
    </r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</si>
  <si>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(mT) = (C</t>
    </r>
    <r>
      <rPr>
        <vertAlign val="subscript"/>
        <sz val="10"/>
        <rFont val="Times New Roman"/>
        <family val="1"/>
      </rPr>
      <t>2,pos2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2,pos3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2,pos4</t>
    </r>
    <r>
      <rPr>
        <sz val="10"/>
        <rFont val="Times New Roman"/>
        <family val="1"/>
      </rPr>
      <t>)/3         Long_mag = Intégrale(C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)/C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*.7499     [C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(T) = 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(unit)*C</t>
    </r>
    <r>
      <rPr>
        <vertAlign val="subscript"/>
        <sz val="10"/>
        <rFont val="Times New Roman"/>
        <family val="1"/>
      </rPr>
      <t>2,x</t>
    </r>
    <r>
      <rPr>
        <sz val="10"/>
        <rFont val="Times New Roman"/>
        <family val="1"/>
      </rPr>
      <t>(T)]</t>
    </r>
  </si>
  <si>
    <t xml:space="preserve">Taupe : </t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</si>
  <si>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=-3.761</t>
    </r>
  </si>
  <si>
    <t>Gradient (T/m)</t>
  </si>
  <si>
    <t xml:space="preserve"> Thu 25/09/2003       08:07:09</t>
  </si>
  <si>
    <t>LISSNER</t>
  </si>
  <si>
    <t>HCMQAP091</t>
  </si>
  <si>
    <t>Aperture2</t>
  </si>
  <si>
    <t>Taupe_quadrupole#4</t>
  </si>
  <si>
    <t>Position</t>
  </si>
  <si>
    <t>Integrales</t>
  </si>
  <si>
    <t>Cn (mT)</t>
  </si>
  <si>
    <t>Angle(Horiz,Cn)</t>
  </si>
  <si>
    <t>b1</t>
  </si>
  <si>
    <t>b2</t>
  </si>
  <si>
    <t>b5*</t>
  </si>
  <si>
    <t>a1</t>
  </si>
  <si>
    <t>a2</t>
  </si>
  <si>
    <t>a4*</t>
  </si>
  <si>
    <t>Temp taupe(deg)</t>
  </si>
  <si>
    <t>Niv init(mrad)</t>
  </si>
  <si>
    <t>Dx moy (mm)</t>
  </si>
  <si>
    <t>Dy moy (mm)</t>
  </si>
  <si>
    <t>C2 centre (mT)</t>
  </si>
  <si>
    <t>Long. Mag. (m)</t>
  </si>
  <si>
    <t>* = error on            Conclusion : CONTACT CEA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</si>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</sst>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d/mm/yy\ h:mm:ss"/>
    <numFmt numFmtId="173" formatCode="0.0##"/>
    <numFmt numFmtId="174" formatCode="0.00E+0"/>
    <numFmt numFmtId="175" formatCode="0.0###"/>
    <numFmt numFmtId="176" formatCode="dd/mm/yy\ h:mm"/>
    <numFmt numFmtId="177" formatCode="0.0#"/>
    <numFmt numFmtId="178" formatCode="0.#"/>
    <numFmt numFmtId="179" formatCode="0.000"/>
    <numFmt numFmtId="180" formatCode="dd/mm/yy"/>
  </numFmts>
  <fonts count="15">
    <font>
      <sz val="10"/>
      <name val="Times New Roman"/>
      <family val="1"/>
    </font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Symbol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vertAlign val="subscript"/>
      <sz val="10"/>
      <name val="Times New Roman"/>
      <family val="1"/>
    </font>
    <font>
      <i/>
      <sz val="10"/>
      <color indexed="10"/>
      <name val="Times New Roman"/>
      <family val="1"/>
    </font>
    <font>
      <b/>
      <sz val="10"/>
      <name val="Times New Roman"/>
      <family val="1"/>
    </font>
    <font>
      <b/>
      <sz val="11.5"/>
      <name val="Arial"/>
      <family val="0"/>
    </font>
    <font>
      <sz val="11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>
        <color indexed="8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double">
        <color indexed="10"/>
      </left>
      <right>
        <color indexed="63"/>
      </right>
      <top style="double">
        <color indexed="10"/>
      </top>
      <bottom style="medium"/>
    </border>
    <border>
      <left>
        <color indexed="63"/>
      </left>
      <right>
        <color indexed="63"/>
      </right>
      <top style="double">
        <color indexed="10"/>
      </top>
      <bottom style="medium"/>
    </border>
    <border>
      <left>
        <color indexed="63"/>
      </left>
      <right style="double">
        <color indexed="10"/>
      </right>
      <top style="double">
        <color indexed="10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medium"/>
      <top>
        <color indexed="63"/>
      </top>
      <bottom style="double">
        <color indexed="10"/>
      </bottom>
    </border>
    <border>
      <left style="thin"/>
      <right style="double">
        <color indexed="10"/>
      </right>
      <top>
        <color indexed="63"/>
      </top>
      <bottom style="double">
        <color indexed="1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double"/>
      <top style="double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>
        <color indexed="8"/>
      </right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173" fontId="3" fillId="0" borderId="0" xfId="0" applyNumberFormat="1" applyFont="1" applyFill="1" applyBorder="1" applyAlignment="1">
      <alignment horizontal="left"/>
    </xf>
    <xf numFmtId="173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173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right" vertical="top" wrapText="1"/>
    </xf>
    <xf numFmtId="173" fontId="3" fillId="0" borderId="2" xfId="0" applyNumberFormat="1" applyFont="1" applyFill="1" applyBorder="1" applyAlignment="1">
      <alignment horizontal="left" vertical="top" wrapText="1"/>
    </xf>
    <xf numFmtId="173" fontId="3" fillId="0" borderId="3" xfId="0" applyNumberFormat="1" applyFont="1" applyFill="1" applyBorder="1" applyAlignment="1">
      <alignment horizontal="left"/>
    </xf>
    <xf numFmtId="173" fontId="3" fillId="0" borderId="3" xfId="0" applyNumberFormat="1" applyFont="1" applyFill="1" applyBorder="1" applyAlignment="1">
      <alignment horizontal="center"/>
    </xf>
    <xf numFmtId="173" fontId="3" fillId="0" borderId="3" xfId="0" applyNumberFormat="1" applyFont="1" applyFill="1" applyBorder="1" applyAlignment="1">
      <alignment horizontal="right"/>
    </xf>
    <xf numFmtId="173" fontId="3" fillId="0" borderId="4" xfId="0" applyNumberFormat="1" applyFont="1" applyFill="1" applyBorder="1" applyAlignment="1">
      <alignment horizontal="left" vertical="top" wrapText="1"/>
    </xf>
    <xf numFmtId="1" fontId="3" fillId="0" borderId="3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 vertical="top" wrapText="1"/>
    </xf>
    <xf numFmtId="1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right" vertical="top" wrapText="1"/>
    </xf>
    <xf numFmtId="173" fontId="2" fillId="0" borderId="3" xfId="0" applyNumberFormat="1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horizontal="center" vertical="top" wrapText="1"/>
    </xf>
    <xf numFmtId="178" fontId="3" fillId="0" borderId="3" xfId="0" applyNumberFormat="1" applyFont="1" applyFill="1" applyBorder="1" applyAlignment="1">
      <alignment horizontal="center"/>
    </xf>
    <xf numFmtId="178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center" vertical="top" wrapText="1"/>
    </xf>
    <xf numFmtId="173" fontId="2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78" fontId="3" fillId="2" borderId="3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left"/>
    </xf>
    <xf numFmtId="173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173" fontId="3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0" fillId="0" borderId="0" xfId="0" applyAlignment="1">
      <alignment horizontal="right"/>
    </xf>
    <xf numFmtId="1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left"/>
    </xf>
    <xf numFmtId="173" fontId="2" fillId="2" borderId="3" xfId="0" applyNumberFormat="1" applyFont="1" applyFill="1" applyBorder="1" applyAlignment="1">
      <alignment horizontal="right"/>
    </xf>
    <xf numFmtId="173" fontId="2" fillId="2" borderId="0" xfId="0" applyNumberFormat="1" applyFont="1" applyFill="1" applyBorder="1" applyAlignment="1">
      <alignment horizontal="left"/>
    </xf>
    <xf numFmtId="1" fontId="0" fillId="2" borderId="0" xfId="0" applyNumberFormat="1" applyFill="1" applyAlignment="1">
      <alignment horizontal="center"/>
    </xf>
    <xf numFmtId="180" fontId="3" fillId="0" borderId="2" xfId="0" applyNumberFormat="1" applyFont="1" applyFill="1" applyBorder="1" applyAlignment="1">
      <alignment horizontal="left" vertical="top"/>
    </xf>
    <xf numFmtId="180" fontId="3" fillId="2" borderId="3" xfId="0" applyNumberFormat="1" applyFont="1" applyFill="1" applyBorder="1" applyAlignment="1">
      <alignment horizontal="left"/>
    </xf>
    <xf numFmtId="180" fontId="4" fillId="2" borderId="3" xfId="0" applyNumberFormat="1" applyFont="1" applyFill="1" applyBorder="1" applyAlignment="1">
      <alignment horizontal="left"/>
    </xf>
    <xf numFmtId="180" fontId="2" fillId="0" borderId="3" xfId="0" applyNumberFormat="1" applyFont="1" applyFill="1" applyBorder="1" applyAlignment="1">
      <alignment horizontal="left" vertical="center"/>
    </xf>
    <xf numFmtId="180" fontId="3" fillId="0" borderId="3" xfId="0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 horizontal="left"/>
    </xf>
    <xf numFmtId="173" fontId="3" fillId="0" borderId="7" xfId="0" applyNumberFormat="1" applyFont="1" applyFill="1" applyBorder="1" applyAlignment="1">
      <alignment horizontal="left"/>
    </xf>
    <xf numFmtId="173" fontId="3" fillId="0" borderId="8" xfId="0" applyNumberFormat="1" applyFont="1" applyFill="1" applyBorder="1" applyAlignment="1">
      <alignment horizontal="center"/>
    </xf>
    <xf numFmtId="173" fontId="3" fillId="0" borderId="9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173" fontId="3" fillId="0" borderId="12" xfId="0" applyNumberFormat="1" applyFont="1" applyFill="1" applyBorder="1" applyAlignment="1">
      <alignment horizontal="left"/>
    </xf>
    <xf numFmtId="173" fontId="3" fillId="0" borderId="13" xfId="0" applyNumberFormat="1" applyFont="1" applyFill="1" applyBorder="1" applyAlignment="1">
      <alignment horizontal="center"/>
    </xf>
    <xf numFmtId="173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left"/>
    </xf>
    <xf numFmtId="176" fontId="3" fillId="0" borderId="11" xfId="0" applyNumberFormat="1" applyFont="1" applyFill="1" applyBorder="1" applyAlignment="1">
      <alignment horizontal="left"/>
    </xf>
    <xf numFmtId="173" fontId="3" fillId="0" borderId="16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center"/>
    </xf>
    <xf numFmtId="173" fontId="3" fillId="0" borderId="18" xfId="0" applyNumberFormat="1" applyFont="1" applyFill="1" applyBorder="1" applyAlignment="1">
      <alignment horizontal="center"/>
    </xf>
    <xf numFmtId="173" fontId="3" fillId="0" borderId="12" xfId="0" applyNumberFormat="1" applyFont="1" applyFill="1" applyBorder="1" applyAlignment="1">
      <alignment horizontal="center"/>
    </xf>
    <xf numFmtId="173" fontId="6" fillId="0" borderId="13" xfId="0" applyNumberFormat="1" applyFont="1" applyFill="1" applyBorder="1" applyAlignment="1">
      <alignment horizontal="left"/>
    </xf>
    <xf numFmtId="173" fontId="6" fillId="0" borderId="13" xfId="0" applyNumberFormat="1" applyFont="1" applyFill="1" applyBorder="1" applyAlignment="1">
      <alignment horizontal="center"/>
    </xf>
    <xf numFmtId="173" fontId="6" fillId="0" borderId="14" xfId="0" applyNumberFormat="1" applyFont="1" applyFill="1" applyBorder="1" applyAlignment="1">
      <alignment horizontal="center"/>
    </xf>
    <xf numFmtId="173" fontId="6" fillId="0" borderId="19" xfId="0" applyNumberFormat="1" applyFont="1" applyFill="1" applyBorder="1" applyAlignment="1">
      <alignment horizontal="center"/>
    </xf>
    <xf numFmtId="173" fontId="6" fillId="0" borderId="20" xfId="0" applyNumberFormat="1" applyFont="1" applyFill="1" applyBorder="1" applyAlignment="1">
      <alignment horizontal="center"/>
    </xf>
    <xf numFmtId="173" fontId="3" fillId="0" borderId="13" xfId="0" applyNumberFormat="1" applyFont="1" applyFill="1" applyBorder="1" applyAlignment="1">
      <alignment horizontal="left"/>
    </xf>
    <xf numFmtId="173" fontId="3" fillId="0" borderId="2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173" fontId="3" fillId="0" borderId="22" xfId="0" applyNumberFormat="1" applyFont="1" applyFill="1" applyBorder="1" applyAlignment="1">
      <alignment horizontal="center"/>
    </xf>
    <xf numFmtId="173" fontId="4" fillId="0" borderId="23" xfId="0" applyNumberFormat="1" applyFont="1" applyFill="1" applyBorder="1" applyAlignment="1">
      <alignment horizontal="center"/>
    </xf>
    <xf numFmtId="173" fontId="3" fillId="0" borderId="23" xfId="0" applyNumberFormat="1" applyFont="1" applyFill="1" applyBorder="1" applyAlignment="1">
      <alignment horizontal="center"/>
    </xf>
    <xf numFmtId="173" fontId="3" fillId="0" borderId="24" xfId="0" applyNumberFormat="1" applyFont="1" applyFill="1" applyBorder="1" applyAlignment="1">
      <alignment horizontal="center"/>
    </xf>
    <xf numFmtId="173" fontId="6" fillId="0" borderId="10" xfId="0" applyNumberFormat="1" applyFont="1" applyFill="1" applyBorder="1" applyAlignment="1">
      <alignment horizontal="center"/>
    </xf>
    <xf numFmtId="173" fontId="6" fillId="0" borderId="15" xfId="0" applyNumberFormat="1" applyFont="1" applyFill="1" applyBorder="1" applyAlignment="1">
      <alignment horizontal="center"/>
    </xf>
    <xf numFmtId="173" fontId="6" fillId="3" borderId="15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73" fontId="3" fillId="0" borderId="15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left"/>
    </xf>
    <xf numFmtId="173" fontId="3" fillId="3" borderId="10" xfId="0" applyNumberFormat="1" applyFont="1" applyFill="1" applyBorder="1" applyAlignment="1">
      <alignment horizontal="center"/>
    </xf>
    <xf numFmtId="173" fontId="3" fillId="3" borderId="15" xfId="0" applyNumberFormat="1" applyFont="1" applyFill="1" applyBorder="1" applyAlignment="1">
      <alignment horizontal="center"/>
    </xf>
    <xf numFmtId="173" fontId="3" fillId="0" borderId="10" xfId="0" applyNumberFormat="1" applyFont="1" applyFill="1" applyBorder="1" applyAlignment="1">
      <alignment horizontal="center"/>
    </xf>
    <xf numFmtId="173" fontId="6" fillId="3" borderId="10" xfId="0" applyNumberFormat="1" applyFont="1" applyFill="1" applyBorder="1" applyAlignment="1">
      <alignment horizontal="center"/>
    </xf>
    <xf numFmtId="175" fontId="3" fillId="0" borderId="11" xfId="0" applyNumberFormat="1" applyFont="1" applyFill="1" applyBorder="1" applyAlignment="1">
      <alignment horizontal="left"/>
    </xf>
    <xf numFmtId="173" fontId="6" fillId="0" borderId="11" xfId="0" applyNumberFormat="1" applyFont="1" applyFill="1" applyBorder="1" applyAlignment="1">
      <alignment horizontal="left"/>
    </xf>
    <xf numFmtId="177" fontId="3" fillId="0" borderId="11" xfId="0" applyNumberFormat="1" applyFont="1" applyFill="1" applyBorder="1" applyAlignment="1">
      <alignment horizontal="left"/>
    </xf>
    <xf numFmtId="173" fontId="3" fillId="0" borderId="25" xfId="0" applyNumberFormat="1" applyFont="1" applyFill="1" applyBorder="1" applyAlignment="1">
      <alignment horizontal="center"/>
    </xf>
    <xf numFmtId="173" fontId="3" fillId="0" borderId="26" xfId="0" applyNumberFormat="1" applyFont="1" applyFill="1" applyBorder="1" applyAlignment="1">
      <alignment horizontal="center"/>
    </xf>
    <xf numFmtId="1" fontId="6" fillId="0" borderId="26" xfId="0" applyNumberFormat="1" applyFont="1" applyFill="1" applyBorder="1" applyAlignment="1">
      <alignment horizontal="center"/>
    </xf>
    <xf numFmtId="173" fontId="3" fillId="0" borderId="27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1" fontId="3" fillId="0" borderId="27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77" fontId="3" fillId="0" borderId="0" xfId="0" applyNumberFormat="1" applyFont="1" applyFill="1" applyBorder="1" applyAlignment="1">
      <alignment horizontal="left"/>
    </xf>
    <xf numFmtId="173" fontId="2" fillId="0" borderId="28" xfId="0" applyNumberFormat="1" applyFont="1" applyFill="1" applyBorder="1" applyAlignment="1">
      <alignment horizontal="left"/>
    </xf>
    <xf numFmtId="173" fontId="2" fillId="0" borderId="29" xfId="0" applyNumberFormat="1" applyFont="1" applyFill="1" applyBorder="1" applyAlignment="1">
      <alignment horizontal="left"/>
    </xf>
    <xf numFmtId="173" fontId="8" fillId="0" borderId="29" xfId="0" applyNumberFormat="1" applyFont="1" applyFill="1" applyBorder="1" applyAlignment="1">
      <alignment horizontal="left"/>
    </xf>
    <xf numFmtId="173" fontId="2" fillId="0" borderId="30" xfId="0" applyNumberFormat="1" applyFont="1" applyFill="1" applyBorder="1" applyAlignment="1">
      <alignment horizontal="left"/>
    </xf>
    <xf numFmtId="173" fontId="2" fillId="0" borderId="31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center"/>
    </xf>
    <xf numFmtId="173" fontId="2" fillId="0" borderId="33" xfId="0" applyNumberFormat="1" applyFont="1" applyFill="1" applyBorder="1" applyAlignment="1">
      <alignment horizontal="left"/>
    </xf>
    <xf numFmtId="173" fontId="2" fillId="0" borderId="34" xfId="0" applyNumberFormat="1" applyFont="1" applyFill="1" applyBorder="1" applyAlignment="1">
      <alignment horizontal="left"/>
    </xf>
    <xf numFmtId="173" fontId="2" fillId="0" borderId="35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center"/>
    </xf>
    <xf numFmtId="173" fontId="2" fillId="0" borderId="37" xfId="0" applyNumberFormat="1" applyFont="1" applyFill="1" applyBorder="1" applyAlignment="1">
      <alignment horizontal="left"/>
    </xf>
    <xf numFmtId="173" fontId="2" fillId="0" borderId="38" xfId="0" applyNumberFormat="1" applyFont="1" applyFill="1" applyBorder="1" applyAlignment="1">
      <alignment horizontal="left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173" fontId="2" fillId="0" borderId="40" xfId="0" applyNumberFormat="1" applyFont="1" applyFill="1" applyBorder="1" applyAlignment="1">
      <alignment horizontal="left" vertical="center"/>
    </xf>
    <xf numFmtId="173" fontId="2" fillId="0" borderId="41" xfId="0" applyNumberFormat="1" applyFont="1" applyFill="1" applyBorder="1" applyAlignment="1">
      <alignment horizontal="left" vertical="center"/>
    </xf>
    <xf numFmtId="173" fontId="3" fillId="4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79" fontId="6" fillId="0" borderId="15" xfId="0" applyNumberFormat="1" applyFont="1" applyFill="1" applyBorder="1" applyAlignment="1">
      <alignment horizontal="center"/>
    </xf>
    <xf numFmtId="179" fontId="3" fillId="0" borderId="15" xfId="0" applyNumberFormat="1" applyFont="1" applyFill="1" applyBorder="1" applyAlignment="1">
      <alignment horizontal="center"/>
    </xf>
    <xf numFmtId="179" fontId="3" fillId="3" borderId="15" xfId="0" applyNumberFormat="1" applyFont="1" applyFill="1" applyBorder="1" applyAlignment="1">
      <alignment horizontal="center"/>
    </xf>
    <xf numFmtId="179" fontId="3" fillId="0" borderId="42" xfId="0" applyNumberFormat="1" applyFont="1" applyFill="1" applyBorder="1" applyAlignment="1">
      <alignment horizontal="center"/>
    </xf>
    <xf numFmtId="179" fontId="3" fillId="4" borderId="15" xfId="0" applyNumberFormat="1" applyFont="1" applyFill="1" applyBorder="1" applyAlignment="1">
      <alignment horizontal="center"/>
    </xf>
    <xf numFmtId="179" fontId="0" fillId="0" borderId="43" xfId="0" applyNumberFormat="1" applyBorder="1" applyAlignment="1">
      <alignment horizontal="left"/>
    </xf>
    <xf numFmtId="179" fontId="0" fillId="0" borderId="4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45" xfId="0" applyNumberFormat="1" applyBorder="1" applyAlignment="1">
      <alignment horizontal="center"/>
    </xf>
    <xf numFmtId="179" fontId="0" fillId="0" borderId="46" xfId="0" applyNumberFormat="1" applyBorder="1" applyAlignment="1">
      <alignment horizontal="center"/>
    </xf>
    <xf numFmtId="179" fontId="0" fillId="0" borderId="43" xfId="0" applyNumberFormat="1" applyBorder="1" applyAlignment="1">
      <alignment horizontal="center"/>
    </xf>
    <xf numFmtId="179" fontId="0" fillId="0" borderId="42" xfId="0" applyNumberFormat="1" applyBorder="1" applyAlignment="1">
      <alignment horizontal="center"/>
    </xf>
    <xf numFmtId="179" fontId="0" fillId="0" borderId="47" xfId="0" applyNumberFormat="1" applyBorder="1" applyAlignment="1">
      <alignment horizontal="left"/>
    </xf>
    <xf numFmtId="179" fontId="0" fillId="0" borderId="20" xfId="0" applyNumberFormat="1" applyBorder="1" applyAlignment="1">
      <alignment horizontal="center"/>
    </xf>
    <xf numFmtId="179" fontId="0" fillId="0" borderId="48" xfId="0" applyNumberFormat="1" applyBorder="1" applyAlignment="1">
      <alignment horizontal="center"/>
    </xf>
    <xf numFmtId="179" fontId="0" fillId="0" borderId="49" xfId="0" applyNumberFormat="1" applyBorder="1" applyAlignment="1">
      <alignment horizontal="left"/>
    </xf>
    <xf numFmtId="179" fontId="0" fillId="0" borderId="14" xfId="0" applyNumberFormat="1" applyBorder="1" applyAlignment="1">
      <alignment horizontal="center"/>
    </xf>
    <xf numFmtId="179" fontId="6" fillId="0" borderId="14" xfId="0" applyNumberFormat="1" applyFont="1" applyFill="1" applyBorder="1" applyAlignment="1">
      <alignment horizontal="center"/>
    </xf>
    <xf numFmtId="179" fontId="3" fillId="0" borderId="14" xfId="0" applyNumberFormat="1" applyFont="1" applyFill="1" applyBorder="1" applyAlignment="1">
      <alignment horizontal="center"/>
    </xf>
    <xf numFmtId="179" fontId="3" fillId="3" borderId="14" xfId="0" applyNumberFormat="1" applyFont="1" applyFill="1" applyBorder="1" applyAlignment="1">
      <alignment horizontal="center"/>
    </xf>
    <xf numFmtId="179" fontId="3" fillId="0" borderId="50" xfId="0" applyNumberFormat="1" applyFont="1" applyFill="1" applyBorder="1" applyAlignment="1">
      <alignment horizontal="center"/>
    </xf>
    <xf numFmtId="179" fontId="0" fillId="0" borderId="49" xfId="0" applyNumberFormat="1" applyBorder="1" applyAlignment="1">
      <alignment horizontal="center"/>
    </xf>
    <xf numFmtId="179" fontId="0" fillId="0" borderId="50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 horizontal="center"/>
    </xf>
    <xf numFmtId="179" fontId="6" fillId="0" borderId="55" xfId="0" applyNumberFormat="1" applyFont="1" applyFill="1" applyBorder="1" applyAlignment="1">
      <alignment horizontal="center"/>
    </xf>
    <xf numFmtId="179" fontId="6" fillId="0" borderId="56" xfId="0" applyNumberFormat="1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179" fontId="0" fillId="0" borderId="58" xfId="0" applyNumberFormat="1" applyBorder="1" applyAlignment="1">
      <alignment horizontal="center"/>
    </xf>
    <xf numFmtId="179" fontId="0" fillId="0" borderId="23" xfId="0" applyNumberFormat="1" applyBorder="1" applyAlignment="1">
      <alignment horizontal="center"/>
    </xf>
    <xf numFmtId="179" fontId="0" fillId="0" borderId="59" xfId="0" applyNumberFormat="1" applyBorder="1" applyAlignment="1">
      <alignment horizontal="center"/>
    </xf>
    <xf numFmtId="179" fontId="6" fillId="0" borderId="60" xfId="0" applyNumberFormat="1" applyFont="1" applyFill="1" applyBorder="1" applyAlignment="1">
      <alignment horizontal="center"/>
    </xf>
    <xf numFmtId="179" fontId="3" fillId="3" borderId="20" xfId="0" applyNumberFormat="1" applyFont="1" applyFill="1" applyBorder="1" applyAlignment="1">
      <alignment horizontal="center"/>
    </xf>
    <xf numFmtId="179" fontId="3" fillId="0" borderId="20" xfId="0" applyNumberFormat="1" applyFont="1" applyFill="1" applyBorder="1" applyAlignment="1">
      <alignment horizontal="center"/>
    </xf>
    <xf numFmtId="179" fontId="6" fillId="3" borderId="20" xfId="0" applyNumberFormat="1" applyFont="1" applyFill="1" applyBorder="1" applyAlignment="1">
      <alignment horizontal="center"/>
    </xf>
    <xf numFmtId="179" fontId="6" fillId="0" borderId="20" xfId="0" applyNumberFormat="1" applyFont="1" applyFill="1" applyBorder="1" applyAlignment="1">
      <alignment horizontal="center"/>
    </xf>
    <xf numFmtId="179" fontId="3" fillId="0" borderId="61" xfId="0" applyNumberFormat="1" applyFont="1" applyFill="1" applyBorder="1" applyAlignment="1">
      <alignment horizontal="center"/>
    </xf>
    <xf numFmtId="179" fontId="0" fillId="0" borderId="62" xfId="0" applyNumberFormat="1" applyBorder="1" applyAlignment="1">
      <alignment horizontal="center"/>
    </xf>
    <xf numFmtId="179" fontId="0" fillId="0" borderId="63" xfId="0" applyNumberFormat="1" applyBorder="1" applyAlignment="1">
      <alignment horizontal="center"/>
    </xf>
    <xf numFmtId="179" fontId="0" fillId="0" borderId="64" xfId="0" applyNumberFormat="1" applyBorder="1" applyAlignment="1">
      <alignment horizontal="center"/>
    </xf>
    <xf numFmtId="179" fontId="11" fillId="0" borderId="64" xfId="0" applyNumberFormat="1" applyFont="1" applyBorder="1" applyAlignment="1">
      <alignment horizontal="center"/>
    </xf>
    <xf numFmtId="179" fontId="0" fillId="0" borderId="65" xfId="0" applyNumberFormat="1" applyBorder="1" applyAlignment="1">
      <alignment horizontal="center"/>
    </xf>
    <xf numFmtId="179" fontId="12" fillId="0" borderId="66" xfId="0" applyNumberFormat="1" applyFont="1" applyBorder="1" applyAlignment="1">
      <alignment horizontal="center"/>
    </xf>
    <xf numFmtId="179" fontId="12" fillId="0" borderId="67" xfId="0" applyNumberFormat="1" applyFont="1" applyBorder="1" applyAlignment="1">
      <alignment horizontal="center"/>
    </xf>
    <xf numFmtId="2" fontId="12" fillId="0" borderId="67" xfId="0" applyNumberFormat="1" applyFont="1" applyBorder="1" applyAlignment="1">
      <alignment horizontal="center"/>
    </xf>
    <xf numFmtId="0" fontId="1" fillId="0" borderId="0" xfId="19">
      <alignment/>
      <protection/>
    </xf>
    <xf numFmtId="11" fontId="1" fillId="0" borderId="0" xfId="19" applyNumberFormat="1">
      <alignment/>
      <protection/>
    </xf>
    <xf numFmtId="173" fontId="3" fillId="0" borderId="59" xfId="0" applyNumberFormat="1" applyFont="1" applyFill="1" applyBorder="1" applyAlignment="1">
      <alignment horizontal="center"/>
    </xf>
    <xf numFmtId="173" fontId="3" fillId="0" borderId="58" xfId="0" applyNumberFormat="1" applyFont="1" applyFill="1" applyBorder="1" applyAlignment="1">
      <alignment horizontal="center"/>
    </xf>
    <xf numFmtId="173" fontId="3" fillId="0" borderId="68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esult_HCMQAP091_aper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Lmag_hcmqap!$A$4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Lmag_hcmqap!$B$4:$F$4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Lmag_hcmqap!$A$17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Lmag_hcmqap!$B$17:$F$17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Lmag_hcmqap!$A$7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Lmag_hcmqap!$B$7:$F$7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Lmag_hcmqap!$A$20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Lmag_hcmqap!$B$20:$F$20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Lmag_hcmqap!$A$11</c:f>
              <c:strCache>
                <c:ptCount val="1"/>
                <c:pt idx="0">
                  <c:v>b10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Lmag_hcmqap!$B$11:$F$11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Lmag_hcmqap!$A$24</c:f>
              <c:strCache>
                <c:ptCount val="1"/>
                <c:pt idx="0">
                  <c:v>a10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Lmag_hcmqap!$B$24:$F$24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Lmag_hcmqap!$A$6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Lmag_hcmqap!$B$6:$F$6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Lmag_hcmqap!$A$19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Lmag_hcmqap!$B$19:$F$19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24899274"/>
        <c:axId val="22766875"/>
      </c:lineChart>
      <c:catAx>
        <c:axId val="2489927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22766875"/>
        <c:crosses val="autoZero"/>
        <c:auto val="1"/>
        <c:lblOffset val="100"/>
        <c:noMultiLvlLbl val="0"/>
      </c:catAx>
      <c:valAx>
        <c:axId val="227668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24899274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35</xdr:row>
      <xdr:rowOff>57150</xdr:rowOff>
    </xdr:from>
    <xdr:to>
      <xdr:col>7</xdr:col>
      <xdr:colOff>19050</xdr:colOff>
      <xdr:row>53</xdr:row>
      <xdr:rowOff>133350</xdr:rowOff>
    </xdr:to>
    <xdr:graphicFrame>
      <xdr:nvGraphicFramePr>
        <xdr:cNvPr id="1" name="Chart 1"/>
        <xdr:cNvGraphicFramePr/>
      </xdr:nvGraphicFramePr>
      <xdr:xfrm>
        <a:off x="171450" y="5876925"/>
        <a:ext cx="5381625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N16"/>
  <sheetViews>
    <sheetView workbookViewId="0" topLeftCell="A1">
      <selection activeCell="A6" sqref="A6:IV6"/>
    </sheetView>
  </sheetViews>
  <sheetFormatPr defaultColWidth="9.33203125" defaultRowHeight="15" customHeight="1"/>
  <cols>
    <col min="1" max="1" width="8.33203125" style="43" customWidth="1"/>
    <col min="2" max="2" width="5.5" style="19" customWidth="1"/>
    <col min="3" max="3" width="5.66015625" style="19" customWidth="1"/>
    <col min="4" max="4" width="8.16015625" style="13" customWidth="1"/>
    <col min="5" max="5" width="4.66015625" style="13" customWidth="1"/>
    <col min="6" max="6" width="8.33203125" style="10" customWidth="1"/>
    <col min="7" max="7" width="8" style="10" customWidth="1"/>
    <col min="8" max="8" width="6.16015625" style="13" customWidth="1"/>
    <col min="9" max="9" width="10.83203125" style="9" customWidth="1"/>
    <col min="10" max="10" width="11" style="11" customWidth="1"/>
    <col min="11" max="11" width="35.5" style="3" customWidth="1"/>
    <col min="12" max="13" width="8.83203125" style="3" customWidth="1"/>
    <col min="14" max="14" width="5" style="3" customWidth="1"/>
    <col min="15" max="16384" width="12" style="1" customWidth="1"/>
  </cols>
  <sheetData>
    <row r="1" spans="1:14" s="5" customFormat="1" ht="29.25" customHeight="1" thickBot="1">
      <c r="A1" s="39" t="s">
        <v>0</v>
      </c>
      <c r="B1" s="18" t="s">
        <v>1</v>
      </c>
      <c r="C1" s="18" t="s">
        <v>2</v>
      </c>
      <c r="D1" s="14" t="s">
        <v>3</v>
      </c>
      <c r="E1" s="14" t="s">
        <v>4</v>
      </c>
      <c r="F1" s="21" t="s">
        <v>10</v>
      </c>
      <c r="G1" s="21" t="s">
        <v>11</v>
      </c>
      <c r="H1" s="14" t="s">
        <v>5</v>
      </c>
      <c r="I1" s="8" t="s">
        <v>6</v>
      </c>
      <c r="J1" s="16" t="s">
        <v>7</v>
      </c>
      <c r="K1" s="6" t="s">
        <v>8</v>
      </c>
      <c r="L1" s="6"/>
      <c r="M1" s="12" t="s">
        <v>9</v>
      </c>
      <c r="N1" s="7">
        <v>6</v>
      </c>
    </row>
    <row r="2" spans="1:14" s="29" customFormat="1" ht="15" customHeight="1" thickTop="1">
      <c r="A2" s="40" t="s">
        <v>69</v>
      </c>
      <c r="B2" s="24">
        <v>80</v>
      </c>
      <c r="C2" s="24" t="s">
        <v>70</v>
      </c>
      <c r="D2" s="25">
        <v>5</v>
      </c>
      <c r="E2" s="25">
        <v>5</v>
      </c>
      <c r="F2" s="26"/>
      <c r="G2" s="26" t="s">
        <v>68</v>
      </c>
      <c r="H2" s="25">
        <v>2307</v>
      </c>
      <c r="I2" s="27" t="s">
        <v>71</v>
      </c>
      <c r="J2" s="30"/>
      <c r="K2" s="28"/>
      <c r="L2" s="28"/>
      <c r="M2" s="28"/>
      <c r="N2" s="28"/>
    </row>
    <row r="3" spans="1:14" s="29" customFormat="1" ht="15" customHeight="1">
      <c r="A3" s="40" t="s">
        <v>69</v>
      </c>
      <c r="B3" s="24">
        <v>80</v>
      </c>
      <c r="C3" s="24" t="s">
        <v>70</v>
      </c>
      <c r="D3" s="25">
        <v>5</v>
      </c>
      <c r="E3" s="25">
        <v>2</v>
      </c>
      <c r="F3" s="26"/>
      <c r="G3" s="26" t="s">
        <v>73</v>
      </c>
      <c r="H3" s="25">
        <v>2307</v>
      </c>
      <c r="I3" s="27" t="s">
        <v>74</v>
      </c>
      <c r="J3" s="30"/>
      <c r="K3" s="28"/>
      <c r="L3" s="28"/>
      <c r="M3" s="28"/>
      <c r="N3" s="28"/>
    </row>
    <row r="4" spans="1:14" s="29" customFormat="1" ht="15" customHeight="1">
      <c r="A4" s="40" t="s">
        <v>69</v>
      </c>
      <c r="B4" s="24">
        <v>80</v>
      </c>
      <c r="C4" s="24" t="s">
        <v>70</v>
      </c>
      <c r="D4" s="25">
        <v>5</v>
      </c>
      <c r="E4" s="25">
        <v>3</v>
      </c>
      <c r="F4" s="26"/>
      <c r="G4" s="26" t="s">
        <v>76</v>
      </c>
      <c r="H4" s="25">
        <v>2307</v>
      </c>
      <c r="I4" s="27" t="s">
        <v>77</v>
      </c>
      <c r="J4" s="30"/>
      <c r="K4" s="31"/>
      <c r="L4" s="31"/>
      <c r="M4" s="31"/>
      <c r="N4" s="28"/>
    </row>
    <row r="5" spans="1:14" s="29" customFormat="1" ht="15" customHeight="1">
      <c r="A5" s="40" t="s">
        <v>69</v>
      </c>
      <c r="B5" s="24">
        <v>80</v>
      </c>
      <c r="C5" s="24" t="s">
        <v>70</v>
      </c>
      <c r="D5" s="25">
        <v>5</v>
      </c>
      <c r="E5" s="25">
        <v>4</v>
      </c>
      <c r="F5" s="26"/>
      <c r="G5" s="26" t="s">
        <v>78</v>
      </c>
      <c r="H5" s="25">
        <v>2307</v>
      </c>
      <c r="I5" s="27" t="s">
        <v>79</v>
      </c>
      <c r="J5" s="30"/>
      <c r="K5" s="28"/>
      <c r="L5" s="28"/>
      <c r="M5" s="28"/>
      <c r="N5" s="28"/>
    </row>
    <row r="6" spans="1:14" s="29" customFormat="1" ht="15" customHeight="1">
      <c r="A6" s="40" t="s">
        <v>69</v>
      </c>
      <c r="B6" s="24">
        <v>80</v>
      </c>
      <c r="C6" s="24" t="s">
        <v>70</v>
      </c>
      <c r="D6" s="25">
        <v>5</v>
      </c>
      <c r="E6" s="25">
        <v>1</v>
      </c>
      <c r="F6" s="26"/>
      <c r="G6" s="26" t="s">
        <v>81</v>
      </c>
      <c r="H6" s="25">
        <v>2307</v>
      </c>
      <c r="I6" s="27" t="s">
        <v>82</v>
      </c>
      <c r="J6" s="30"/>
      <c r="K6" s="28"/>
      <c r="L6" s="28"/>
      <c r="M6" s="28"/>
      <c r="N6" s="28"/>
    </row>
    <row r="7" spans="1:14" s="29" customFormat="1" ht="15" customHeight="1">
      <c r="A7" s="40" t="s">
        <v>83</v>
      </c>
      <c r="B7" s="24"/>
      <c r="C7" s="24"/>
      <c r="D7" s="25"/>
      <c r="E7" s="25"/>
      <c r="F7" s="26"/>
      <c r="G7" s="26"/>
      <c r="H7" s="25"/>
      <c r="I7" s="27"/>
      <c r="J7" s="30"/>
      <c r="K7" s="28"/>
      <c r="L7" s="28"/>
      <c r="M7" s="28"/>
      <c r="N7" s="28"/>
    </row>
    <row r="8" spans="1:14" s="29" customFormat="1" ht="15" customHeight="1">
      <c r="A8" s="40"/>
      <c r="B8" s="24"/>
      <c r="C8" s="24"/>
      <c r="D8" s="25"/>
      <c r="E8" s="25"/>
      <c r="F8" s="26"/>
      <c r="G8" s="26"/>
      <c r="H8" s="25"/>
      <c r="I8" s="27"/>
      <c r="J8" s="30"/>
      <c r="K8" s="28"/>
      <c r="L8" s="28"/>
      <c r="M8" s="28"/>
      <c r="N8" s="28"/>
    </row>
    <row r="9" spans="1:14" s="29" customFormat="1" ht="15" customHeight="1">
      <c r="A9" s="40"/>
      <c r="B9" s="24"/>
      <c r="C9" s="24"/>
      <c r="D9" s="25"/>
      <c r="E9" s="25"/>
      <c r="F9" s="26"/>
      <c r="G9" s="26"/>
      <c r="H9" s="25"/>
      <c r="I9" s="27"/>
      <c r="J9" s="30"/>
      <c r="K9" s="28"/>
      <c r="L9" s="28"/>
      <c r="M9" s="28"/>
      <c r="N9" s="28"/>
    </row>
    <row r="10" spans="1:14" s="29" customFormat="1" ht="18" customHeight="1">
      <c r="A10" s="41"/>
      <c r="B10" s="24"/>
      <c r="C10" s="24"/>
      <c r="D10" s="25"/>
      <c r="E10" s="33"/>
      <c r="F10" s="34"/>
      <c r="G10" s="117"/>
      <c r="H10" s="33"/>
      <c r="I10" s="35"/>
      <c r="J10" s="36"/>
      <c r="K10" s="37"/>
      <c r="L10" s="37"/>
      <c r="M10" s="28"/>
      <c r="N10" s="28"/>
    </row>
    <row r="11" spans="1:14" s="29" customFormat="1" ht="18" customHeight="1">
      <c r="A11" s="40"/>
      <c r="B11" s="24"/>
      <c r="C11" s="24"/>
      <c r="D11" s="38"/>
      <c r="E11" s="33"/>
      <c r="F11" s="34"/>
      <c r="G11" s="34"/>
      <c r="H11" s="33"/>
      <c r="I11" s="35"/>
      <c r="J11" s="36"/>
      <c r="K11" s="37"/>
      <c r="L11" s="37"/>
      <c r="M11" s="28"/>
      <c r="N11" s="28"/>
    </row>
    <row r="12" spans="1:14" s="29" customFormat="1" ht="18" customHeight="1">
      <c r="A12" s="40"/>
      <c r="B12" s="24"/>
      <c r="C12" s="24"/>
      <c r="D12" s="25"/>
      <c r="E12" s="33"/>
      <c r="F12" s="34"/>
      <c r="G12" s="34"/>
      <c r="H12" s="33"/>
      <c r="I12" s="35"/>
      <c r="J12" s="36"/>
      <c r="K12" s="37"/>
      <c r="L12" s="37"/>
      <c r="M12" s="28"/>
      <c r="N12" s="28"/>
    </row>
    <row r="13" spans="1:14" s="29" customFormat="1" ht="15" customHeight="1">
      <c r="A13" s="40"/>
      <c r="B13" s="24"/>
      <c r="C13" s="24"/>
      <c r="D13" s="25"/>
      <c r="E13" s="25"/>
      <c r="F13" s="26"/>
      <c r="G13" s="26"/>
      <c r="H13" s="25"/>
      <c r="I13" s="27"/>
      <c r="J13" s="30"/>
      <c r="K13" s="31"/>
      <c r="L13" s="28"/>
      <c r="M13" s="28"/>
      <c r="N13" s="28"/>
    </row>
    <row r="14" spans="1:14" s="29" customFormat="1" ht="15" customHeight="1">
      <c r="A14" s="40"/>
      <c r="B14" s="24"/>
      <c r="C14" s="24"/>
      <c r="D14" s="25"/>
      <c r="E14" s="25"/>
      <c r="F14" s="26"/>
      <c r="G14" s="26"/>
      <c r="H14" s="25"/>
      <c r="I14" s="28"/>
      <c r="J14" s="30"/>
      <c r="K14" s="31"/>
      <c r="L14" s="28"/>
      <c r="M14" s="28"/>
      <c r="N14" s="28"/>
    </row>
    <row r="15" spans="1:14" s="2" customFormat="1" ht="18" customHeight="1">
      <c r="A15" s="42"/>
      <c r="B15" s="20"/>
      <c r="C15" s="20"/>
      <c r="D15" s="15"/>
      <c r="E15" s="15"/>
      <c r="F15" s="22"/>
      <c r="G15" s="22"/>
      <c r="H15" s="15"/>
      <c r="I15" s="23"/>
      <c r="J15" s="17"/>
      <c r="K15" s="4"/>
      <c r="L15" s="4"/>
      <c r="M15" s="4"/>
      <c r="N15" s="4"/>
    </row>
    <row r="16" spans="10:14" ht="15" customHeight="1">
      <c r="J16" s="32"/>
      <c r="M16"/>
      <c r="N16"/>
    </row>
  </sheetData>
  <printOptions/>
  <pageMargins left="0.7086614173228347" right="0.7086614173228347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&amp;C&amp;F : &amp;A&amp;RFichier d'origine: 43271612res</oddHeader>
    <oddFooter>&amp;L&amp;"Times New Roman,bold"CEA/DSM/DAPNIA/STCM &amp;C&amp;D&amp;RLHCQ2 - Mesures Magnétiques à Chaud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4.6679114E-05</v>
      </c>
      <c r="L2" s="54">
        <v>1.2367039502943654E-06</v>
      </c>
      <c r="M2" s="54">
        <v>0.00011792460999999999</v>
      </c>
      <c r="N2" s="55">
        <v>3.8598452482255583E-07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-3.1138482E-05</v>
      </c>
      <c r="L3" s="54">
        <v>2.0695922343834697E-07</v>
      </c>
      <c r="M3" s="54">
        <v>1.0177709999999996E-05</v>
      </c>
      <c r="N3" s="55">
        <v>1.219416639216767E-07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-0.002088524792191993</v>
      </c>
      <c r="L4" s="54">
        <v>-3.429214660942394E-05</v>
      </c>
      <c r="M4" s="54">
        <v>7.098914688871469E-08</v>
      </c>
      <c r="N4" s="55">
        <v>8.208919900000001</v>
      </c>
    </row>
    <row r="5" spans="1:14" ht="15" customHeight="1" thickBot="1">
      <c r="A5" t="s">
        <v>18</v>
      </c>
      <c r="B5" s="58">
        <v>37889.33479166667</v>
      </c>
      <c r="D5" s="59"/>
      <c r="E5" s="60" t="s">
        <v>55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2307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70" t="s">
        <v>24</v>
      </c>
      <c r="J7" s="171"/>
      <c r="K7" s="170" t="s">
        <v>25</v>
      </c>
      <c r="L7" s="171"/>
      <c r="M7" s="170" t="s">
        <v>26</v>
      </c>
      <c r="N7" s="172"/>
    </row>
    <row r="8" spans="1:14" ht="15" customHeight="1">
      <c r="A8" s="56" t="s">
        <v>27</v>
      </c>
      <c r="B8" s="71" t="s">
        <v>28</v>
      </c>
      <c r="D8" s="76">
        <v>-0.9601670600000001</v>
      </c>
      <c r="E8" s="77">
        <v>0.0217324931307569</v>
      </c>
      <c r="F8" s="78">
        <v>10.2954973</v>
      </c>
      <c r="G8" s="77">
        <v>0.0306867393215531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3">
        <v>-3.7318888</v>
      </c>
      <c r="E9" s="80">
        <v>0.04483283112249619</v>
      </c>
      <c r="F9" s="84">
        <v>3.4333278999999997</v>
      </c>
      <c r="G9" s="80">
        <v>0.06720479342832077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5">
        <v>-2.1244818</v>
      </c>
      <c r="E10" s="80">
        <v>0.07106681982461419</v>
      </c>
      <c r="F10" s="84">
        <v>-10.663936</v>
      </c>
      <c r="G10" s="80">
        <v>0.016877967413074145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5</v>
      </c>
      <c r="D11" s="86">
        <v>15.274173999999999</v>
      </c>
      <c r="E11" s="77">
        <v>0.008188443318181804</v>
      </c>
      <c r="F11" s="77">
        <v>1.6922351</v>
      </c>
      <c r="G11" s="77">
        <v>0.01902743526175394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7">
        <v>0.7499</v>
      </c>
      <c r="D12" s="85">
        <v>-0.062976827</v>
      </c>
      <c r="E12" s="80">
        <v>0.004543026724658942</v>
      </c>
      <c r="F12" s="80">
        <v>0.49571558</v>
      </c>
      <c r="G12" s="80">
        <v>0.010472453450153794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19.906617</v>
      </c>
      <c r="D13" s="85">
        <v>0.003257891</v>
      </c>
      <c r="E13" s="80">
        <v>0.0038954095366012546</v>
      </c>
      <c r="F13" s="80">
        <v>-0.041058806999999996</v>
      </c>
      <c r="G13" s="80">
        <v>0.005681931192338209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8">
        <v>12.5</v>
      </c>
      <c r="D14" s="85">
        <v>0.38441088</v>
      </c>
      <c r="E14" s="80">
        <v>0.008292136945057385</v>
      </c>
      <c r="F14" s="80">
        <v>0.26741278</v>
      </c>
      <c r="G14" s="80">
        <v>0.00485701498686074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76">
        <v>-0.35560349</v>
      </c>
      <c r="E15" s="77">
        <v>0.0021493897230097253</v>
      </c>
      <c r="F15" s="77">
        <v>0.17535771000000003</v>
      </c>
      <c r="G15" s="77">
        <v>0.0045131477298437465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12.506</v>
      </c>
      <c r="D16" s="85">
        <v>-0.02077327969</v>
      </c>
      <c r="E16" s="80">
        <v>0.0040669835753143</v>
      </c>
      <c r="F16" s="80">
        <v>-0.02203218</v>
      </c>
      <c r="G16" s="80">
        <v>0.0028321777794527983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0.4099999964237213</v>
      </c>
      <c r="D17" s="85">
        <v>0.09709249700000001</v>
      </c>
      <c r="E17" s="80">
        <v>0.001715254061660721</v>
      </c>
      <c r="F17" s="80">
        <v>-0.019719507</v>
      </c>
      <c r="G17" s="80">
        <v>0.00416474865307747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-10.680999755859375</v>
      </c>
      <c r="D18" s="85">
        <v>0.00739929401</v>
      </c>
      <c r="E18" s="80">
        <v>0.0014434365575243487</v>
      </c>
      <c r="F18" s="80">
        <v>0.13234719</v>
      </c>
      <c r="G18" s="80">
        <v>0.0029680843731943345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-0.15399999916553497</v>
      </c>
      <c r="D19" s="85">
        <v>-0.13202772999999998</v>
      </c>
      <c r="E19" s="80">
        <v>0.0011703442043270798</v>
      </c>
      <c r="F19" s="80">
        <v>-0.021504134</v>
      </c>
      <c r="G19" s="80">
        <v>0.0008393575330060342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9">
        <v>0.36412429999999996</v>
      </c>
      <c r="D20" s="90">
        <v>-0.0019201985499999997</v>
      </c>
      <c r="E20" s="91">
        <v>0.0026620657549641094</v>
      </c>
      <c r="F20" s="91">
        <v>0.00416924034</v>
      </c>
      <c r="G20" s="91">
        <v>0.0016233043261173672</v>
      </c>
      <c r="H20" s="92">
        <v>15</v>
      </c>
      <c r="I20" s="91">
        <v>0</v>
      </c>
      <c r="J20" s="91">
        <v>0</v>
      </c>
      <c r="K20" s="91">
        <v>0</v>
      </c>
      <c r="L20" s="91">
        <v>0</v>
      </c>
      <c r="M20" s="91">
        <v>0.05</v>
      </c>
      <c r="N20" s="93">
        <v>0.05</v>
      </c>
    </row>
    <row r="21" spans="1:6" ht="15" customHeight="1">
      <c r="A21" s="56" t="s">
        <v>42</v>
      </c>
      <c r="B21" s="89">
        <v>0.9658165000000001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4" t="s">
        <v>45</v>
      </c>
      <c r="B23" s="95">
        <v>15</v>
      </c>
    </row>
    <row r="24" spans="1:12" ht="18" customHeight="1" thickBot="1" thickTop="1">
      <c r="A24" s="96" t="s">
        <v>63</v>
      </c>
      <c r="B24" s="97">
        <v>0.4703368619075055</v>
      </c>
      <c r="E24" s="98"/>
      <c r="F24" s="99"/>
      <c r="G24" s="100" t="s">
        <v>46</v>
      </c>
      <c r="H24" s="99"/>
      <c r="I24" s="99"/>
      <c r="J24" s="99"/>
      <c r="K24" s="99"/>
      <c r="L24" s="101"/>
    </row>
    <row r="25" spans="1:12" ht="18" customHeight="1">
      <c r="A25" s="44" t="s">
        <v>47</v>
      </c>
      <c r="B25" s="45">
        <v>10</v>
      </c>
      <c r="E25" s="102" t="s">
        <v>64</v>
      </c>
      <c r="F25" s="103"/>
      <c r="G25" s="104"/>
      <c r="H25" s="105">
        <v>-2.0888063</v>
      </c>
      <c r="I25" s="103" t="s">
        <v>65</v>
      </c>
      <c r="J25" s="104"/>
      <c r="K25" s="103"/>
      <c r="L25" s="106">
        <v>15.367629973940288</v>
      </c>
    </row>
    <row r="26" spans="1:12" ht="18" customHeight="1" thickBot="1">
      <c r="A26" s="56" t="s">
        <v>48</v>
      </c>
      <c r="B26" s="57" t="s">
        <v>49</v>
      </c>
      <c r="E26" s="107" t="s">
        <v>66</v>
      </c>
      <c r="F26" s="108"/>
      <c r="G26" s="109"/>
      <c r="H26" s="110">
        <v>10.340173375597544</v>
      </c>
      <c r="I26" s="108" t="s">
        <v>67</v>
      </c>
      <c r="J26" s="109"/>
      <c r="K26" s="108"/>
      <c r="L26" s="111">
        <v>0.39648980889377755</v>
      </c>
    </row>
    <row r="27" spans="1:2" ht="15" customHeight="1" thickBot="1" thickTop="1">
      <c r="A27" s="94" t="s">
        <v>50</v>
      </c>
      <c r="B27" s="95">
        <v>80</v>
      </c>
    </row>
    <row r="28" spans="1:14" s="2" customFormat="1" ht="18" customHeight="1" thickBot="1">
      <c r="A28" s="112" t="s">
        <v>51</v>
      </c>
      <c r="B28" s="113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HCMQAP091_pos5ap2res</oddHeader>
    <oddFooter>&amp;L&amp;"Times New Roman,bold"CEA/DSM/DAPNIA/STCM &amp;C&amp;D&amp;RLHCQ2 - Mesures Magnétiques à Chaud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-7.5535657E-05</v>
      </c>
      <c r="L2" s="54">
        <v>1.486740537739605E-07</v>
      </c>
      <c r="M2" s="54">
        <v>0.00011887415000000001</v>
      </c>
      <c r="N2" s="55">
        <v>1.2967119956968962E-07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-2.9656223E-05</v>
      </c>
      <c r="L3" s="54">
        <v>4.857615450040603E-08</v>
      </c>
      <c r="M3" s="54">
        <v>1.2723589999999997E-05</v>
      </c>
      <c r="N3" s="55">
        <v>1.2060328519575462E-07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-0.0037614634487145517</v>
      </c>
      <c r="L4" s="54">
        <v>-4.7002163618738704E-05</v>
      </c>
      <c r="M4" s="54">
        <v>6.813396447843443E-08</v>
      </c>
      <c r="N4" s="55">
        <v>6.2475308</v>
      </c>
    </row>
    <row r="5" spans="1:14" ht="15" customHeight="1" thickBot="1">
      <c r="A5" t="s">
        <v>18</v>
      </c>
      <c r="B5" s="58">
        <v>37889.32053240741</v>
      </c>
      <c r="D5" s="59"/>
      <c r="E5" s="60" t="s">
        <v>72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2307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70" t="s">
        <v>24</v>
      </c>
      <c r="J7" s="171"/>
      <c r="K7" s="170" t="s">
        <v>25</v>
      </c>
      <c r="L7" s="171"/>
      <c r="M7" s="170" t="s">
        <v>26</v>
      </c>
      <c r="N7" s="172"/>
    </row>
    <row r="8" spans="1:14" ht="15" customHeight="1">
      <c r="A8" s="56" t="s">
        <v>27</v>
      </c>
      <c r="B8" s="71" t="s">
        <v>28</v>
      </c>
      <c r="D8" s="76">
        <v>0.17220433500000001</v>
      </c>
      <c r="E8" s="77">
        <v>0.020335970123942906</v>
      </c>
      <c r="F8" s="77">
        <v>0.75045399</v>
      </c>
      <c r="G8" s="77">
        <v>0.00855547241766147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5">
        <v>-0.36748638</v>
      </c>
      <c r="E9" s="80">
        <v>0.028244347387355158</v>
      </c>
      <c r="F9" s="84">
        <v>3.6481755</v>
      </c>
      <c r="G9" s="80">
        <v>0.013189554367041985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5">
        <v>0.5576829199999999</v>
      </c>
      <c r="E10" s="80">
        <v>0.007209891370037289</v>
      </c>
      <c r="F10" s="80">
        <v>-0.61315622</v>
      </c>
      <c r="G10" s="80">
        <v>0.006841021642164152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2</v>
      </c>
      <c r="D11" s="76">
        <v>3.2200794000000004</v>
      </c>
      <c r="E11" s="77">
        <v>0.00490715817329242</v>
      </c>
      <c r="F11" s="77">
        <v>-0.24308304</v>
      </c>
      <c r="G11" s="77">
        <v>0.007176789038171026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7">
        <v>0.7499</v>
      </c>
      <c r="D12" s="85">
        <v>0.117147873</v>
      </c>
      <c r="E12" s="80">
        <v>0.004746205007763144</v>
      </c>
      <c r="F12" s="80">
        <v>0.0143957578</v>
      </c>
      <c r="G12" s="80">
        <v>0.005923870952198089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18.972779</v>
      </c>
      <c r="D13" s="85">
        <v>-0.11729824</v>
      </c>
      <c r="E13" s="80">
        <v>0.003639998869285617</v>
      </c>
      <c r="F13" s="80">
        <v>0.35982890999999995</v>
      </c>
      <c r="G13" s="80">
        <v>0.004283578120733883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8">
        <v>12.5</v>
      </c>
      <c r="D14" s="85">
        <v>-0.057766696000000006</v>
      </c>
      <c r="E14" s="80">
        <v>0.0029408360499784455</v>
      </c>
      <c r="F14" s="80">
        <v>0.08134114</v>
      </c>
      <c r="G14" s="80">
        <v>0.0030019816372321836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76">
        <v>-0.24113315000000002</v>
      </c>
      <c r="E15" s="77">
        <v>0.0014333940874702124</v>
      </c>
      <c r="F15" s="77">
        <v>-0.021568660999999996</v>
      </c>
      <c r="G15" s="77">
        <v>0.0011961103000451704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12.506</v>
      </c>
      <c r="D16" s="85">
        <v>0.008627128220000002</v>
      </c>
      <c r="E16" s="80">
        <v>0.0017501184086909298</v>
      </c>
      <c r="F16" s="80">
        <v>-0.00247239841</v>
      </c>
      <c r="G16" s="80">
        <v>0.002048879674066558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-0.12600000202655792</v>
      </c>
      <c r="D17" s="85">
        <v>0.025754709999999997</v>
      </c>
      <c r="E17" s="80">
        <v>0.0016505803117237738</v>
      </c>
      <c r="F17" s="80">
        <v>0.04342536</v>
      </c>
      <c r="G17" s="80">
        <v>0.0011471471803521595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168.35499572753906</v>
      </c>
      <c r="D18" s="85">
        <v>-0.029183369999999997</v>
      </c>
      <c r="E18" s="80">
        <v>0.0014672533447670389</v>
      </c>
      <c r="F18" s="80">
        <v>0.06108457199999999</v>
      </c>
      <c r="G18" s="80">
        <v>0.0022390004091282687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-0.4059999883174896</v>
      </c>
      <c r="D19" s="85">
        <v>-0.1389849</v>
      </c>
      <c r="E19" s="80">
        <v>0.0019507142048490514</v>
      </c>
      <c r="F19" s="80">
        <v>0.011893454700000002</v>
      </c>
      <c r="G19" s="80">
        <v>0.001428074639717103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9">
        <v>-0.34802879999999997</v>
      </c>
      <c r="D20" s="90">
        <v>-0.001042481012</v>
      </c>
      <c r="E20" s="91">
        <v>0.0006950082605265085</v>
      </c>
      <c r="F20" s="91">
        <v>-0.000875758371</v>
      </c>
      <c r="G20" s="91">
        <v>0.0006267672266334452</v>
      </c>
      <c r="H20" s="92">
        <v>15</v>
      </c>
      <c r="I20" s="91">
        <v>0</v>
      </c>
      <c r="J20" s="91">
        <v>0</v>
      </c>
      <c r="K20" s="91">
        <v>0</v>
      </c>
      <c r="L20" s="91">
        <v>0</v>
      </c>
      <c r="M20" s="91">
        <v>0.05</v>
      </c>
      <c r="N20" s="93">
        <v>0.05</v>
      </c>
    </row>
    <row r="21" spans="1:6" ht="15" customHeight="1">
      <c r="A21" s="56" t="s">
        <v>42</v>
      </c>
      <c r="B21" s="89">
        <v>0.5329159000000001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4" t="s">
        <v>45</v>
      </c>
      <c r="B23" s="95">
        <v>15</v>
      </c>
    </row>
    <row r="24" spans="1:12" ht="18" customHeight="1" thickBot="1" thickTop="1">
      <c r="A24" s="96" t="s">
        <v>63</v>
      </c>
      <c r="B24" s="97">
        <v>0.35795744957171366</v>
      </c>
      <c r="E24" s="98"/>
      <c r="F24" s="99"/>
      <c r="G24" s="100" t="s">
        <v>46</v>
      </c>
      <c r="H24" s="99"/>
      <c r="I24" s="99"/>
      <c r="J24" s="99"/>
      <c r="K24" s="99"/>
      <c r="L24" s="101"/>
    </row>
    <row r="25" spans="1:12" ht="18" customHeight="1">
      <c r="A25" s="44" t="s">
        <v>47</v>
      </c>
      <c r="B25" s="45">
        <v>10</v>
      </c>
      <c r="E25" s="102" t="s">
        <v>64</v>
      </c>
      <c r="F25" s="103"/>
      <c r="G25" s="104"/>
      <c r="H25" s="105">
        <v>-3.7617571</v>
      </c>
      <c r="I25" s="103" t="s">
        <v>65</v>
      </c>
      <c r="J25" s="104"/>
      <c r="K25" s="103"/>
      <c r="L25" s="106">
        <v>3.229241506397439</v>
      </c>
    </row>
    <row r="26" spans="1:12" ht="18" customHeight="1" thickBot="1">
      <c r="A26" s="56" t="s">
        <v>48</v>
      </c>
      <c r="B26" s="57" t="s">
        <v>49</v>
      </c>
      <c r="E26" s="107" t="s">
        <v>66</v>
      </c>
      <c r="F26" s="108"/>
      <c r="G26" s="109"/>
      <c r="H26" s="110">
        <v>0.769958131393982</v>
      </c>
      <c r="I26" s="108" t="s">
        <v>67</v>
      </c>
      <c r="J26" s="109"/>
      <c r="K26" s="108"/>
      <c r="L26" s="111">
        <v>0.24209585532647068</v>
      </c>
    </row>
    <row r="27" spans="1:2" ht="15" customHeight="1" thickBot="1" thickTop="1">
      <c r="A27" s="94" t="s">
        <v>50</v>
      </c>
      <c r="B27" s="95">
        <v>80</v>
      </c>
    </row>
    <row r="28" spans="1:14" s="2" customFormat="1" ht="18" customHeight="1" thickBot="1">
      <c r="A28" s="112" t="s">
        <v>51</v>
      </c>
      <c r="B28" s="113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HCMQAP091_pos2ap2res</oddHeader>
    <oddFooter>&amp;L&amp;"Times New Roman,bold"CEA/DSM/DAPNIA/STCM &amp;C&amp;D&amp;RLHCQ2 - Mesures Magnétiques à Chaud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2.7670302169999998E-05</v>
      </c>
      <c r="L2" s="54">
        <v>1.8287902457612242E-07</v>
      </c>
      <c r="M2" s="54">
        <v>0.00015842486</v>
      </c>
      <c r="N2" s="55">
        <v>3.6264120753030346E-07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-2.8578153829999997E-05</v>
      </c>
      <c r="L3" s="54">
        <v>6.400825776125191E-08</v>
      </c>
      <c r="M3" s="54">
        <v>1.118696E-05</v>
      </c>
      <c r="N3" s="55">
        <v>2.1072445847603783E-07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-0.0037608921899609667</v>
      </c>
      <c r="L4" s="54">
        <v>-5.008694272058246E-05</v>
      </c>
      <c r="M4" s="54">
        <v>5.505321803057836E-08</v>
      </c>
      <c r="N4" s="55">
        <v>6.658524</v>
      </c>
    </row>
    <row r="5" spans="1:14" ht="15" customHeight="1" thickBot="1">
      <c r="A5" t="s">
        <v>18</v>
      </c>
      <c r="B5" s="58">
        <v>37889.3253125</v>
      </c>
      <c r="D5" s="59"/>
      <c r="E5" s="60" t="s">
        <v>75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2307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70" t="s">
        <v>24</v>
      </c>
      <c r="J7" s="171"/>
      <c r="K7" s="170" t="s">
        <v>25</v>
      </c>
      <c r="L7" s="171"/>
      <c r="M7" s="170" t="s">
        <v>26</v>
      </c>
      <c r="N7" s="172"/>
    </row>
    <row r="8" spans="1:14" ht="15" customHeight="1">
      <c r="A8" s="56" t="s">
        <v>27</v>
      </c>
      <c r="B8" s="71" t="s">
        <v>28</v>
      </c>
      <c r="D8" s="76">
        <v>-0.25604839</v>
      </c>
      <c r="E8" s="77">
        <v>0.01347949521055635</v>
      </c>
      <c r="F8" s="77">
        <v>1.3851147</v>
      </c>
      <c r="G8" s="77">
        <v>0.011010769176578212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5">
        <v>0.53005204</v>
      </c>
      <c r="E9" s="80">
        <v>0.036849740753801985</v>
      </c>
      <c r="F9" s="80">
        <v>2.3650306</v>
      </c>
      <c r="G9" s="80">
        <v>0.028508191530519707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5">
        <v>0.33307588</v>
      </c>
      <c r="E10" s="80">
        <v>0.002494604933169539</v>
      </c>
      <c r="F10" s="80">
        <v>-0.9420502500000001</v>
      </c>
      <c r="G10" s="80">
        <v>0.0063824786018243885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3</v>
      </c>
      <c r="D11" s="76">
        <v>3.7596883000000005</v>
      </c>
      <c r="E11" s="77">
        <v>0.0064715144562089225</v>
      </c>
      <c r="F11" s="77">
        <v>0.46979293999999994</v>
      </c>
      <c r="G11" s="77">
        <v>0.0020256088098298372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7">
        <v>0.7499</v>
      </c>
      <c r="D12" s="85">
        <v>0.23859985</v>
      </c>
      <c r="E12" s="80">
        <v>0.002602390031490927</v>
      </c>
      <c r="F12" s="80">
        <v>-0.33035704</v>
      </c>
      <c r="G12" s="80">
        <v>0.0033299867300669085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19.33899</v>
      </c>
      <c r="D13" s="85">
        <v>0.18652527000000002</v>
      </c>
      <c r="E13" s="80">
        <v>0.0033520576366768036</v>
      </c>
      <c r="F13" s="80">
        <v>0.27837015000000004</v>
      </c>
      <c r="G13" s="80">
        <v>0.0020464967849897603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8">
        <v>12.5</v>
      </c>
      <c r="D14" s="85">
        <v>0.044854996</v>
      </c>
      <c r="E14" s="80">
        <v>0.0015028569087321938</v>
      </c>
      <c r="F14" s="80">
        <v>0.14147262</v>
      </c>
      <c r="G14" s="80">
        <v>0.002893517538498597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76">
        <v>-0.26078361</v>
      </c>
      <c r="E15" s="77">
        <v>0.0017205443177673693</v>
      </c>
      <c r="F15" s="77">
        <v>0.065286562</v>
      </c>
      <c r="G15" s="77">
        <v>0.0019059339910304821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12.506</v>
      </c>
      <c r="D16" s="85">
        <v>0.034038677</v>
      </c>
      <c r="E16" s="80">
        <v>0.0017595770585046772</v>
      </c>
      <c r="F16" s="80">
        <v>-0.058436081999999986</v>
      </c>
      <c r="G16" s="80">
        <v>0.0015084703461113748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0.4099999964237213</v>
      </c>
      <c r="D17" s="85">
        <v>0.05598475199999999</v>
      </c>
      <c r="E17" s="80">
        <v>0.0008582692842261565</v>
      </c>
      <c r="F17" s="80">
        <v>0.00950097774</v>
      </c>
      <c r="G17" s="80">
        <v>0.0020322846592576507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28.482999801635742</v>
      </c>
      <c r="D18" s="85">
        <v>0.01898014</v>
      </c>
      <c r="E18" s="80">
        <v>0.0009496617921502593</v>
      </c>
      <c r="F18" s="80">
        <v>0.097405939</v>
      </c>
      <c r="G18" s="80">
        <v>0.0010534625786167858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-0.17599999904632568</v>
      </c>
      <c r="D19" s="83">
        <v>-0.15146876</v>
      </c>
      <c r="E19" s="80">
        <v>0.001263800769268563</v>
      </c>
      <c r="F19" s="80">
        <v>0.0119633598</v>
      </c>
      <c r="G19" s="80">
        <v>0.0015856980614972576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9">
        <v>0.1155208</v>
      </c>
      <c r="D20" s="90">
        <v>-0.00041190997</v>
      </c>
      <c r="E20" s="91">
        <v>0.0012053140077526376</v>
      </c>
      <c r="F20" s="91">
        <v>0.00325665379</v>
      </c>
      <c r="G20" s="91">
        <v>0.0011379082095264088</v>
      </c>
      <c r="H20" s="92">
        <v>15</v>
      </c>
      <c r="I20" s="91">
        <v>0</v>
      </c>
      <c r="J20" s="91">
        <v>0</v>
      </c>
      <c r="K20" s="91">
        <v>0</v>
      </c>
      <c r="L20" s="91">
        <v>0</v>
      </c>
      <c r="M20" s="91">
        <v>0.05</v>
      </c>
      <c r="N20" s="93">
        <v>0.05</v>
      </c>
    </row>
    <row r="21" spans="1:6" ht="15" customHeight="1">
      <c r="A21" s="56" t="s">
        <v>42</v>
      </c>
      <c r="B21" s="89">
        <v>0.7176446999999999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4" t="s">
        <v>45</v>
      </c>
      <c r="B23" s="95">
        <v>15</v>
      </c>
    </row>
    <row r="24" spans="1:12" ht="18" customHeight="1" thickBot="1" thickTop="1">
      <c r="A24" s="96" t="s">
        <v>63</v>
      </c>
      <c r="B24" s="97">
        <v>0.38150564523059977</v>
      </c>
      <c r="E24" s="98"/>
      <c r="F24" s="99"/>
      <c r="G24" s="100" t="s">
        <v>46</v>
      </c>
      <c r="H24" s="99"/>
      <c r="I24" s="99"/>
      <c r="J24" s="99"/>
      <c r="K24" s="99"/>
      <c r="L24" s="101"/>
    </row>
    <row r="25" spans="1:12" ht="18" customHeight="1">
      <c r="A25" s="44" t="s">
        <v>47</v>
      </c>
      <c r="B25" s="45">
        <v>10</v>
      </c>
      <c r="E25" s="102" t="s">
        <v>64</v>
      </c>
      <c r="F25" s="103"/>
      <c r="G25" s="104"/>
      <c r="H25" s="105">
        <v>-3.7612257000000002</v>
      </c>
      <c r="I25" s="103" t="s">
        <v>65</v>
      </c>
      <c r="J25" s="104"/>
      <c r="K25" s="103"/>
      <c r="L25" s="106">
        <v>3.7889261697254986</v>
      </c>
    </row>
    <row r="26" spans="1:12" ht="18" customHeight="1" thickBot="1">
      <c r="A26" s="56" t="s">
        <v>48</v>
      </c>
      <c r="B26" s="57" t="s">
        <v>49</v>
      </c>
      <c r="E26" s="107" t="s">
        <v>66</v>
      </c>
      <c r="F26" s="108"/>
      <c r="G26" s="109"/>
      <c r="H26" s="110">
        <v>1.4085820920974688</v>
      </c>
      <c r="I26" s="108" t="s">
        <v>67</v>
      </c>
      <c r="J26" s="109"/>
      <c r="K26" s="108"/>
      <c r="L26" s="111">
        <v>0.2688315949110371</v>
      </c>
    </row>
    <row r="27" spans="1:2" ht="15" customHeight="1" thickBot="1" thickTop="1">
      <c r="A27" s="94" t="s">
        <v>50</v>
      </c>
      <c r="B27" s="95">
        <v>80</v>
      </c>
    </row>
    <row r="28" spans="1:14" s="2" customFormat="1" ht="18" customHeight="1" thickBot="1">
      <c r="A28" s="112" t="s">
        <v>51</v>
      </c>
      <c r="B28" s="113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HCMQAP091_pos3ap2res</oddHeader>
    <oddFooter>&amp;L&amp;"Times New Roman,bold"CEA/DSM/DAPNIA/STCM &amp;C&amp;D&amp;RLHCQ2 - Mesures Magnétiques à Chaud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-6.6823596E-05</v>
      </c>
      <c r="L2" s="54">
        <v>3.343983981491553E-07</v>
      </c>
      <c r="M2" s="54">
        <v>0.00013128774000000003</v>
      </c>
      <c r="N2" s="55">
        <v>1.1738818251510368E-07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-2.936955E-05</v>
      </c>
      <c r="L3" s="54">
        <v>1.9221670874280026E-07</v>
      </c>
      <c r="M3" s="54">
        <v>1.0386060000000001E-05</v>
      </c>
      <c r="N3" s="55">
        <v>1.374208768710038E-07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-0.0037601592442548723</v>
      </c>
      <c r="L4" s="54">
        <v>-5.6152582370524194E-05</v>
      </c>
      <c r="M4" s="54">
        <v>9.313538898105721E-08</v>
      </c>
      <c r="N4" s="55">
        <v>7.4662275000000005</v>
      </c>
    </row>
    <row r="5" spans="1:14" ht="15" customHeight="1" thickBot="1">
      <c r="A5" t="s">
        <v>18</v>
      </c>
      <c r="B5" s="58">
        <v>37889.32994212963</v>
      </c>
      <c r="D5" s="59"/>
      <c r="E5" s="60" t="s">
        <v>75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2307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70" t="s">
        <v>24</v>
      </c>
      <c r="J7" s="171"/>
      <c r="K7" s="170" t="s">
        <v>25</v>
      </c>
      <c r="L7" s="171"/>
      <c r="M7" s="170" t="s">
        <v>26</v>
      </c>
      <c r="N7" s="172"/>
    </row>
    <row r="8" spans="1:14" ht="15" customHeight="1">
      <c r="A8" s="56" t="s">
        <v>27</v>
      </c>
      <c r="B8" s="71" t="s">
        <v>28</v>
      </c>
      <c r="D8" s="76">
        <v>-0.35050039</v>
      </c>
      <c r="E8" s="77">
        <v>0.016175152931129137</v>
      </c>
      <c r="F8" s="77">
        <v>3.05748</v>
      </c>
      <c r="G8" s="77">
        <v>0.01576150558158503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5">
        <v>0.111128912</v>
      </c>
      <c r="E9" s="80">
        <v>0.05565309157881972</v>
      </c>
      <c r="F9" s="80">
        <v>1.0482816799999999</v>
      </c>
      <c r="G9" s="80">
        <v>0.02618431004550455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5">
        <v>1.2438181</v>
      </c>
      <c r="E10" s="80">
        <v>0.0083954587569674</v>
      </c>
      <c r="F10" s="80">
        <v>-0.42729792999999994</v>
      </c>
      <c r="G10" s="80">
        <v>0.004770195633685763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4</v>
      </c>
      <c r="D11" s="76">
        <v>3.8841195999999996</v>
      </c>
      <c r="E11" s="77">
        <v>0.0066823799310179255</v>
      </c>
      <c r="F11" s="77">
        <v>0.44154762000000003</v>
      </c>
      <c r="G11" s="77">
        <v>0.00804111930321671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7">
        <v>0.7499</v>
      </c>
      <c r="D12" s="85">
        <v>0.17762954999999997</v>
      </c>
      <c r="E12" s="80">
        <v>0.002073935783482174</v>
      </c>
      <c r="F12" s="80">
        <v>-0.013860729499999998</v>
      </c>
      <c r="G12" s="80">
        <v>0.001985649877782193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19.650269</v>
      </c>
      <c r="D13" s="85">
        <v>0.19613828</v>
      </c>
      <c r="E13" s="80">
        <v>0.0031204135177251555</v>
      </c>
      <c r="F13" s="80">
        <v>0.3929838</v>
      </c>
      <c r="G13" s="80">
        <v>0.0037639692991601106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8">
        <v>12.5</v>
      </c>
      <c r="D14" s="85">
        <v>-0.12141912000000002</v>
      </c>
      <c r="E14" s="80">
        <v>0.002908172186545716</v>
      </c>
      <c r="F14" s="80">
        <v>0.1128077</v>
      </c>
      <c r="G14" s="80">
        <v>0.0024551251603531356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76">
        <v>-0.20168347999999997</v>
      </c>
      <c r="E15" s="77">
        <v>0.001748264160134598</v>
      </c>
      <c r="F15" s="77">
        <v>-0.06593269500000001</v>
      </c>
      <c r="G15" s="77">
        <v>0.0020655054215589085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12.506</v>
      </c>
      <c r="D16" s="85">
        <v>0.062517502</v>
      </c>
      <c r="E16" s="80">
        <v>0.0009580158335936428</v>
      </c>
      <c r="F16" s="80">
        <v>-0.027055949000000003</v>
      </c>
      <c r="G16" s="80">
        <v>0.0010602345895951329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0.13099999725818634</v>
      </c>
      <c r="D17" s="85">
        <v>0.035489126</v>
      </c>
      <c r="E17" s="80">
        <v>0.0018558662129323047</v>
      </c>
      <c r="F17" s="80">
        <v>0.101145124</v>
      </c>
      <c r="G17" s="80">
        <v>0.0016842394566499112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133.7689971923828</v>
      </c>
      <c r="D18" s="85">
        <v>-0.052188024</v>
      </c>
      <c r="E18" s="80">
        <v>0.0010336004853008507</v>
      </c>
      <c r="F18" s="80">
        <v>0.08646272399999999</v>
      </c>
      <c r="G18" s="80">
        <v>0.00109351245956594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-0.21199999749660492</v>
      </c>
      <c r="D19" s="116">
        <v>-0.15055577</v>
      </c>
      <c r="E19" s="80">
        <v>0.0006780821842484889</v>
      </c>
      <c r="F19" s="80">
        <v>0.0011874299669999999</v>
      </c>
      <c r="G19" s="80">
        <v>0.0006314998405459832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9">
        <v>-0.3109033</v>
      </c>
      <c r="D20" s="90">
        <v>-0.0011985702879999999</v>
      </c>
      <c r="E20" s="91">
        <v>0.0009622411292282394</v>
      </c>
      <c r="F20" s="91">
        <v>0.0063137621</v>
      </c>
      <c r="G20" s="91">
        <v>0.0007605033088350956</v>
      </c>
      <c r="H20" s="92">
        <v>15</v>
      </c>
      <c r="I20" s="91">
        <v>0</v>
      </c>
      <c r="J20" s="91">
        <v>0</v>
      </c>
      <c r="K20" s="91">
        <v>0</v>
      </c>
      <c r="L20" s="91">
        <v>0</v>
      </c>
      <c r="M20" s="91">
        <v>0.05</v>
      </c>
      <c r="N20" s="93">
        <v>0.05</v>
      </c>
    </row>
    <row r="21" spans="1:6" ht="15" customHeight="1">
      <c r="A21" s="56" t="s">
        <v>42</v>
      </c>
      <c r="B21" s="89">
        <v>0.5889255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4" t="s">
        <v>45</v>
      </c>
      <c r="B23" s="95">
        <v>15</v>
      </c>
    </row>
    <row r="24" spans="1:12" ht="18" customHeight="1" thickBot="1" thickTop="1">
      <c r="A24" s="96" t="s">
        <v>63</v>
      </c>
      <c r="B24" s="97">
        <v>0.4277836859679335</v>
      </c>
      <c r="E24" s="98"/>
      <c r="F24" s="99"/>
      <c r="G24" s="100" t="s">
        <v>46</v>
      </c>
      <c r="H24" s="99"/>
      <c r="I24" s="99"/>
      <c r="J24" s="99"/>
      <c r="K24" s="99"/>
      <c r="L24" s="101"/>
    </row>
    <row r="25" spans="1:12" ht="18" customHeight="1">
      <c r="A25" s="44" t="s">
        <v>47</v>
      </c>
      <c r="B25" s="45">
        <v>10</v>
      </c>
      <c r="E25" s="102" t="s">
        <v>64</v>
      </c>
      <c r="F25" s="103"/>
      <c r="G25" s="104"/>
      <c r="H25" s="105">
        <v>-3.7605785000000003</v>
      </c>
      <c r="I25" s="103" t="s">
        <v>65</v>
      </c>
      <c r="J25" s="104"/>
      <c r="K25" s="103"/>
      <c r="L25" s="106">
        <v>3.9091366524888613</v>
      </c>
    </row>
    <row r="26" spans="1:12" ht="18" customHeight="1" thickBot="1">
      <c r="A26" s="56" t="s">
        <v>48</v>
      </c>
      <c r="B26" s="57" t="s">
        <v>49</v>
      </c>
      <c r="E26" s="107" t="s">
        <v>66</v>
      </c>
      <c r="F26" s="108"/>
      <c r="G26" s="109"/>
      <c r="H26" s="110">
        <v>3.077504585502701</v>
      </c>
      <c r="I26" s="108" t="s">
        <v>67</v>
      </c>
      <c r="J26" s="109"/>
      <c r="K26" s="108"/>
      <c r="L26" s="111">
        <v>0.2121870551538746</v>
      </c>
    </row>
    <row r="27" spans="1:2" ht="15" customHeight="1" thickBot="1" thickTop="1">
      <c r="A27" s="94" t="s">
        <v>50</v>
      </c>
      <c r="B27" s="95">
        <v>80</v>
      </c>
    </row>
    <row r="28" spans="1:14" s="2" customFormat="1" ht="18" customHeight="1" thickBot="1">
      <c r="A28" s="112" t="s">
        <v>51</v>
      </c>
      <c r="B28" s="113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HCMQAP091_pos4ap2res</oddHeader>
    <oddFooter>&amp;L&amp;"Times New Roman,bold"CEA/DSM/DAPNIA/STCM &amp;C&amp;D&amp;RLHCQ2 - Mesures Magnétiques à Chaud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8.811156400000001E-05</v>
      </c>
      <c r="L2" s="54">
        <v>2.409490585219929E-07</v>
      </c>
      <c r="M2" s="54">
        <v>8.418479899999998E-05</v>
      </c>
      <c r="N2" s="55">
        <v>1.5729881231052373E-07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-3.2180396E-05</v>
      </c>
      <c r="L3" s="54">
        <v>1.0291604386183992E-07</v>
      </c>
      <c r="M3" s="54">
        <v>1.3851059E-05</v>
      </c>
      <c r="N3" s="55">
        <v>7.053947854897545E-08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-0.002256758235577646</v>
      </c>
      <c r="L4" s="54">
        <v>-2.1807685742175554E-05</v>
      </c>
      <c r="M4" s="54">
        <v>6.220080123151816E-08</v>
      </c>
      <c r="N4" s="55">
        <v>4.831489400000001</v>
      </c>
    </row>
    <row r="5" spans="1:14" ht="15" customHeight="1" thickBot="1">
      <c r="A5" t="s">
        <v>18</v>
      </c>
      <c r="B5" s="58">
        <v>37889.31591435185</v>
      </c>
      <c r="D5" s="59"/>
      <c r="E5" s="60" t="s">
        <v>80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2307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70" t="s">
        <v>24</v>
      </c>
      <c r="J7" s="171"/>
      <c r="K7" s="170" t="s">
        <v>25</v>
      </c>
      <c r="L7" s="171"/>
      <c r="M7" s="170" t="s">
        <v>26</v>
      </c>
      <c r="N7" s="172"/>
    </row>
    <row r="8" spans="1:14" ht="15" customHeight="1">
      <c r="A8" s="56" t="s">
        <v>27</v>
      </c>
      <c r="B8" s="71" t="s">
        <v>28</v>
      </c>
      <c r="D8" s="76">
        <v>-0.081776908</v>
      </c>
      <c r="E8" s="77">
        <v>0.021904070593393072</v>
      </c>
      <c r="F8" s="77">
        <v>2.1902874</v>
      </c>
      <c r="G8" s="77">
        <v>0.014442538992142644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5">
        <v>0.1874859092</v>
      </c>
      <c r="E9" s="80">
        <v>0.06106151314359262</v>
      </c>
      <c r="F9" s="80">
        <v>0.8734636</v>
      </c>
      <c r="G9" s="80">
        <v>0.028475294294353467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5">
        <v>-1.7035938000000002</v>
      </c>
      <c r="E10" s="80">
        <v>0.010937789093752221</v>
      </c>
      <c r="F10" s="80">
        <v>-1.8258845999999997</v>
      </c>
      <c r="G10" s="80">
        <v>0.009723765743804973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1</v>
      </c>
      <c r="D11" s="76">
        <v>4.238610899999999</v>
      </c>
      <c r="E11" s="77">
        <v>0.007073290227584513</v>
      </c>
      <c r="F11" s="77">
        <v>0.34437378</v>
      </c>
      <c r="G11" s="77">
        <v>0.006837173458498177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7">
        <v>0.7499</v>
      </c>
      <c r="D12" s="85">
        <v>-0.07846523700000001</v>
      </c>
      <c r="E12" s="80">
        <v>0.009871124487085279</v>
      </c>
      <c r="F12" s="80">
        <v>-0.07836083199999999</v>
      </c>
      <c r="G12" s="80">
        <v>0.007487384182932475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18.618775</v>
      </c>
      <c r="D13" s="85">
        <v>-0.123786774</v>
      </c>
      <c r="E13" s="80">
        <v>0.007072565138704128</v>
      </c>
      <c r="F13" s="80">
        <v>-0.1388749</v>
      </c>
      <c r="G13" s="80">
        <v>0.00857202096060199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8">
        <v>12.5</v>
      </c>
      <c r="D14" s="85">
        <v>0.35563588999999995</v>
      </c>
      <c r="E14" s="80">
        <v>0.0042567335034526905</v>
      </c>
      <c r="F14" s="80">
        <v>0.25333460999999996</v>
      </c>
      <c r="G14" s="80">
        <v>0.008901118741507376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76">
        <v>-0.45586645</v>
      </c>
      <c r="E15" s="77">
        <v>0.002733100832018627</v>
      </c>
      <c r="F15" s="77">
        <v>0.05450585</v>
      </c>
      <c r="G15" s="77">
        <v>0.0021586280839991537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12.506</v>
      </c>
      <c r="D16" s="85">
        <v>-0.034182268</v>
      </c>
      <c r="E16" s="80">
        <v>0.002656981207017804</v>
      </c>
      <c r="F16" s="80">
        <v>0.0144529123</v>
      </c>
      <c r="G16" s="80">
        <v>0.002483141619638148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0.3179999887943268</v>
      </c>
      <c r="D17" s="85">
        <v>-0.0202951793</v>
      </c>
      <c r="E17" s="80">
        <v>0.003014809770431636</v>
      </c>
      <c r="F17" s="80">
        <v>-0.14243841</v>
      </c>
      <c r="G17" s="80">
        <v>0.0014893049363382661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8.647000312805176</v>
      </c>
      <c r="D18" s="85">
        <v>0.13098575</v>
      </c>
      <c r="E18" s="80">
        <v>0.001744683641521828</v>
      </c>
      <c r="F18" s="80">
        <v>0.10828558899999999</v>
      </c>
      <c r="G18" s="80">
        <v>0.001884599028744801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0.02800000086426735</v>
      </c>
      <c r="D19" s="83">
        <v>-0.18133227000000002</v>
      </c>
      <c r="E19" s="80">
        <v>0.0009162852823226372</v>
      </c>
      <c r="F19" s="80">
        <v>0.00062171802</v>
      </c>
      <c r="G19" s="80">
        <v>0.0010212599486476603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9">
        <v>0.6575466999999999</v>
      </c>
      <c r="D20" s="90">
        <v>-0.000902151688</v>
      </c>
      <c r="E20" s="91">
        <v>0.001367220784754984</v>
      </c>
      <c r="F20" s="91">
        <v>-3.226066399999998E-05</v>
      </c>
      <c r="G20" s="91">
        <v>0.000424181258018709</v>
      </c>
      <c r="H20" s="92">
        <v>15</v>
      </c>
      <c r="I20" s="91">
        <v>0</v>
      </c>
      <c r="J20" s="91">
        <v>0</v>
      </c>
      <c r="K20" s="91">
        <v>0</v>
      </c>
      <c r="L20" s="91">
        <v>0</v>
      </c>
      <c r="M20" s="91">
        <v>0.05</v>
      </c>
      <c r="N20" s="93">
        <v>0.05</v>
      </c>
    </row>
    <row r="21" spans="1:6" ht="15" customHeight="1">
      <c r="A21" s="56" t="s">
        <v>42</v>
      </c>
      <c r="B21" s="89">
        <v>0.6405031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4" t="s">
        <v>45</v>
      </c>
      <c r="B23" s="95">
        <v>15</v>
      </c>
    </row>
    <row r="24" spans="1:12" ht="18" customHeight="1" thickBot="1" thickTop="1">
      <c r="A24" s="96" t="s">
        <v>63</v>
      </c>
      <c r="B24" s="97">
        <v>0.27682418520558066</v>
      </c>
      <c r="E24" s="98"/>
      <c r="F24" s="99"/>
      <c r="G24" s="100" t="s">
        <v>46</v>
      </c>
      <c r="H24" s="99"/>
      <c r="I24" s="99"/>
      <c r="J24" s="99"/>
      <c r="K24" s="99"/>
      <c r="L24" s="101"/>
    </row>
    <row r="25" spans="1:12" ht="18" customHeight="1">
      <c r="A25" s="44" t="s">
        <v>47</v>
      </c>
      <c r="B25" s="45">
        <v>10</v>
      </c>
      <c r="E25" s="102" t="s">
        <v>64</v>
      </c>
      <c r="F25" s="103"/>
      <c r="G25" s="104"/>
      <c r="H25" s="105">
        <v>-2.2568636</v>
      </c>
      <c r="I25" s="103" t="s">
        <v>65</v>
      </c>
      <c r="J25" s="104"/>
      <c r="K25" s="103"/>
      <c r="L25" s="106">
        <v>4.25257753156251</v>
      </c>
    </row>
    <row r="26" spans="1:12" ht="18" customHeight="1" thickBot="1">
      <c r="A26" s="56" t="s">
        <v>48</v>
      </c>
      <c r="B26" s="57" t="s">
        <v>49</v>
      </c>
      <c r="E26" s="107" t="s">
        <v>66</v>
      </c>
      <c r="F26" s="108"/>
      <c r="G26" s="109"/>
      <c r="H26" s="110">
        <v>2.191813485970191</v>
      </c>
      <c r="I26" s="108" t="s">
        <v>67</v>
      </c>
      <c r="J26" s="109"/>
      <c r="K26" s="108"/>
      <c r="L26" s="111">
        <v>0.4591133933134874</v>
      </c>
    </row>
    <row r="27" spans="1:2" ht="15" customHeight="1" thickBot="1" thickTop="1">
      <c r="A27" s="94" t="s">
        <v>50</v>
      </c>
      <c r="B27" s="95">
        <v>80</v>
      </c>
    </row>
    <row r="28" spans="1:14" s="2" customFormat="1" ht="18" customHeight="1" thickBot="1">
      <c r="A28" s="112" t="s">
        <v>51</v>
      </c>
      <c r="B28" s="113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HCMQAP091_pos1ap2res</oddHeader>
    <oddFooter>&amp;L&amp;"Times New Roman,bold"CEA/DSM/DAPNIA/STCM &amp;C&amp;D&amp;RLHCQ2 - Mesures Magnétiques à Chaud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A1" sqref="A1"/>
    </sheetView>
  </sheetViews>
  <sheetFormatPr defaultColWidth="9.33203125" defaultRowHeight="12.75"/>
  <cols>
    <col min="1" max="1" width="17.83203125" style="0" customWidth="1"/>
    <col min="2" max="6" width="12.83203125" style="0" customWidth="1"/>
    <col min="7" max="7" width="14.83203125" style="0" customWidth="1"/>
    <col min="8" max="16384" width="12" style="0" customWidth="1"/>
  </cols>
  <sheetData>
    <row r="1" spans="1:7" ht="13.5" thickTop="1">
      <c r="A1" s="141" t="s">
        <v>120</v>
      </c>
      <c r="B1" s="133" t="s">
        <v>81</v>
      </c>
      <c r="C1" s="123" t="s">
        <v>73</v>
      </c>
      <c r="D1" s="123" t="s">
        <v>76</v>
      </c>
      <c r="E1" s="123" t="s">
        <v>78</v>
      </c>
      <c r="F1" s="130" t="s">
        <v>68</v>
      </c>
      <c r="G1" s="165" t="s">
        <v>121</v>
      </c>
    </row>
    <row r="2" spans="1:7" ht="13.5" thickBot="1">
      <c r="A2" s="142" t="s">
        <v>90</v>
      </c>
      <c r="B2" s="134">
        <v>-2.2568636</v>
      </c>
      <c r="C2" s="125">
        <v>-3.7617571</v>
      </c>
      <c r="D2" s="125">
        <v>-3.7612257000000002</v>
      </c>
      <c r="E2" s="125">
        <v>-3.7605785000000003</v>
      </c>
      <c r="F2" s="131">
        <v>-2.0888063</v>
      </c>
      <c r="G2" s="166">
        <v>3.1161333284589854</v>
      </c>
    </row>
    <row r="3" spans="1:7" ht="14.25" thickBot="1" thickTop="1">
      <c r="A3" s="150" t="s">
        <v>89</v>
      </c>
      <c r="B3" s="151" t="s">
        <v>84</v>
      </c>
      <c r="C3" s="152" t="s">
        <v>85</v>
      </c>
      <c r="D3" s="152" t="s">
        <v>86</v>
      </c>
      <c r="E3" s="152" t="s">
        <v>87</v>
      </c>
      <c r="F3" s="153" t="s">
        <v>88</v>
      </c>
      <c r="G3" s="160" t="s">
        <v>122</v>
      </c>
    </row>
    <row r="4" spans="1:7" ht="12.75">
      <c r="A4" s="147" t="s">
        <v>91</v>
      </c>
      <c r="B4" s="148">
        <v>-0.081776908</v>
      </c>
      <c r="C4" s="149">
        <v>0.17220433500000001</v>
      </c>
      <c r="D4" s="149">
        <v>-0.25604839</v>
      </c>
      <c r="E4" s="149">
        <v>-0.35050039</v>
      </c>
      <c r="F4" s="154">
        <v>-0.9601670600000001</v>
      </c>
      <c r="G4" s="161">
        <v>-0.24463848656333376</v>
      </c>
    </row>
    <row r="5" spans="1:7" ht="12.75">
      <c r="A5" s="142" t="s">
        <v>93</v>
      </c>
      <c r="B5" s="136">
        <v>0.1874859092</v>
      </c>
      <c r="C5" s="119">
        <v>-0.36748638</v>
      </c>
      <c r="D5" s="119">
        <v>0.53005204</v>
      </c>
      <c r="E5" s="119">
        <v>0.111128912</v>
      </c>
      <c r="F5" s="155">
        <v>-3.7318888</v>
      </c>
      <c r="G5" s="162">
        <v>-0.4058358839230898</v>
      </c>
    </row>
    <row r="6" spans="1:7" ht="12.75">
      <c r="A6" s="142" t="s">
        <v>95</v>
      </c>
      <c r="B6" s="136">
        <v>-1.7035938000000002</v>
      </c>
      <c r="C6" s="119">
        <v>0.5576829199999999</v>
      </c>
      <c r="D6" s="119">
        <v>0.33307588</v>
      </c>
      <c r="E6" s="119">
        <v>1.2438181</v>
      </c>
      <c r="F6" s="156">
        <v>-2.1244818</v>
      </c>
      <c r="G6" s="162">
        <v>-0.016270343223620778</v>
      </c>
    </row>
    <row r="7" spans="1:7" ht="12.75">
      <c r="A7" s="142" t="s">
        <v>97</v>
      </c>
      <c r="B7" s="135">
        <v>4.238610899999999</v>
      </c>
      <c r="C7" s="118">
        <v>3.2200794000000004</v>
      </c>
      <c r="D7" s="118">
        <v>3.7596883000000005</v>
      </c>
      <c r="E7" s="118">
        <v>3.8841195999999996</v>
      </c>
      <c r="F7" s="157">
        <v>15.274173999999999</v>
      </c>
      <c r="G7" s="162">
        <v>5.2677886674247345</v>
      </c>
    </row>
    <row r="8" spans="1:7" ht="12.75">
      <c r="A8" s="142" t="s">
        <v>99</v>
      </c>
      <c r="B8" s="136">
        <v>-0.07846523700000001</v>
      </c>
      <c r="C8" s="119">
        <v>0.117147873</v>
      </c>
      <c r="D8" s="119">
        <v>0.23859985</v>
      </c>
      <c r="E8" s="119">
        <v>0.17762954999999997</v>
      </c>
      <c r="F8" s="156">
        <v>-0.062976827</v>
      </c>
      <c r="G8" s="162">
        <v>0.10860853266385778</v>
      </c>
    </row>
    <row r="9" spans="1:7" ht="12.75">
      <c r="A9" s="142" t="s">
        <v>101</v>
      </c>
      <c r="B9" s="136">
        <v>-0.123786774</v>
      </c>
      <c r="C9" s="119">
        <v>-0.11729824</v>
      </c>
      <c r="D9" s="119">
        <v>0.18652527000000002</v>
      </c>
      <c r="E9" s="119">
        <v>0.19613828</v>
      </c>
      <c r="F9" s="156">
        <v>0.003257891</v>
      </c>
      <c r="G9" s="162">
        <v>0.046409498998543325</v>
      </c>
    </row>
    <row r="10" spans="1:7" ht="12.75">
      <c r="A10" s="142" t="s">
        <v>103</v>
      </c>
      <c r="B10" s="136">
        <v>0.35563588999999995</v>
      </c>
      <c r="C10" s="119">
        <v>-0.057766696000000006</v>
      </c>
      <c r="D10" s="119">
        <v>0.044854996</v>
      </c>
      <c r="E10" s="119">
        <v>-0.12141912000000002</v>
      </c>
      <c r="F10" s="156">
        <v>0.38441088</v>
      </c>
      <c r="G10" s="162">
        <v>0.0704053130696079</v>
      </c>
    </row>
    <row r="11" spans="1:7" ht="12.75">
      <c r="A11" s="142" t="s">
        <v>105</v>
      </c>
      <c r="B11" s="135">
        <v>-0.45586645</v>
      </c>
      <c r="C11" s="118">
        <v>-0.24113315000000002</v>
      </c>
      <c r="D11" s="118">
        <v>-0.26078361</v>
      </c>
      <c r="E11" s="118">
        <v>-0.20168347999999997</v>
      </c>
      <c r="F11" s="158">
        <v>-0.35560349</v>
      </c>
      <c r="G11" s="162">
        <v>-0.2826762279581627</v>
      </c>
    </row>
    <row r="12" spans="1:7" ht="12.75">
      <c r="A12" s="142" t="s">
        <v>107</v>
      </c>
      <c r="B12" s="136">
        <v>-0.034182268</v>
      </c>
      <c r="C12" s="119">
        <v>0.008627128220000002</v>
      </c>
      <c r="D12" s="119">
        <v>0.034038677</v>
      </c>
      <c r="E12" s="119">
        <v>0.062517502</v>
      </c>
      <c r="F12" s="156">
        <v>-0.02077327969</v>
      </c>
      <c r="G12" s="162">
        <v>0.017598191749362724</v>
      </c>
    </row>
    <row r="13" spans="1:7" ht="12.75">
      <c r="A13" s="142" t="s">
        <v>109</v>
      </c>
      <c r="B13" s="136">
        <v>-0.0202951793</v>
      </c>
      <c r="C13" s="119">
        <v>0.025754709999999997</v>
      </c>
      <c r="D13" s="119">
        <v>0.05598475199999999</v>
      </c>
      <c r="E13" s="119">
        <v>0.035489126</v>
      </c>
      <c r="F13" s="156">
        <v>0.09709249700000001</v>
      </c>
      <c r="G13" s="162">
        <v>0.03825638355452481</v>
      </c>
    </row>
    <row r="14" spans="1:7" ht="12.75">
      <c r="A14" s="142" t="s">
        <v>111</v>
      </c>
      <c r="B14" s="136">
        <v>0.13098575</v>
      </c>
      <c r="C14" s="119">
        <v>-0.029183369999999997</v>
      </c>
      <c r="D14" s="119">
        <v>0.01898014</v>
      </c>
      <c r="E14" s="119">
        <v>-0.052188024</v>
      </c>
      <c r="F14" s="156">
        <v>0.00739929401</v>
      </c>
      <c r="G14" s="162">
        <v>0.004889769836127785</v>
      </c>
    </row>
    <row r="15" spans="1:7" ht="12.75">
      <c r="A15" s="142" t="s">
        <v>113</v>
      </c>
      <c r="B15" s="137">
        <v>-0.18133227000000002</v>
      </c>
      <c r="C15" s="119">
        <v>-0.1389849</v>
      </c>
      <c r="D15" s="120">
        <v>-0.15146876</v>
      </c>
      <c r="E15" s="122">
        <v>-0.15055577</v>
      </c>
      <c r="F15" s="156">
        <v>-0.13202772999999998</v>
      </c>
      <c r="G15" s="162">
        <v>-0.14995842999666792</v>
      </c>
    </row>
    <row r="16" spans="1:7" ht="12.75">
      <c r="A16" s="142" t="s">
        <v>115</v>
      </c>
      <c r="B16" s="136">
        <v>-0.000902151688</v>
      </c>
      <c r="C16" s="119">
        <v>-0.001042481012</v>
      </c>
      <c r="D16" s="119">
        <v>-0.00041190997</v>
      </c>
      <c r="E16" s="119">
        <v>-0.0011985702879999999</v>
      </c>
      <c r="F16" s="156">
        <v>-0.0019201985499999997</v>
      </c>
      <c r="G16" s="162">
        <v>-0.0010253300561811794</v>
      </c>
    </row>
    <row r="17" spans="1:7" ht="12.75">
      <c r="A17" s="142" t="s">
        <v>92</v>
      </c>
      <c r="B17" s="135">
        <v>2.1902874</v>
      </c>
      <c r="C17" s="118">
        <v>0.75045399</v>
      </c>
      <c r="D17" s="118">
        <v>1.3851147</v>
      </c>
      <c r="E17" s="118">
        <v>3.05748</v>
      </c>
      <c r="F17" s="157">
        <v>10.2954973</v>
      </c>
      <c r="G17" s="162">
        <v>2.9418675253102182</v>
      </c>
    </row>
    <row r="18" spans="1:7" ht="12.75">
      <c r="A18" s="142" t="s">
        <v>94</v>
      </c>
      <c r="B18" s="136">
        <v>0.8734636</v>
      </c>
      <c r="C18" s="120">
        <v>3.6481755</v>
      </c>
      <c r="D18" s="119">
        <v>2.3650306</v>
      </c>
      <c r="E18" s="119">
        <v>1.0482816799999999</v>
      </c>
      <c r="F18" s="155">
        <v>3.4333278999999997</v>
      </c>
      <c r="G18" s="163">
        <v>2.284434480896289</v>
      </c>
    </row>
    <row r="19" spans="1:7" ht="12.75">
      <c r="A19" s="142" t="s">
        <v>96</v>
      </c>
      <c r="B19" s="136">
        <v>-1.8258845999999997</v>
      </c>
      <c r="C19" s="119">
        <v>-0.61315622</v>
      </c>
      <c r="D19" s="119">
        <v>-0.9420502500000001</v>
      </c>
      <c r="E19" s="119">
        <v>-0.42729792999999994</v>
      </c>
      <c r="F19" s="155">
        <v>-10.663936</v>
      </c>
      <c r="G19" s="163">
        <v>-2.165964822042907</v>
      </c>
    </row>
    <row r="20" spans="1:7" ht="12.75">
      <c r="A20" s="142" t="s">
        <v>98</v>
      </c>
      <c r="B20" s="135">
        <v>0.34437378</v>
      </c>
      <c r="C20" s="118">
        <v>-0.24308304</v>
      </c>
      <c r="D20" s="118">
        <v>0.46979293999999994</v>
      </c>
      <c r="E20" s="118">
        <v>0.44154762000000003</v>
      </c>
      <c r="F20" s="158">
        <v>1.6922351</v>
      </c>
      <c r="G20" s="162">
        <v>0.4366822855197562</v>
      </c>
    </row>
    <row r="21" spans="1:7" ht="12.75">
      <c r="A21" s="142" t="s">
        <v>100</v>
      </c>
      <c r="B21" s="136">
        <v>-0.07836083199999999</v>
      </c>
      <c r="C21" s="119">
        <v>0.0143957578</v>
      </c>
      <c r="D21" s="119">
        <v>-0.33035704</v>
      </c>
      <c r="E21" s="119">
        <v>-0.013860729499999998</v>
      </c>
      <c r="F21" s="156">
        <v>0.49571558</v>
      </c>
      <c r="G21" s="162">
        <v>-0.024435897343195907</v>
      </c>
    </row>
    <row r="22" spans="1:7" ht="12.75">
      <c r="A22" s="142" t="s">
        <v>102</v>
      </c>
      <c r="B22" s="136">
        <v>-0.1388749</v>
      </c>
      <c r="C22" s="119">
        <v>0.35982890999999995</v>
      </c>
      <c r="D22" s="119">
        <v>0.27837015000000004</v>
      </c>
      <c r="E22" s="119">
        <v>0.3929838</v>
      </c>
      <c r="F22" s="156">
        <v>-0.041058806999999996</v>
      </c>
      <c r="G22" s="162">
        <v>0.2226125330402171</v>
      </c>
    </row>
    <row r="23" spans="1:7" ht="12.75">
      <c r="A23" s="142" t="s">
        <v>104</v>
      </c>
      <c r="B23" s="136">
        <v>0.25333460999999996</v>
      </c>
      <c r="C23" s="119">
        <v>0.08134114</v>
      </c>
      <c r="D23" s="119">
        <v>0.14147262</v>
      </c>
      <c r="E23" s="119">
        <v>0.1128077</v>
      </c>
      <c r="F23" s="156">
        <v>0.26741278</v>
      </c>
      <c r="G23" s="162">
        <v>0.1530870844021802</v>
      </c>
    </row>
    <row r="24" spans="1:7" ht="12.75">
      <c r="A24" s="142" t="s">
        <v>106</v>
      </c>
      <c r="B24" s="135">
        <v>0.05450585</v>
      </c>
      <c r="C24" s="118">
        <v>-0.021568660999999996</v>
      </c>
      <c r="D24" s="118">
        <v>0.065286562</v>
      </c>
      <c r="E24" s="118">
        <v>-0.06593269500000001</v>
      </c>
      <c r="F24" s="158">
        <v>0.17535771000000003</v>
      </c>
      <c r="G24" s="162">
        <v>0.025962691894555624</v>
      </c>
    </row>
    <row r="25" spans="1:7" ht="12.75">
      <c r="A25" s="142" t="s">
        <v>108</v>
      </c>
      <c r="B25" s="136">
        <v>0.0144529123</v>
      </c>
      <c r="C25" s="119">
        <v>-0.00247239841</v>
      </c>
      <c r="D25" s="119">
        <v>-0.058436081999999986</v>
      </c>
      <c r="E25" s="119">
        <v>-0.027055949000000003</v>
      </c>
      <c r="F25" s="156">
        <v>-0.02203218</v>
      </c>
      <c r="G25" s="162">
        <v>-0.022025432735803523</v>
      </c>
    </row>
    <row r="26" spans="1:7" ht="12.75">
      <c r="A26" s="142" t="s">
        <v>110</v>
      </c>
      <c r="B26" s="136">
        <v>-0.14243841</v>
      </c>
      <c r="C26" s="119">
        <v>0.04342536</v>
      </c>
      <c r="D26" s="119">
        <v>0.00950097774</v>
      </c>
      <c r="E26" s="119">
        <v>0.101145124</v>
      </c>
      <c r="F26" s="156">
        <v>-0.019719507</v>
      </c>
      <c r="G26" s="162">
        <v>0.013871498901349411</v>
      </c>
    </row>
    <row r="27" spans="1:7" ht="12.75">
      <c r="A27" s="142" t="s">
        <v>112</v>
      </c>
      <c r="B27" s="136">
        <v>0.10828558899999999</v>
      </c>
      <c r="C27" s="119">
        <v>0.06108457199999999</v>
      </c>
      <c r="D27" s="119">
        <v>0.097405939</v>
      </c>
      <c r="E27" s="119">
        <v>0.08646272399999999</v>
      </c>
      <c r="F27" s="156">
        <v>0.13234719</v>
      </c>
      <c r="G27" s="162">
        <v>0.09227161172999251</v>
      </c>
    </row>
    <row r="28" spans="1:7" ht="12.75">
      <c r="A28" s="142" t="s">
        <v>114</v>
      </c>
      <c r="B28" s="136">
        <v>0.00062171802</v>
      </c>
      <c r="C28" s="119">
        <v>0.011893454700000002</v>
      </c>
      <c r="D28" s="119">
        <v>0.0119633598</v>
      </c>
      <c r="E28" s="119">
        <v>0.0011874299669999999</v>
      </c>
      <c r="F28" s="156">
        <v>-0.021504134</v>
      </c>
      <c r="G28" s="162">
        <v>0.0032431390353400125</v>
      </c>
    </row>
    <row r="29" spans="1:7" ht="13.5" thickBot="1">
      <c r="A29" s="143" t="s">
        <v>116</v>
      </c>
      <c r="B29" s="138">
        <v>-3.226066399999998E-05</v>
      </c>
      <c r="C29" s="121">
        <v>-0.000875758371</v>
      </c>
      <c r="D29" s="121">
        <v>0.00325665379</v>
      </c>
      <c r="E29" s="121">
        <v>0.0063137621</v>
      </c>
      <c r="F29" s="159">
        <v>0.00416924034</v>
      </c>
      <c r="G29" s="164">
        <v>0.002644656330788957</v>
      </c>
    </row>
    <row r="30" spans="1:7" ht="13.5" thickTop="1">
      <c r="A30" s="144" t="s">
        <v>117</v>
      </c>
      <c r="B30" s="139">
        <v>0.27682418520558066</v>
      </c>
      <c r="C30" s="128">
        <v>0.35795744957171366</v>
      </c>
      <c r="D30" s="128">
        <v>0.38150564523059977</v>
      </c>
      <c r="E30" s="128">
        <v>0.4277836859679335</v>
      </c>
      <c r="F30" s="124">
        <v>0.4703368619075055</v>
      </c>
      <c r="G30" s="165" t="s">
        <v>128</v>
      </c>
    </row>
    <row r="31" spans="1:7" ht="13.5" thickBot="1">
      <c r="A31" s="145" t="s">
        <v>118</v>
      </c>
      <c r="B31" s="134">
        <v>18.618775</v>
      </c>
      <c r="C31" s="125">
        <v>18.972779</v>
      </c>
      <c r="D31" s="125">
        <v>19.33899</v>
      </c>
      <c r="E31" s="125">
        <v>19.650269</v>
      </c>
      <c r="F31" s="126">
        <v>19.906617</v>
      </c>
      <c r="G31" s="167">
        <v>-210.1</v>
      </c>
    </row>
    <row r="32" spans="1:7" ht="15.75" thickBot="1" thickTop="1">
      <c r="A32" s="146" t="s">
        <v>119</v>
      </c>
      <c r="B32" s="140">
        <v>0.17299999482929707</v>
      </c>
      <c r="C32" s="129">
        <v>-0.2659999951720238</v>
      </c>
      <c r="D32" s="129">
        <v>0.11699999868869781</v>
      </c>
      <c r="E32" s="129">
        <v>-0.04050000011920929</v>
      </c>
      <c r="F32" s="127">
        <v>0.12799999862909317</v>
      </c>
      <c r="G32" s="132" t="s">
        <v>127</v>
      </c>
    </row>
    <row r="33" spans="1:7" ht="15" thickTop="1">
      <c r="A33" t="s">
        <v>123</v>
      </c>
      <c r="G33" s="32" t="s">
        <v>124</v>
      </c>
    </row>
    <row r="34" ht="14.25">
      <c r="A34" t="s">
        <v>125</v>
      </c>
    </row>
    <row r="35" spans="1:2" ht="12.75">
      <c r="A35" t="s">
        <v>126</v>
      </c>
      <c r="B35" t="s">
        <v>28</v>
      </c>
    </row>
  </sheetData>
  <printOptions/>
  <pageMargins left="0.708661417322835" right="0.708661417322835" top="0.78740157480315" bottom="0.78740157480315" header="0.511811023622047" footer="0.511811023622047"/>
  <pageSetup horizontalDpi="600" verticalDpi="600" orientation="portrait" paperSize="9" r:id="rId2"/>
  <headerFooter alignWithMargins="0">
    <oddHeader>&amp;C&amp;F : &amp;A</oddHeader>
    <oddFooter>&amp;LCEA/DSM/DAPNIA/STCM&amp;C&amp;D&amp;RLHCQ2 - Mesures Magnétiques à Chaud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49.33203125" style="168" bestFit="1" customWidth="1"/>
    <col min="2" max="2" width="15.66015625" style="168" bestFit="1" customWidth="1"/>
    <col min="3" max="3" width="14.83203125" style="168" bestFit="1" customWidth="1"/>
    <col min="4" max="4" width="16" style="168" bestFit="1" customWidth="1"/>
    <col min="5" max="5" width="21.33203125" style="168" bestFit="1" customWidth="1"/>
    <col min="6" max="7" width="14.83203125" style="168" bestFit="1" customWidth="1"/>
    <col min="8" max="8" width="14.16015625" style="168" bestFit="1" customWidth="1"/>
    <col min="9" max="9" width="14.83203125" style="168" bestFit="1" customWidth="1"/>
    <col min="10" max="10" width="6.33203125" style="168" bestFit="1" customWidth="1"/>
    <col min="11" max="11" width="15" style="168" bestFit="1" customWidth="1"/>
    <col min="12" max="16384" width="10.66015625" style="168" customWidth="1"/>
  </cols>
  <sheetData>
    <row r="1" spans="1:5" ht="12.75">
      <c r="A1" s="168" t="s">
        <v>129</v>
      </c>
      <c r="B1" s="168" t="s">
        <v>130</v>
      </c>
      <c r="C1" s="168" t="s">
        <v>131</v>
      </c>
      <c r="D1" s="168" t="s">
        <v>132</v>
      </c>
      <c r="E1" s="168" t="s">
        <v>133</v>
      </c>
    </row>
    <row r="3" spans="1:7" ht="12.75">
      <c r="A3" s="168" t="s">
        <v>134</v>
      </c>
      <c r="B3" s="168" t="s">
        <v>84</v>
      </c>
      <c r="C3" s="168" t="s">
        <v>85</v>
      </c>
      <c r="D3" s="168" t="s">
        <v>86</v>
      </c>
      <c r="E3" s="168" t="s">
        <v>87</v>
      </c>
      <c r="F3" s="168" t="s">
        <v>88</v>
      </c>
      <c r="G3" s="168" t="s">
        <v>135</v>
      </c>
    </row>
    <row r="4" spans="1:7" ht="12.75">
      <c r="A4" s="168" t="s">
        <v>136</v>
      </c>
      <c r="B4" s="168">
        <v>0.002256</v>
      </c>
      <c r="C4" s="168">
        <v>0.00376</v>
      </c>
      <c r="D4" s="168">
        <v>0.003759</v>
      </c>
      <c r="E4" s="168">
        <v>0.003759</v>
      </c>
      <c r="F4" s="168">
        <v>0.002088</v>
      </c>
      <c r="G4" s="168">
        <v>0.011714</v>
      </c>
    </row>
    <row r="5" spans="1:7" ht="12.75">
      <c r="A5" s="168" t="s">
        <v>137</v>
      </c>
      <c r="B5" s="168">
        <v>1.966406</v>
      </c>
      <c r="C5" s="168">
        <v>0.323261</v>
      </c>
      <c r="D5" s="168">
        <v>0.147414</v>
      </c>
      <c r="E5" s="168">
        <v>-0.793781</v>
      </c>
      <c r="F5" s="168">
        <v>-1.590407</v>
      </c>
      <c r="G5" s="168">
        <v>-6.634258</v>
      </c>
    </row>
    <row r="6" spans="1:7" ht="12.75">
      <c r="A6" s="168" t="s">
        <v>138</v>
      </c>
      <c r="B6" s="169">
        <v>-396.5998</v>
      </c>
      <c r="C6" s="169">
        <v>192.8705</v>
      </c>
      <c r="D6" s="169">
        <v>-80.84073</v>
      </c>
      <c r="E6" s="169">
        <v>169.1433</v>
      </c>
      <c r="F6" s="169">
        <v>-231.2353</v>
      </c>
      <c r="G6" s="169">
        <v>781.6582</v>
      </c>
    </row>
    <row r="7" spans="1:7" ht="12.75">
      <c r="A7" s="168" t="s">
        <v>139</v>
      </c>
      <c r="B7" s="169">
        <v>10000</v>
      </c>
      <c r="C7" s="169">
        <v>10000</v>
      </c>
      <c r="D7" s="169">
        <v>10000</v>
      </c>
      <c r="E7" s="169">
        <v>10000</v>
      </c>
      <c r="F7" s="169">
        <v>10000</v>
      </c>
      <c r="G7" s="169">
        <v>10000</v>
      </c>
    </row>
    <row r="8" spans="1:7" ht="12.75">
      <c r="A8" s="168" t="s">
        <v>91</v>
      </c>
      <c r="B8" s="169">
        <v>-0.07893222</v>
      </c>
      <c r="C8" s="169">
        <v>0.2820232</v>
      </c>
      <c r="D8" s="169">
        <v>-0.268363</v>
      </c>
      <c r="E8" s="169">
        <v>-0.3319439</v>
      </c>
      <c r="F8" s="169">
        <v>-1.268081</v>
      </c>
      <c r="G8" s="169">
        <v>2.900573</v>
      </c>
    </row>
    <row r="9" spans="1:7" ht="12.75">
      <c r="A9" s="168" t="s">
        <v>93</v>
      </c>
      <c r="B9" s="169">
        <v>-0.03446269</v>
      </c>
      <c r="C9" s="169">
        <v>-0.4265463</v>
      </c>
      <c r="D9" s="169">
        <v>0.5465527</v>
      </c>
      <c r="E9" s="169">
        <v>0.02194918</v>
      </c>
      <c r="F9" s="169">
        <v>-3.171769</v>
      </c>
      <c r="G9" s="169">
        <v>0.3948054</v>
      </c>
    </row>
    <row r="10" spans="1:7" ht="12.75">
      <c r="A10" s="168" t="s">
        <v>140</v>
      </c>
      <c r="B10" s="169">
        <v>-0.8826023</v>
      </c>
      <c r="C10" s="169">
        <v>0.2075527</v>
      </c>
      <c r="D10" s="169">
        <v>0.4412284</v>
      </c>
      <c r="E10" s="169">
        <v>0.8812909</v>
      </c>
      <c r="F10" s="169">
        <v>-0.764991</v>
      </c>
      <c r="G10" s="169">
        <v>1.996759</v>
      </c>
    </row>
    <row r="11" spans="1:7" ht="12.75">
      <c r="A11" s="168" t="s">
        <v>97</v>
      </c>
      <c r="B11" s="169">
        <v>4.211511</v>
      </c>
      <c r="C11" s="169">
        <v>3.203144</v>
      </c>
      <c r="D11" s="169">
        <v>3.773972</v>
      </c>
      <c r="E11" s="169">
        <v>3.865281</v>
      </c>
      <c r="F11" s="169">
        <v>15.23117</v>
      </c>
      <c r="G11" s="169">
        <v>5.253026</v>
      </c>
    </row>
    <row r="12" spans="1:7" ht="12.75">
      <c r="A12" s="168" t="s">
        <v>99</v>
      </c>
      <c r="B12" s="169">
        <v>-0.09911474</v>
      </c>
      <c r="C12" s="169">
        <v>0.1523156</v>
      </c>
      <c r="D12" s="169">
        <v>0.2405668</v>
      </c>
      <c r="E12" s="169">
        <v>0.1612729</v>
      </c>
      <c r="F12" s="169">
        <v>-0.05710835</v>
      </c>
      <c r="G12" s="169">
        <v>-0.04924148</v>
      </c>
    </row>
    <row r="13" spans="1:7" ht="12.75">
      <c r="A13" s="168" t="s">
        <v>101</v>
      </c>
      <c r="B13" s="169">
        <v>-0.03234733</v>
      </c>
      <c r="C13" s="169">
        <v>-0.106081</v>
      </c>
      <c r="D13" s="169">
        <v>0.1848281</v>
      </c>
      <c r="E13" s="169">
        <v>0.2193797</v>
      </c>
      <c r="F13" s="169">
        <v>0.02638795</v>
      </c>
      <c r="G13" s="169">
        <v>-0.07057653</v>
      </c>
    </row>
    <row r="14" spans="1:7" ht="12.75">
      <c r="A14" s="168" t="s">
        <v>103</v>
      </c>
      <c r="B14" s="169">
        <v>0.1938302</v>
      </c>
      <c r="C14" s="169">
        <v>-0.01305315</v>
      </c>
      <c r="D14" s="169">
        <v>0.02881804</v>
      </c>
      <c r="E14" s="169">
        <v>-0.08741269</v>
      </c>
      <c r="F14" s="169">
        <v>0.2946079</v>
      </c>
      <c r="G14" s="169">
        <v>-0.1625501</v>
      </c>
    </row>
    <row r="15" spans="1:7" ht="12.75">
      <c r="A15" s="168" t="s">
        <v>105</v>
      </c>
      <c r="B15" s="169">
        <v>-0.4694156</v>
      </c>
      <c r="C15" s="169">
        <v>-0.2434241</v>
      </c>
      <c r="D15" s="169">
        <v>-0.2570021</v>
      </c>
      <c r="E15" s="169">
        <v>-0.2160183</v>
      </c>
      <c r="F15" s="169">
        <v>-0.353832</v>
      </c>
      <c r="G15" s="169">
        <v>-0.2874884</v>
      </c>
    </row>
    <row r="16" spans="1:7" ht="12.75">
      <c r="A16" s="168" t="s">
        <v>107</v>
      </c>
      <c r="B16" s="169">
        <v>-0.03482641</v>
      </c>
      <c r="C16" s="169">
        <v>0.004100404</v>
      </c>
      <c r="D16" s="169">
        <v>0.03689391</v>
      </c>
      <c r="E16" s="169">
        <v>0.05741617</v>
      </c>
      <c r="F16" s="169">
        <v>-0.001841053</v>
      </c>
      <c r="G16" s="169">
        <v>-0.03527665</v>
      </c>
    </row>
    <row r="17" spans="1:7" ht="12.75">
      <c r="A17" s="168" t="s">
        <v>109</v>
      </c>
      <c r="B17" s="169">
        <v>0.0381692</v>
      </c>
      <c r="C17" s="169">
        <v>0.03756863</v>
      </c>
      <c r="D17" s="169">
        <v>0.05397888</v>
      </c>
      <c r="E17" s="169">
        <v>0.0517753</v>
      </c>
      <c r="F17" s="169">
        <v>0.07175912</v>
      </c>
      <c r="G17" s="169">
        <v>-0.04959109</v>
      </c>
    </row>
    <row r="18" spans="1:7" ht="12.75">
      <c r="A18" s="168" t="s">
        <v>111</v>
      </c>
      <c r="B18" s="169">
        <v>0.1005985</v>
      </c>
      <c r="C18" s="169">
        <v>-0.0171325</v>
      </c>
      <c r="D18" s="169">
        <v>0.01494588</v>
      </c>
      <c r="E18" s="169">
        <v>-0.03965342</v>
      </c>
      <c r="F18" s="169">
        <v>0.000420667</v>
      </c>
      <c r="G18" s="169">
        <v>-0.09248917</v>
      </c>
    </row>
    <row r="19" spans="1:7" ht="12.75">
      <c r="A19" s="168" t="s">
        <v>113</v>
      </c>
      <c r="B19" s="169">
        <v>-0.1813068</v>
      </c>
      <c r="C19" s="169">
        <v>-0.1390327</v>
      </c>
      <c r="D19" s="169">
        <v>-0.1514927</v>
      </c>
      <c r="E19" s="169">
        <v>-0.150509</v>
      </c>
      <c r="F19" s="169">
        <v>-0.1325693</v>
      </c>
      <c r="G19" s="169">
        <v>-0.1500333</v>
      </c>
    </row>
    <row r="20" spans="1:7" ht="12.75">
      <c r="A20" s="168" t="s">
        <v>115</v>
      </c>
      <c r="B20" s="169">
        <v>-0.0009010004</v>
      </c>
      <c r="C20" s="169">
        <v>-0.001038693</v>
      </c>
      <c r="D20" s="169">
        <v>-0.0004270843</v>
      </c>
      <c r="E20" s="169">
        <v>-0.00112239</v>
      </c>
      <c r="F20" s="169">
        <v>-0.001822478</v>
      </c>
      <c r="G20" s="169">
        <v>0.002648261</v>
      </c>
    </row>
    <row r="21" spans="1:7" ht="12.75">
      <c r="A21" s="168" t="s">
        <v>141</v>
      </c>
      <c r="B21" s="169">
        <v>-766.5382</v>
      </c>
      <c r="C21" s="169">
        <v>-705.5259</v>
      </c>
      <c r="D21" s="169">
        <v>-812.5338</v>
      </c>
      <c r="E21" s="169">
        <v>-738.7352</v>
      </c>
      <c r="F21" s="169">
        <v>-956.7702</v>
      </c>
      <c r="G21" s="169">
        <v>-20.5047</v>
      </c>
    </row>
    <row r="22" spans="1:7" ht="12.75">
      <c r="A22" s="168" t="s">
        <v>142</v>
      </c>
      <c r="B22" s="169">
        <v>39.32833</v>
      </c>
      <c r="C22" s="169">
        <v>6.46523</v>
      </c>
      <c r="D22" s="169">
        <v>2.948284</v>
      </c>
      <c r="E22" s="169">
        <v>-15.87563</v>
      </c>
      <c r="F22" s="169">
        <v>-31.80825</v>
      </c>
      <c r="G22" s="169">
        <v>0</v>
      </c>
    </row>
    <row r="23" spans="1:7" ht="12.75">
      <c r="A23" s="168" t="s">
        <v>92</v>
      </c>
      <c r="B23" s="169">
        <v>2.275701</v>
      </c>
      <c r="C23" s="169">
        <v>0.5257233</v>
      </c>
      <c r="D23" s="169">
        <v>1.43354</v>
      </c>
      <c r="E23" s="169">
        <v>2.99819</v>
      </c>
      <c r="F23" s="169">
        <v>10.31802</v>
      </c>
      <c r="G23" s="169">
        <v>0.2575113</v>
      </c>
    </row>
    <row r="24" spans="1:7" ht="12.75">
      <c r="A24" s="168" t="s">
        <v>143</v>
      </c>
      <c r="B24" s="169">
        <v>0.6138754</v>
      </c>
      <c r="C24" s="169">
        <v>3.694355</v>
      </c>
      <c r="D24" s="169">
        <v>2.35012</v>
      </c>
      <c r="E24" s="169">
        <v>1.06927</v>
      </c>
      <c r="F24" s="169">
        <v>2.549286</v>
      </c>
      <c r="G24" s="169">
        <v>-2.141366</v>
      </c>
    </row>
    <row r="25" spans="1:7" ht="12.75">
      <c r="A25" s="168" t="s">
        <v>96</v>
      </c>
      <c r="B25" s="169">
        <v>-1.805357</v>
      </c>
      <c r="C25" s="169">
        <v>-0.7087755</v>
      </c>
      <c r="D25" s="169">
        <v>-0.8698483</v>
      </c>
      <c r="E25" s="169">
        <v>-0.5568882</v>
      </c>
      <c r="F25" s="169">
        <v>-9.144143</v>
      </c>
      <c r="G25" s="169">
        <v>0.1385587</v>
      </c>
    </row>
    <row r="26" spans="1:7" ht="12.75">
      <c r="A26" s="168" t="s">
        <v>98</v>
      </c>
      <c r="B26" s="169">
        <v>0.372383</v>
      </c>
      <c r="C26" s="169">
        <v>-0.2431713</v>
      </c>
      <c r="D26" s="169">
        <v>0.4652764</v>
      </c>
      <c r="E26" s="169">
        <v>0.4230973</v>
      </c>
      <c r="F26" s="169">
        <v>1.598839</v>
      </c>
      <c r="G26" s="169">
        <v>0.422908</v>
      </c>
    </row>
    <row r="27" spans="1:7" ht="12.75">
      <c r="A27" s="168" t="s">
        <v>100</v>
      </c>
      <c r="B27" s="169">
        <v>-0.104947</v>
      </c>
      <c r="C27" s="169">
        <v>-0.03183932</v>
      </c>
      <c r="D27" s="169">
        <v>-0.314039</v>
      </c>
      <c r="E27" s="169">
        <v>-0.0728004</v>
      </c>
      <c r="F27" s="169">
        <v>0.4987587</v>
      </c>
      <c r="G27" s="169">
        <v>-0.1114142</v>
      </c>
    </row>
    <row r="28" spans="1:7" ht="12.75">
      <c r="A28" s="168" t="s">
        <v>102</v>
      </c>
      <c r="B28" s="169">
        <v>-0.06496488</v>
      </c>
      <c r="C28" s="169">
        <v>0.3455373</v>
      </c>
      <c r="D28" s="169">
        <v>0.2857344</v>
      </c>
      <c r="E28" s="169">
        <v>0.3762437</v>
      </c>
      <c r="F28" s="169">
        <v>0.04522429</v>
      </c>
      <c r="G28" s="169">
        <v>-0.2391236</v>
      </c>
    </row>
    <row r="29" spans="1:7" ht="12.75">
      <c r="A29" s="168" t="s">
        <v>104</v>
      </c>
      <c r="B29" s="169">
        <v>0.2811939</v>
      </c>
      <c r="C29" s="169">
        <v>0.1022442</v>
      </c>
      <c r="D29" s="169">
        <v>0.1379732</v>
      </c>
      <c r="E29" s="169">
        <v>0.1331727</v>
      </c>
      <c r="F29" s="169">
        <v>0.2400845</v>
      </c>
      <c r="G29" s="169">
        <v>0.05011603</v>
      </c>
    </row>
    <row r="30" spans="1:7" ht="12.75">
      <c r="A30" s="168" t="s">
        <v>106</v>
      </c>
      <c r="B30" s="169">
        <v>0.04324701</v>
      </c>
      <c r="C30" s="169">
        <v>-0.02070002</v>
      </c>
      <c r="D30" s="169">
        <v>0.06332486</v>
      </c>
      <c r="E30" s="169">
        <v>-0.05943846</v>
      </c>
      <c r="F30" s="169">
        <v>0.1769019</v>
      </c>
      <c r="G30" s="169">
        <v>0.02582576</v>
      </c>
    </row>
    <row r="31" spans="1:7" ht="12.75">
      <c r="A31" s="168" t="s">
        <v>108</v>
      </c>
      <c r="B31" s="169">
        <v>-0.03628721</v>
      </c>
      <c r="C31" s="169">
        <v>-0.01423851</v>
      </c>
      <c r="D31" s="169">
        <v>-0.05602609</v>
      </c>
      <c r="E31" s="169">
        <v>-0.0497505</v>
      </c>
      <c r="F31" s="169">
        <v>-0.008662725</v>
      </c>
      <c r="G31" s="169">
        <v>-0.01840804</v>
      </c>
    </row>
    <row r="32" spans="1:7" ht="12.75">
      <c r="A32" s="168" t="s">
        <v>110</v>
      </c>
      <c r="B32" s="169">
        <v>-0.09518693</v>
      </c>
      <c r="C32" s="169">
        <v>0.02941954</v>
      </c>
      <c r="D32" s="169">
        <v>0.01709841</v>
      </c>
      <c r="E32" s="169">
        <v>0.08291172</v>
      </c>
      <c r="F32" s="169">
        <v>0.01066917</v>
      </c>
      <c r="G32" s="169">
        <v>-0.01883009</v>
      </c>
    </row>
    <row r="33" spans="1:7" ht="12.75">
      <c r="A33" s="168" t="s">
        <v>112</v>
      </c>
      <c r="B33" s="169">
        <v>0.1123324</v>
      </c>
      <c r="C33" s="169">
        <v>0.0642889</v>
      </c>
      <c r="D33" s="169">
        <v>0.09592455</v>
      </c>
      <c r="E33" s="169">
        <v>0.0893922</v>
      </c>
      <c r="F33" s="169">
        <v>0.1212206</v>
      </c>
      <c r="G33" s="169">
        <v>0.00450697</v>
      </c>
    </row>
    <row r="34" spans="1:7" ht="12.75">
      <c r="A34" s="168" t="s">
        <v>114</v>
      </c>
      <c r="B34" s="169">
        <v>-0.00439097</v>
      </c>
      <c r="C34" s="169">
        <v>0.01128435</v>
      </c>
      <c r="D34" s="169">
        <v>0.01165374</v>
      </c>
      <c r="E34" s="169">
        <v>0.002779337</v>
      </c>
      <c r="F34" s="169">
        <v>-0.018493</v>
      </c>
      <c r="G34" s="169">
        <v>0.003070158</v>
      </c>
    </row>
    <row r="35" spans="1:7" ht="12.75">
      <c r="A35" s="168" t="s">
        <v>116</v>
      </c>
      <c r="B35" s="169">
        <v>-5.946107E-05</v>
      </c>
      <c r="C35" s="169">
        <v>-0.0008807656</v>
      </c>
      <c r="D35" s="169">
        <v>0.003254858</v>
      </c>
      <c r="E35" s="169">
        <v>0.006327849</v>
      </c>
      <c r="F35" s="169">
        <v>0.004212958</v>
      </c>
      <c r="G35" s="169">
        <v>0.0009967727</v>
      </c>
    </row>
    <row r="36" spans="1:6" ht="12.75">
      <c r="A36" s="168" t="s">
        <v>144</v>
      </c>
      <c r="B36" s="169">
        <v>19.90662</v>
      </c>
      <c r="C36" s="169">
        <v>19.90357</v>
      </c>
      <c r="D36" s="169">
        <v>19.91272</v>
      </c>
      <c r="E36" s="169">
        <v>19.91272</v>
      </c>
      <c r="F36" s="169">
        <v>19.92798</v>
      </c>
    </row>
    <row r="37" spans="1:6" ht="12.75">
      <c r="A37" s="168" t="s">
        <v>145</v>
      </c>
      <c r="B37" s="169">
        <v>0.1215617</v>
      </c>
      <c r="C37" s="169">
        <v>0.05849203</v>
      </c>
      <c r="D37" s="169">
        <v>0.01881917</v>
      </c>
      <c r="E37" s="169">
        <v>-0.01475016</v>
      </c>
      <c r="F37" s="169">
        <v>-0.04425049</v>
      </c>
    </row>
    <row r="38" spans="1:7" ht="12.75">
      <c r="A38" s="168" t="s">
        <v>146</v>
      </c>
      <c r="B38" s="169">
        <v>0.0006793341</v>
      </c>
      <c r="C38" s="169">
        <v>-0.0003271043</v>
      </c>
      <c r="D38" s="169">
        <v>0.0001378365</v>
      </c>
      <c r="E38" s="169">
        <v>-0.0002895366</v>
      </c>
      <c r="F38" s="169">
        <v>0.0003879225</v>
      </c>
      <c r="G38" s="169">
        <v>1.30229E-05</v>
      </c>
    </row>
    <row r="39" spans="1:7" ht="12.75">
      <c r="A39" s="168" t="s">
        <v>147</v>
      </c>
      <c r="B39" s="169">
        <v>0.001300443</v>
      </c>
      <c r="C39" s="169">
        <v>0.001199606</v>
      </c>
      <c r="D39" s="169">
        <v>0.001381267</v>
      </c>
      <c r="E39" s="169">
        <v>0.00125539</v>
      </c>
      <c r="F39" s="169">
        <v>0.001627743</v>
      </c>
      <c r="G39" s="169">
        <v>0.0006645083</v>
      </c>
    </row>
    <row r="40" spans="2:5" ht="12.75">
      <c r="B40" s="168" t="s">
        <v>148</v>
      </c>
      <c r="C40" s="168">
        <v>0.003759</v>
      </c>
      <c r="D40" s="168" t="s">
        <v>149</v>
      </c>
      <c r="E40" s="168">
        <v>3.116133</v>
      </c>
    </row>
    <row r="42" ht="12.75">
      <c r="A42" s="168" t="s">
        <v>150</v>
      </c>
    </row>
    <row r="50" spans="1:7" ht="12.75">
      <c r="A50" s="168" t="s">
        <v>151</v>
      </c>
      <c r="B50" s="168">
        <f>-0.017/(B7*B7+B22*B22)*(B21*B22+B6*B7)</f>
        <v>0.0006793340860593568</v>
      </c>
      <c r="C50" s="168">
        <f>-0.017/(C7*C7+C22*C22)*(C21*C22+C6*C7)</f>
        <v>-0.00032710427744657466</v>
      </c>
      <c r="D50" s="168">
        <f>-0.017/(D7*D7+D22*D22)*(D21*D22+D6*D7)</f>
        <v>0.00013783647768707144</v>
      </c>
      <c r="E50" s="168">
        <f>-0.017/(E7*E7+E22*E22)*(E21*E22+E6*E7)</f>
        <v>-0.0002895366210040992</v>
      </c>
      <c r="F50" s="168">
        <f>-0.017/(F7*F7+F22*F22)*(F21*F22+F6*F7)</f>
        <v>0.0003879224435659831</v>
      </c>
      <c r="G50" s="168">
        <f>(B50*B$4+C50*C$4+D50*D$4+E50*E$4+F50*F$4)/SUM(B$4:F$4)</f>
        <v>3.472070403199679E-05</v>
      </c>
    </row>
    <row r="51" spans="1:7" ht="12.75">
      <c r="A51" s="168" t="s">
        <v>152</v>
      </c>
      <c r="B51" s="168">
        <f>-0.017/(B7*B7+B22*B22)*(B21*B7-B6*B22)</f>
        <v>0.001300443232488321</v>
      </c>
      <c r="C51" s="168">
        <f>-0.017/(C7*C7+C22*C22)*(C21*C7-C6*C22)</f>
        <v>0.0011996055104387677</v>
      </c>
      <c r="D51" s="168">
        <f>-0.017/(D7*D7+D22*D22)*(D21*D7-D6*D22)</f>
        <v>0.0013812668218918219</v>
      </c>
      <c r="E51" s="168">
        <f>-0.017/(E7*E7+E22*E22)*(E21*E7-E6*E22)</f>
        <v>0.001255390182373349</v>
      </c>
      <c r="F51" s="168">
        <f>-0.017/(F7*F7+F22*F22)*(F21*F7-F6*F22)</f>
        <v>0.0016277432534065558</v>
      </c>
      <c r="G51" s="168">
        <f>(B51*B$4+C51*C$4+D51*D$4+E51*E$4+F51*F$4)/SUM(B$4:F$4)</f>
        <v>0.0013285263246632368</v>
      </c>
    </row>
    <row r="58" ht="12.75">
      <c r="A58" s="168" t="s">
        <v>154</v>
      </c>
    </row>
    <row r="60" spans="2:6" ht="12.75">
      <c r="B60" s="168" t="s">
        <v>84</v>
      </c>
      <c r="C60" s="168" t="s">
        <v>85</v>
      </c>
      <c r="D60" s="168" t="s">
        <v>86</v>
      </c>
      <c r="E60" s="168" t="s">
        <v>87</v>
      </c>
      <c r="F60" s="168" t="s">
        <v>88</v>
      </c>
    </row>
    <row r="61" spans="1:6" ht="12.75">
      <c r="A61" s="168" t="s">
        <v>156</v>
      </c>
      <c r="B61" s="168">
        <f>B6+(1/0.017)*(B7*B50-B22*B51)</f>
        <v>0</v>
      </c>
      <c r="C61" s="168">
        <f>C6+(1/0.017)*(C7*C50-C22*C51)</f>
        <v>0</v>
      </c>
      <c r="D61" s="168">
        <f>D6+(1/0.017)*(D7*D50-D22*D51)</f>
        <v>0</v>
      </c>
      <c r="E61" s="168">
        <f>E6+(1/0.017)*(E7*E50-E22*E51)</f>
        <v>0</v>
      </c>
      <c r="F61" s="168">
        <f>F6+(1/0.017)*(F7*F50-F22*F51)</f>
        <v>0</v>
      </c>
    </row>
    <row r="62" spans="1:6" ht="12.75">
      <c r="A62" s="168" t="s">
        <v>159</v>
      </c>
      <c r="B62" s="168">
        <f>B7+(2/0.017)*(B8*B50-B23*B51)</f>
        <v>9999.645524551512</v>
      </c>
      <c r="C62" s="168">
        <f>C7+(2/0.017)*(C8*C50-C23*C51)</f>
        <v>9999.914951580859</v>
      </c>
      <c r="D62" s="168">
        <f>D7+(2/0.017)*(D8*D50-D23*D51)</f>
        <v>9999.762695123469</v>
      </c>
      <c r="E62" s="168">
        <f>E7+(2/0.017)*(E8*E50-E23*E51)</f>
        <v>9999.56849548521</v>
      </c>
      <c r="F62" s="168">
        <f>F7+(2/0.017)*(F8*F50-F23*F51)</f>
        <v>9997.966234761921</v>
      </c>
    </row>
    <row r="63" spans="1:6" ht="12.75">
      <c r="A63" s="168" t="s">
        <v>160</v>
      </c>
      <c r="B63" s="168">
        <f>B8+(3/0.017)*(B9*B50-B24*B51)</f>
        <v>-0.22394194756506317</v>
      </c>
      <c r="C63" s="168">
        <f>C8+(3/0.017)*(C9*C50-C24*C51)</f>
        <v>-0.47543153463376536</v>
      </c>
      <c r="D63" s="168">
        <f>D8+(3/0.017)*(D9*D50-D24*D51)</f>
        <v>-0.8279173325457735</v>
      </c>
      <c r="E63" s="168">
        <f>E8+(3/0.017)*(E9*E50-E24*E51)</f>
        <v>-0.5699508679501226</v>
      </c>
      <c r="F63" s="168">
        <f>F8+(3/0.017)*(F9*F50-F24*F51)</f>
        <v>-2.21748984736658</v>
      </c>
    </row>
    <row r="64" spans="1:6" ht="12.75">
      <c r="A64" s="168" t="s">
        <v>161</v>
      </c>
      <c r="B64" s="168">
        <f>B9+(4/0.017)*(B10*B50-B25*B51)</f>
        <v>0.3768743608355368</v>
      </c>
      <c r="C64" s="168">
        <f>C9+(4/0.017)*(C10*C50-C25*C51)</f>
        <v>-0.24246168364743362</v>
      </c>
      <c r="D64" s="168">
        <f>D9+(4/0.017)*(D10*D50-D25*D51)</f>
        <v>0.8435668095012956</v>
      </c>
      <c r="E64" s="168">
        <f>E9+(4/0.017)*(E10*E50-E25*E51)</f>
        <v>0.1264070599180952</v>
      </c>
      <c r="F64" s="168">
        <f>F9+(4/0.017)*(F10*F50-F25*F51)</f>
        <v>0.2605980349197172</v>
      </c>
    </row>
    <row r="65" spans="1:6" ht="12.75">
      <c r="A65" s="168" t="s">
        <v>162</v>
      </c>
      <c r="B65" s="168">
        <f>B10+(5/0.017)*(B11*B50-B26*B51)</f>
        <v>-0.18355523415581487</v>
      </c>
      <c r="C65" s="168">
        <f>C10+(5/0.017)*(C11*C50-C26*C51)</f>
        <v>-0.01481567418140356</v>
      </c>
      <c r="D65" s="168">
        <f>D10+(5/0.017)*(D11*D50-D26*D51)</f>
        <v>0.4052049156001072</v>
      </c>
      <c r="E65" s="168">
        <f>E10+(5/0.017)*(E11*E50-E26*E51)</f>
        <v>0.3959107245352891</v>
      </c>
      <c r="F65" s="168">
        <f>F10+(5/0.017)*(F11*F50-F26*F51)</f>
        <v>0.2073658497751799</v>
      </c>
    </row>
    <row r="66" spans="1:6" ht="12.75">
      <c r="A66" s="168" t="s">
        <v>163</v>
      </c>
      <c r="B66" s="168">
        <f>B11+(6/0.017)*(B12*B50-B27*B51)</f>
        <v>4.235915327508367</v>
      </c>
      <c r="C66" s="168">
        <f>C11+(6/0.017)*(C12*C50-C27*C51)</f>
        <v>3.1990398374489817</v>
      </c>
      <c r="D66" s="168">
        <f>D11+(6/0.017)*(D12*D50-D27*D51)</f>
        <v>3.9387710112378365</v>
      </c>
      <c r="E66" s="168">
        <f>E11+(6/0.017)*(E12*E50-E27*E51)</f>
        <v>3.8810569400849366</v>
      </c>
      <c r="F66" s="168">
        <f>F11+(6/0.017)*(F12*F50-F27*F51)</f>
        <v>14.936815393053113</v>
      </c>
    </row>
    <row r="67" spans="1:6" ht="12.75">
      <c r="A67" s="168" t="s">
        <v>164</v>
      </c>
      <c r="B67" s="168">
        <f>B12+(7/0.017)*(B13*B50-B28*B51)</f>
        <v>-0.07337594807153894</v>
      </c>
      <c r="C67" s="168">
        <f>C12+(7/0.017)*(C13*C50-C28*C51)</f>
        <v>-0.004076300117897919</v>
      </c>
      <c r="D67" s="168">
        <f>D12+(7/0.017)*(D13*D50-D28*D51)</f>
        <v>0.0885435208128818</v>
      </c>
      <c r="E67" s="168">
        <f>E12+(7/0.017)*(E13*E50-E28*E51)</f>
        <v>-0.059371672323706826</v>
      </c>
      <c r="F67" s="168">
        <f>F12+(7/0.017)*(F13*F50-F28*F51)</f>
        <v>-0.0832047843676666</v>
      </c>
    </row>
    <row r="68" spans="1:6" ht="12.75">
      <c r="A68" s="168" t="s">
        <v>165</v>
      </c>
      <c r="B68" s="168">
        <f>B13+(8/0.017)*(B14*B50-B29*B51)</f>
        <v>-0.14246556176672723</v>
      </c>
      <c r="C68" s="168">
        <f>C13+(8/0.017)*(C14*C50-C29*C51)</f>
        <v>-0.16179063036764785</v>
      </c>
      <c r="D68" s="168">
        <f>D13+(8/0.017)*(D14*D50-D29*D51)</f>
        <v>0.09701368760338844</v>
      </c>
      <c r="E68" s="168">
        <f>E13+(8/0.017)*(E14*E50-E29*E51)</f>
        <v>0.15261521753191887</v>
      </c>
      <c r="F68" s="168">
        <f>F13+(8/0.017)*(F14*F50-F29*F51)</f>
        <v>-0.10373483054618515</v>
      </c>
    </row>
    <row r="69" spans="1:6" ht="12.75">
      <c r="A69" s="168" t="s">
        <v>166</v>
      </c>
      <c r="B69" s="168">
        <f>B14+(9/0.017)*(B15*B50-B30*B51)</f>
        <v>-0.004768193634749035</v>
      </c>
      <c r="C69" s="168">
        <f>C14+(9/0.017)*(C15*C50-C30*C51)</f>
        <v>0.04224757362446935</v>
      </c>
      <c r="D69" s="168">
        <f>D14+(9/0.017)*(D15*D50-D30*D51)</f>
        <v>-0.03624285006294854</v>
      </c>
      <c r="E69" s="168">
        <f>E14+(9/0.017)*(E15*E50-E30*E51)</f>
        <v>-0.014796630578354883</v>
      </c>
      <c r="F69" s="168">
        <f>F14+(9/0.017)*(F15*F50-F30*F51)</f>
        <v>0.06949659208089637</v>
      </c>
    </row>
    <row r="70" spans="1:6" ht="12.75">
      <c r="A70" s="168" t="s">
        <v>167</v>
      </c>
      <c r="B70" s="168">
        <f>B15+(10/0.017)*(B16*B50-B31*B51)</f>
        <v>-0.45557401808099757</v>
      </c>
      <c r="C70" s="168">
        <f>C15+(10/0.017)*(C16*C50-C31*C51)</f>
        <v>-0.23416566743013031</v>
      </c>
      <c r="D70" s="168">
        <f>D15+(10/0.017)*(D16*D50-D31*D51)</f>
        <v>-0.20848897889421825</v>
      </c>
      <c r="E70" s="168">
        <f>E15+(10/0.017)*(E16*E50-E31*E51)</f>
        <v>-0.18905817916743037</v>
      </c>
      <c r="F70" s="168">
        <f>F15+(10/0.017)*(F16*F50-F31*F51)</f>
        <v>-0.34595758447272246</v>
      </c>
    </row>
    <row r="71" spans="1:6" ht="12.75">
      <c r="A71" s="168" t="s">
        <v>168</v>
      </c>
      <c r="B71" s="168">
        <f>B16+(11/0.017)*(B17*B50-B32*B51)</f>
        <v>0.062047896641883496</v>
      </c>
      <c r="C71" s="168">
        <f>C16+(11/0.017)*(C17*C50-C32*C51)</f>
        <v>-0.026687108974305644</v>
      </c>
      <c r="D71" s="168">
        <f>D16+(11/0.017)*(D17*D50-D32*D51)</f>
        <v>0.02642630498438161</v>
      </c>
      <c r="E71" s="168">
        <f>E16+(11/0.017)*(E17*E50-E32*E51)</f>
        <v>-0.019633915397457485</v>
      </c>
      <c r="F71" s="168">
        <f>F16+(11/0.017)*(F17*F50-F32*F51)</f>
        <v>0.004933849388680403</v>
      </c>
    </row>
    <row r="72" spans="1:6" ht="12.75">
      <c r="A72" s="168" t="s">
        <v>169</v>
      </c>
      <c r="B72" s="168">
        <f>B17+(12/0.017)*(B18*B50-B33*B51)</f>
        <v>-0.01670744892663214</v>
      </c>
      <c r="C72" s="168">
        <f>C17+(12/0.017)*(C18*C50-C33*C51)</f>
        <v>-0.012914102705901258</v>
      </c>
      <c r="D72" s="168">
        <f>D17+(12/0.017)*(D18*D50-D33*D51)</f>
        <v>-0.03809451590454318</v>
      </c>
      <c r="E72" s="168">
        <f>E17+(12/0.017)*(E18*E50-E33*E51)</f>
        <v>-0.019335975074846017</v>
      </c>
      <c r="F72" s="168">
        <f>F17+(12/0.017)*(F18*F50-F33*F51)</f>
        <v>-0.06740758187293681</v>
      </c>
    </row>
    <row r="73" spans="1:6" ht="12.75">
      <c r="A73" s="168" t="s">
        <v>170</v>
      </c>
      <c r="B73" s="168">
        <f>B18+(13/0.017)*(B19*B50-B34*B51)</f>
        <v>0.010777919605927333</v>
      </c>
      <c r="C73" s="168">
        <f>C18+(13/0.017)*(C19*C50-C34*C51)</f>
        <v>0.007293293625408634</v>
      </c>
      <c r="D73" s="168">
        <f>D18+(13/0.017)*(D19*D50-D34*D51)</f>
        <v>-0.013331524675961852</v>
      </c>
      <c r="E73" s="168">
        <f>E18+(13/0.017)*(E19*E50-E34*E51)</f>
        <v>-0.008997343894341973</v>
      </c>
      <c r="F73" s="168">
        <f>F18+(13/0.017)*(F19*F50-F34*F51)</f>
        <v>-0.01588649538609399</v>
      </c>
    </row>
    <row r="74" spans="1:6" ht="12.75">
      <c r="A74" s="168" t="s">
        <v>171</v>
      </c>
      <c r="B74" s="168">
        <f>B19+(14/0.017)*(B20*B50-B35*B51)</f>
        <v>-0.18174718608945478</v>
      </c>
      <c r="C74" s="168">
        <f>C19+(14/0.017)*(C20*C50-C35*C51)</f>
        <v>-0.13788277937259635</v>
      </c>
      <c r="D74" s="168">
        <f>D19+(14/0.017)*(D20*D50-D35*D51)</f>
        <v>-0.15524362542667017</v>
      </c>
      <c r="E74" s="168">
        <f>E19+(14/0.017)*(E20*E50-E35*E51)</f>
        <v>-0.15678342653113478</v>
      </c>
      <c r="F74" s="168">
        <f>F19+(14/0.017)*(F20*F50-F35*F51)</f>
        <v>-0.13879896571334505</v>
      </c>
    </row>
    <row r="75" spans="1:6" ht="12.75">
      <c r="A75" s="168" t="s">
        <v>172</v>
      </c>
      <c r="B75" s="169">
        <f>B20</f>
        <v>-0.0009010004</v>
      </c>
      <c r="C75" s="169">
        <f>C20</f>
        <v>-0.001038693</v>
      </c>
      <c r="D75" s="169">
        <f>D20</f>
        <v>-0.0004270843</v>
      </c>
      <c r="E75" s="169">
        <f>E20</f>
        <v>-0.00112239</v>
      </c>
      <c r="F75" s="169">
        <f>F20</f>
        <v>-0.001822478</v>
      </c>
    </row>
    <row r="78" ht="12.75">
      <c r="A78" s="168" t="s">
        <v>154</v>
      </c>
    </row>
    <row r="80" spans="2:6" ht="12.75">
      <c r="B80" s="168" t="s">
        <v>84</v>
      </c>
      <c r="C80" s="168" t="s">
        <v>85</v>
      </c>
      <c r="D80" s="168" t="s">
        <v>86</v>
      </c>
      <c r="E80" s="168" t="s">
        <v>87</v>
      </c>
      <c r="F80" s="168" t="s">
        <v>88</v>
      </c>
    </row>
    <row r="81" spans="1:6" ht="12.75">
      <c r="A81" s="168" t="s">
        <v>173</v>
      </c>
      <c r="B81" s="168">
        <f>B21+(1/0.017)*(B7*B51+B22*B50)</f>
        <v>0</v>
      </c>
      <c r="C81" s="168">
        <f>C21+(1/0.017)*(C7*C51+C22*C50)</f>
        <v>0</v>
      </c>
      <c r="D81" s="168">
        <f>D21+(1/0.017)*(D7*D51+D22*D50)</f>
        <v>0</v>
      </c>
      <c r="E81" s="168">
        <f>E21+(1/0.017)*(E7*E51+E22*E50)</f>
        <v>0</v>
      </c>
      <c r="F81" s="168">
        <f>F21+(1/0.017)*(F7*F51+F22*F50)</f>
        <v>0</v>
      </c>
    </row>
    <row r="82" spans="1:6" ht="12.75">
      <c r="A82" s="168" t="s">
        <v>174</v>
      </c>
      <c r="B82" s="168">
        <f>B22+(2/0.017)*(B8*B51+B23*B50)</f>
        <v>39.498131692665304</v>
      </c>
      <c r="C82" s="168">
        <f>C22+(2/0.017)*(C8*C51+C23*C50)</f>
        <v>6.484800617012735</v>
      </c>
      <c r="D82" s="168">
        <f>D22+(2/0.017)*(D8*D51+D23*D50)</f>
        <v>2.92792084660002</v>
      </c>
      <c r="E82" s="168">
        <f>E22+(2/0.017)*(E8*E51+E23*E50)</f>
        <v>-16.02678351939847</v>
      </c>
      <c r="F82" s="168">
        <f>F22+(2/0.017)*(F8*F51+F23*F50)</f>
        <v>-31.580193383689455</v>
      </c>
    </row>
    <row r="83" spans="1:6" ht="12.75">
      <c r="A83" s="168" t="s">
        <v>175</v>
      </c>
      <c r="B83" s="168">
        <f>B23+(3/0.017)*(B9*B51+B24*B50)</f>
        <v>2.3413850667934377</v>
      </c>
      <c r="C83" s="168">
        <f>C23+(3/0.017)*(C9*C51+C24*C50)</f>
        <v>0.22217154443939857</v>
      </c>
      <c r="D83" s="168">
        <f>D23+(3/0.017)*(D9*D51+D24*D50)</f>
        <v>1.6239283600942356</v>
      </c>
      <c r="E83" s="168">
        <f>E23+(3/0.017)*(E9*E51+E24*E50)</f>
        <v>2.948418581589781</v>
      </c>
      <c r="F83" s="168">
        <f>F23+(3/0.017)*(F9*F51+F24*F50)</f>
        <v>9.581449352356676</v>
      </c>
    </row>
    <row r="84" spans="1:6" ht="12.75">
      <c r="A84" s="168" t="s">
        <v>176</v>
      </c>
      <c r="B84" s="168">
        <f>B24+(4/0.017)*(B10*B51+B25*B50)</f>
        <v>0.05523663867776718</v>
      </c>
      <c r="C84" s="168">
        <f>C24+(4/0.017)*(C10*C51+C25*C50)</f>
        <v>3.8074902612766537</v>
      </c>
      <c r="D84" s="168">
        <f>D24+(4/0.017)*(D10*D51+D25*D50)</f>
        <v>2.4653099585887825</v>
      </c>
      <c r="E84" s="168">
        <f>E24+(4/0.017)*(E10*E51+E25*E50)</f>
        <v>1.3675296403247124</v>
      </c>
      <c r="F84" s="168">
        <f>F24+(4/0.017)*(F10*F51+F25*F50)</f>
        <v>1.4216560621074086</v>
      </c>
    </row>
    <row r="85" spans="1:6" ht="12.75">
      <c r="A85" s="168" t="s">
        <v>177</v>
      </c>
      <c r="B85" s="168">
        <f>B25+(5/0.017)*(B11*B51+B26*B50)</f>
        <v>-0.12012069309730533</v>
      </c>
      <c r="C85" s="168">
        <f>C25+(5/0.017)*(C11*C51+C26*C50)</f>
        <v>0.4447690780915061</v>
      </c>
      <c r="D85" s="168">
        <f>D25+(5/0.017)*(D11*D51+D26*D50)</f>
        <v>0.6822088677869539</v>
      </c>
      <c r="E85" s="168">
        <f>E25+(5/0.017)*(E11*E51+E26*E50)</f>
        <v>0.8342687579165539</v>
      </c>
      <c r="F85" s="168">
        <f>F25+(5/0.017)*(F11*F51+F26*F50)</f>
        <v>-1.6698313115479628</v>
      </c>
    </row>
    <row r="86" spans="1:6" ht="12.75">
      <c r="A86" s="168" t="s">
        <v>178</v>
      </c>
      <c r="B86" s="168">
        <f>B26+(6/0.017)*(B12*B51+B27*B50)</f>
        <v>0.3017287056932315</v>
      </c>
      <c r="C86" s="168">
        <f>C26+(6/0.017)*(C12*C51+C27*C50)</f>
        <v>-0.17500656675925502</v>
      </c>
      <c r="D86" s="168">
        <f>D26+(6/0.017)*(D12*D51+D27*D50)</f>
        <v>0.5672767210608172</v>
      </c>
      <c r="E86" s="168">
        <f>E26+(6/0.017)*(E12*E51+E27*E50)</f>
        <v>0.5019933460588091</v>
      </c>
      <c r="F86" s="168">
        <f>F26+(6/0.017)*(F12*F51+F27*F50)</f>
        <v>1.634317339609922</v>
      </c>
    </row>
    <row r="87" spans="1:6" ht="12.75">
      <c r="A87" s="168" t="s">
        <v>179</v>
      </c>
      <c r="B87" s="168">
        <f>B27+(7/0.017)*(B13*B51+B28*B50)</f>
        <v>-0.1404405921398974</v>
      </c>
      <c r="C87" s="168">
        <f>C27+(7/0.017)*(C13*C51+C28*C50)</f>
        <v>-0.1307790004118451</v>
      </c>
      <c r="D87" s="168">
        <f>D27+(7/0.017)*(D13*D51+D28*D50)</f>
        <v>-0.19269954007451012</v>
      </c>
      <c r="E87" s="168">
        <f>E27+(7/0.017)*(E13*E51+E28*E50)</f>
        <v>-0.0042536032859109285</v>
      </c>
      <c r="F87" s="168">
        <f>F27+(7/0.017)*(F13*F51+F28*F50)</f>
        <v>0.5236689513343213</v>
      </c>
    </row>
    <row r="88" spans="1:6" ht="12.75">
      <c r="A88" s="168" t="s">
        <v>180</v>
      </c>
      <c r="B88" s="168">
        <f>B28+(8/0.017)*(B14*B51+B29*B50)</f>
        <v>0.14354795430768186</v>
      </c>
      <c r="C88" s="168">
        <f>C28+(8/0.017)*(C14*C51+C29*C50)</f>
        <v>0.3224299372552062</v>
      </c>
      <c r="D88" s="168">
        <f>D28+(8/0.017)*(D14*D51+D29*D50)</f>
        <v>0.31341587878925425</v>
      </c>
      <c r="E88" s="168">
        <f>E28+(8/0.017)*(E14*E51+E29*E50)</f>
        <v>0.3064576263958411</v>
      </c>
      <c r="F88" s="168">
        <f>F28+(8/0.017)*(F14*F51+F29*F50)</f>
        <v>0.31472084883651313</v>
      </c>
    </row>
    <row r="89" spans="1:6" ht="12.75">
      <c r="A89" s="168" t="s">
        <v>181</v>
      </c>
      <c r="B89" s="168">
        <f>B29+(9/0.017)*(B15*B51+B30*B50)</f>
        <v>-0.02643095588715605</v>
      </c>
      <c r="C89" s="168">
        <f>C29+(9/0.017)*(C15*C51+C30*C50)</f>
        <v>-0.04876617881384186</v>
      </c>
      <c r="D89" s="168">
        <f>D29+(9/0.017)*(D15*D51+D30*D50)</f>
        <v>-0.04534091671216914</v>
      </c>
      <c r="E89" s="168">
        <f>E29+(9/0.017)*(E15*E51+E30*E50)</f>
        <v>-0.0012860517354141565</v>
      </c>
      <c r="F89" s="168">
        <f>F29+(9/0.017)*(F15*F51+F30*F50)</f>
        <v>-0.028498494216408737</v>
      </c>
    </row>
    <row r="90" spans="1:6" ht="12.75">
      <c r="A90" s="168" t="s">
        <v>182</v>
      </c>
      <c r="B90" s="168">
        <f>B30+(10/0.017)*(B16*B51+B31*B50)</f>
        <v>0.0021052995074367364</v>
      </c>
      <c r="C90" s="168">
        <f>C30+(10/0.017)*(C16*C51+C31*C50)</f>
        <v>-0.015066876024181768</v>
      </c>
      <c r="D90" s="168">
        <f>D30+(10/0.017)*(D16*D51+D31*D50)</f>
        <v>0.08875891582863768</v>
      </c>
      <c r="E90" s="168">
        <f>E30+(10/0.017)*(E16*E51+E31*E50)</f>
        <v>-0.008565349534856673</v>
      </c>
      <c r="F90" s="168">
        <f>F30+(10/0.017)*(F16*F51+F31*F50)</f>
        <v>0.17316235467655644</v>
      </c>
    </row>
    <row r="91" spans="1:6" ht="12.75">
      <c r="A91" s="168" t="s">
        <v>183</v>
      </c>
      <c r="B91" s="168">
        <f>B31+(11/0.017)*(B17*B51+B32*B50)</f>
        <v>-0.04601046476090472</v>
      </c>
      <c r="C91" s="168">
        <f>C31+(11/0.017)*(C17*C51+C32*C50)</f>
        <v>0.00869602294849239</v>
      </c>
      <c r="D91" s="168">
        <f>D31+(11/0.017)*(D17*D51+D32*D50)</f>
        <v>-0.006256900177139792</v>
      </c>
      <c r="E91" s="168">
        <f>E31+(11/0.017)*(E17*E51+E32*E50)</f>
        <v>-0.023226119726531446</v>
      </c>
      <c r="F91" s="168">
        <f>F31+(11/0.017)*(F17*F51+F32*F50)</f>
        <v>0.06959530873080798</v>
      </c>
    </row>
    <row r="92" spans="1:6" ht="12.75">
      <c r="A92" s="168" t="s">
        <v>184</v>
      </c>
      <c r="B92" s="168">
        <f>B32+(12/0.017)*(B18*B51+B33*B50)</f>
        <v>0.051025211279292076</v>
      </c>
      <c r="C92" s="168">
        <f>C32+(12/0.017)*(C18*C51+C33*C50)</f>
        <v>6.795252475721644E-05</v>
      </c>
      <c r="D92" s="168">
        <f>D32+(12/0.017)*(D18*D51+D33*D50)</f>
        <v>0.0410039278331957</v>
      </c>
      <c r="E92" s="168">
        <f>E32+(12/0.017)*(E18*E51+E33*E50)</f>
        <v>0.02950266374283555</v>
      </c>
      <c r="F92" s="168">
        <f>F32+(12/0.017)*(F18*F51+F33*F50)</f>
        <v>0.044346061223799096</v>
      </c>
    </row>
    <row r="93" spans="1:6" ht="12.75">
      <c r="A93" s="168" t="s">
        <v>185</v>
      </c>
      <c r="B93" s="168">
        <f>B33+(13/0.017)*(B19*B51+B34*B50)</f>
        <v>-0.07025041038398283</v>
      </c>
      <c r="C93" s="168">
        <f>C33+(13/0.017)*(C19*C51+C34*C50)</f>
        <v>-0.0660747575680586</v>
      </c>
      <c r="D93" s="168">
        <f>D33+(13/0.017)*(D19*D51+D34*D50)</f>
        <v>-0.06286320807878196</v>
      </c>
      <c r="E93" s="168">
        <f>E33+(13/0.017)*(E19*E51+E34*E50)</f>
        <v>-0.0557124547312792</v>
      </c>
      <c r="F93" s="168">
        <f>F33+(13/0.017)*(F19*F51+F34*F50)</f>
        <v>-0.04928023733088473</v>
      </c>
    </row>
    <row r="94" spans="1:6" ht="12.75">
      <c r="A94" s="168" t="s">
        <v>186</v>
      </c>
      <c r="B94" s="168">
        <f>B34+(14/0.017)*(B20*B51+B35*B50)</f>
        <v>-0.005389164897653744</v>
      </c>
      <c r="C94" s="168">
        <f>C34+(14/0.017)*(C20*C51+C35*C50)</f>
        <v>0.010495474993074749</v>
      </c>
      <c r="D94" s="168">
        <f>D34+(14/0.017)*(D20*D51+D35*D50)</f>
        <v>0.011537392413935863</v>
      </c>
      <c r="E94" s="168">
        <f>E34+(14/0.017)*(E20*E51+E35*E50)</f>
        <v>0.00011012878454737252</v>
      </c>
      <c r="F94" s="168">
        <f>F34+(14/0.017)*(F20*F51+F35*F50)</f>
        <v>-0.01959012672339613</v>
      </c>
    </row>
    <row r="95" spans="1:6" ht="12.75">
      <c r="A95" s="168" t="s">
        <v>187</v>
      </c>
      <c r="B95" s="169">
        <f>B35</f>
        <v>-5.946107E-05</v>
      </c>
      <c r="C95" s="169">
        <f>C35</f>
        <v>-0.0008807656</v>
      </c>
      <c r="D95" s="169">
        <f>D35</f>
        <v>0.003254858</v>
      </c>
      <c r="E95" s="169">
        <f>E35</f>
        <v>0.006327849</v>
      </c>
      <c r="F95" s="169">
        <f>F35</f>
        <v>0.004212958</v>
      </c>
    </row>
    <row r="98" ht="12.75">
      <c r="A98" s="168" t="s">
        <v>155</v>
      </c>
    </row>
    <row r="100" spans="2:11" ht="12.75">
      <c r="B100" s="168" t="s">
        <v>84</v>
      </c>
      <c r="C100" s="168" t="s">
        <v>85</v>
      </c>
      <c r="D100" s="168" t="s">
        <v>86</v>
      </c>
      <c r="E100" s="168" t="s">
        <v>87</v>
      </c>
      <c r="F100" s="168" t="s">
        <v>88</v>
      </c>
      <c r="G100" s="168" t="s">
        <v>157</v>
      </c>
      <c r="H100" s="168" t="s">
        <v>158</v>
      </c>
      <c r="I100" s="168" t="s">
        <v>153</v>
      </c>
      <c r="K100" s="168" t="s">
        <v>188</v>
      </c>
    </row>
    <row r="101" spans="1:9" ht="12.75">
      <c r="A101" s="168" t="s">
        <v>156</v>
      </c>
      <c r="B101" s="168">
        <f>B61*10000/B62</f>
        <v>0</v>
      </c>
      <c r="C101" s="168">
        <f>C61*10000/C62</f>
        <v>0</v>
      </c>
      <c r="D101" s="168">
        <f>D61*10000/D62</f>
        <v>0</v>
      </c>
      <c r="E101" s="168">
        <f>E61*10000/E62</f>
        <v>0</v>
      </c>
      <c r="F101" s="168">
        <f>F61*10000/F62</f>
        <v>0</v>
      </c>
      <c r="G101" s="168">
        <f>AVERAGE(C101:E101)</f>
        <v>0</v>
      </c>
      <c r="H101" s="168">
        <f>STDEV(C101:E101)</f>
        <v>0</v>
      </c>
      <c r="I101" s="168">
        <f>(B101*B4+C101*C4+D101*D4+E101*E4+F101*F4)/SUM(B4:F4)</f>
        <v>0</v>
      </c>
    </row>
    <row r="102" spans="1:9" ht="12.75">
      <c r="A102" s="168" t="s">
        <v>159</v>
      </c>
      <c r="B102" s="168">
        <f>B62*10000/B62</f>
        <v>10000</v>
      </c>
      <c r="C102" s="168">
        <f>C62*10000/C62</f>
        <v>10000</v>
      </c>
      <c r="D102" s="168">
        <f>D62*10000/D62</f>
        <v>10000</v>
      </c>
      <c r="E102" s="168">
        <f>E62*10000/E62</f>
        <v>10000</v>
      </c>
      <c r="F102" s="168">
        <f>F62*10000/F62</f>
        <v>10000</v>
      </c>
      <c r="G102" s="168">
        <f>AVERAGE(C102:E102)</f>
        <v>10000</v>
      </c>
      <c r="H102" s="168">
        <f>STDEV(C102:E102)</f>
        <v>0</v>
      </c>
      <c r="I102" s="168">
        <f>(B102*B4+C102*C4+D102*D4+E102*E4+F102*F4)/SUM(B4:F4)</f>
        <v>10000</v>
      </c>
    </row>
    <row r="103" spans="1:11" ht="12.75">
      <c r="A103" s="168" t="s">
        <v>160</v>
      </c>
      <c r="B103" s="168">
        <f>B63*10000/B62</f>
        <v>-0.22394988603869243</v>
      </c>
      <c r="C103" s="168">
        <f>C63*10000/C62</f>
        <v>-0.4754355781381978</v>
      </c>
      <c r="D103" s="168">
        <f>D63*10000/D62</f>
        <v>-0.8279369798940525</v>
      </c>
      <c r="E103" s="168">
        <f>E63*10000/E62</f>
        <v>-0.5699754626486678</v>
      </c>
      <c r="F103" s="168">
        <f>F63*10000/F62</f>
        <v>-2.2179409244818125</v>
      </c>
      <c r="G103" s="168">
        <f>AVERAGE(C103:E103)</f>
        <v>-0.6244493402269726</v>
      </c>
      <c r="H103" s="168">
        <f>STDEV(C103:E103)</f>
        <v>0.18245509602028914</v>
      </c>
      <c r="I103" s="168">
        <f>(B103*B4+C103*C4+D103*D4+E103*E4+F103*F4)/SUM(B4:F4)</f>
        <v>-0.7795853436524789</v>
      </c>
      <c r="K103" s="168">
        <f>(LN(H103)+LN(H123))/2-LN(K114*K115^3)</f>
        <v>-4.5741969433181175</v>
      </c>
    </row>
    <row r="104" spans="1:11" ht="12.75">
      <c r="A104" s="168" t="s">
        <v>161</v>
      </c>
      <c r="B104" s="168">
        <f>B64*10000/B62</f>
        <v>0.3768877205799151</v>
      </c>
      <c r="C104" s="168">
        <f>C64*10000/C62</f>
        <v>-0.24246374576326124</v>
      </c>
      <c r="D104" s="168">
        <f>D64*10000/D62</f>
        <v>0.8435868282281072</v>
      </c>
      <c r="E104" s="168">
        <f>E64*10000/E62</f>
        <v>0.12641251467517603</v>
      </c>
      <c r="F104" s="168">
        <f>F64*10000/F62</f>
        <v>0.26065104522322163</v>
      </c>
      <c r="G104" s="168">
        <f>AVERAGE(C104:E104)</f>
        <v>0.24251186571334063</v>
      </c>
      <c r="H104" s="168">
        <f>STDEV(C104:E104)</f>
        <v>0.5522551555217546</v>
      </c>
      <c r="I104" s="168">
        <f>(B104*B4+C104*C4+D104*D4+E104*E4+F104*F4)/SUM(B4:F4)</f>
        <v>0.26431071091780534</v>
      </c>
      <c r="K104" s="168">
        <f>(LN(H104)+LN(H124))/2-LN(K114*K115^4)</f>
        <v>-3.483863786145128</v>
      </c>
    </row>
    <row r="105" spans="1:11" ht="12.75">
      <c r="A105" s="168" t="s">
        <v>162</v>
      </c>
      <c r="B105" s="168">
        <f>B65*10000/B62</f>
        <v>-0.1835617409688604</v>
      </c>
      <c r="C105" s="168">
        <f>C65*10000/C62</f>
        <v>-0.014815800187441986</v>
      </c>
      <c r="D105" s="168">
        <f>D65*10000/D62</f>
        <v>0.40521453153854475</v>
      </c>
      <c r="E105" s="168">
        <f>E65*10000/E62</f>
        <v>0.3959278089990005</v>
      </c>
      <c r="F105" s="168">
        <f>F65*10000/F62</f>
        <v>0.2074080316996768</v>
      </c>
      <c r="G105" s="168">
        <f>AVERAGE(C105:E105)</f>
        <v>0.2621088467833677</v>
      </c>
      <c r="H105" s="168">
        <f>STDEV(C105:E105)</f>
        <v>0.23986872634591686</v>
      </c>
      <c r="I105" s="168">
        <f>(B105*B4+C105*C4+D105*D4+E105*E4+F105*F4)/SUM(B4:F4)</f>
        <v>0.19041987786064699</v>
      </c>
      <c r="K105" s="168">
        <f>(LN(H105)+LN(H125))/2-LN(K114*K115^5)</f>
        <v>-4.223763761708593</v>
      </c>
    </row>
    <row r="106" spans="1:11" ht="12.75">
      <c r="A106" s="168" t="s">
        <v>163</v>
      </c>
      <c r="B106" s="168">
        <f>B66*10000/B62</f>
        <v>4.236065485629652</v>
      </c>
      <c r="C106" s="168">
        <f>C66*10000/C62</f>
        <v>3.1990670450084724</v>
      </c>
      <c r="D106" s="168">
        <f>D66*10000/D62</f>
        <v>3.9388644824128036</v>
      </c>
      <c r="E106" s="168">
        <f>E66*10000/E62</f>
        <v>3.8812244166708076</v>
      </c>
      <c r="F106" s="168">
        <f>F66*10000/F62</f>
        <v>14.9398538085869</v>
      </c>
      <c r="G106" s="168">
        <f>AVERAGE(C106:E106)</f>
        <v>3.673051981364028</v>
      </c>
      <c r="H106" s="168">
        <f>STDEV(C106:E106)</f>
        <v>0.41149348015936715</v>
      </c>
      <c r="I106" s="168">
        <f>(B106*B4+C106*C4+D106*D4+E106*E4+F106*F4)/SUM(B4:F4)</f>
        <v>5.2602217865060235</v>
      </c>
      <c r="K106" s="168">
        <f>(LN(H106)+LN(H126))/2-LN(K114*K115^6)</f>
        <v>-2.993148918857112</v>
      </c>
    </row>
    <row r="107" spans="1:11" ht="12.75">
      <c r="A107" s="168" t="s">
        <v>164</v>
      </c>
      <c r="B107" s="168">
        <f>B67*10000/B62</f>
        <v>-0.07337854916095127</v>
      </c>
      <c r="C107" s="168">
        <f>C67*10000/C62</f>
        <v>-0.004076334786480867</v>
      </c>
      <c r="D107" s="168">
        <f>D67*10000/D62</f>
        <v>0.08854562204367246</v>
      </c>
      <c r="E107" s="168">
        <f>E67*10000/E62</f>
        <v>-0.05937423434872519</v>
      </c>
      <c r="F107" s="168">
        <f>F67*10000/F62</f>
        <v>-0.0832217097096927</v>
      </c>
      <c r="G107" s="168">
        <f>AVERAGE(C107:E107)</f>
        <v>0.008365017636155466</v>
      </c>
      <c r="H107" s="168">
        <f>STDEV(C107:E107)</f>
        <v>0.07474062761554164</v>
      </c>
      <c r="I107" s="168">
        <f>(B107*B4+C107*C4+D107*D4+E107*E4+F107*F4)/SUM(B4:F4)</f>
        <v>-0.015681776291947613</v>
      </c>
      <c r="K107" s="168">
        <f>(LN(H107)+LN(H127))/2-LN(K114*K115^7)</f>
        <v>-3.9815926105453325</v>
      </c>
    </row>
    <row r="108" spans="1:9" ht="12.75">
      <c r="A108" s="168" t="s">
        <v>165</v>
      </c>
      <c r="B108" s="168">
        <f>B68*10000/B62</f>
        <v>-0.14247061200013575</v>
      </c>
      <c r="C108" s="168">
        <f>C68*10000/C62</f>
        <v>-0.1617920063830851</v>
      </c>
      <c r="D108" s="168">
        <f>D68*10000/D62</f>
        <v>0.0970159898401375</v>
      </c>
      <c r="E108" s="168">
        <f>E68*10000/E62</f>
        <v>0.15262180323163385</v>
      </c>
      <c r="F108" s="168">
        <f>F68*10000/F62</f>
        <v>-0.1037559320669734</v>
      </c>
      <c r="G108" s="168">
        <f>AVERAGE(C108:E108)</f>
        <v>0.029281928896228746</v>
      </c>
      <c r="H108" s="168">
        <f>STDEV(C108:E108)</f>
        <v>0.1677943329736587</v>
      </c>
      <c r="I108" s="168">
        <f>(B108*B4+C108*C4+D108*D4+E108*E4+F108*F4)/SUM(B4:F4)</f>
        <v>-0.013314912730236734</v>
      </c>
    </row>
    <row r="109" spans="1:9" ht="12.75">
      <c r="A109" s="168" t="s">
        <v>166</v>
      </c>
      <c r="B109" s="168">
        <f>B69*10000/B62</f>
        <v>-0.0047683626614983335</v>
      </c>
      <c r="C109" s="168">
        <f>C69*10000/C62</f>
        <v>0.04224793293646017</v>
      </c>
      <c r="D109" s="168">
        <f>D69*10000/D62</f>
        <v>-0.03624371014386461</v>
      </c>
      <c r="E109" s="168">
        <f>E69*10000/E62</f>
        <v>-0.014797269087196651</v>
      </c>
      <c r="F109" s="168">
        <f>F69*10000/F62</f>
        <v>0.06951072893131377</v>
      </c>
      <c r="G109" s="168">
        <f>AVERAGE(C109:E109)</f>
        <v>-0.0029310154315336985</v>
      </c>
      <c r="H109" s="168">
        <f>STDEV(C109:E109)</f>
        <v>0.04056895968875311</v>
      </c>
      <c r="I109" s="168">
        <f>(B109*B4+C109*C4+D109*D4+E109*E4+F109*F4)/SUM(B4:F4)</f>
        <v>0.006488936292137615</v>
      </c>
    </row>
    <row r="110" spans="1:11" ht="12.75">
      <c r="A110" s="168" t="s">
        <v>167</v>
      </c>
      <c r="B110" s="168">
        <f>B70*10000/B62</f>
        <v>-0.4555901676338975</v>
      </c>
      <c r="C110" s="168">
        <f>C70*10000/C62</f>
        <v>-0.23416765898905142</v>
      </c>
      <c r="D110" s="168">
        <f>D70*10000/D62</f>
        <v>-0.20849392655676813</v>
      </c>
      <c r="E110" s="168">
        <f>E70*10000/E62</f>
        <v>-0.1890663374652515</v>
      </c>
      <c r="F110" s="168">
        <f>F70*10000/F62</f>
        <v>-0.3460279584360495</v>
      </c>
      <c r="G110" s="168">
        <f>AVERAGE(C110:E110)</f>
        <v>-0.21057597433702369</v>
      </c>
      <c r="H110" s="168">
        <f>STDEV(C110:E110)</f>
        <v>0.022622632318493343</v>
      </c>
      <c r="I110" s="168">
        <f>(B110*B4+C110*C4+D110*D4+E110*E4+F110*F4)/SUM(B4:F4)</f>
        <v>-0.26406460284561184</v>
      </c>
      <c r="K110" s="168">
        <f>EXP(AVERAGE(K103:K107))</f>
        <v>0.02125181014140053</v>
      </c>
    </row>
    <row r="111" spans="1:9" ht="12.75">
      <c r="A111" s="168" t="s">
        <v>168</v>
      </c>
      <c r="B111" s="168">
        <f>B71*10000/B62</f>
        <v>0.062050096165450194</v>
      </c>
      <c r="C111" s="168">
        <f>C71*10000/C62</f>
        <v>-0.026687335945878972</v>
      </c>
      <c r="D111" s="168">
        <f>D71*10000/D62</f>
        <v>0.026426932108367714</v>
      </c>
      <c r="E111" s="168">
        <f>E71*10000/E62</f>
        <v>-0.019634762646330357</v>
      </c>
      <c r="F111" s="168">
        <f>F71*10000/F62</f>
        <v>0.004934853021933506</v>
      </c>
      <c r="G111" s="168">
        <f>AVERAGE(C111:E111)</f>
        <v>-0.006631722161280538</v>
      </c>
      <c r="H111" s="168">
        <f>STDEV(C111:E111)</f>
        <v>0.02884598176742258</v>
      </c>
      <c r="I111" s="168">
        <f>(B111*B4+C111*C4+D111*D4+E111*E4+F111*F4)/SUM(B4:F4)</f>
        <v>0.004831415434025496</v>
      </c>
    </row>
    <row r="112" spans="1:9" ht="12.75">
      <c r="A112" s="168" t="s">
        <v>169</v>
      </c>
      <c r="B112" s="168">
        <f>B72*10000/B62</f>
        <v>-0.016708041185671405</v>
      </c>
      <c r="C112" s="168">
        <f>C72*10000/C62</f>
        <v>-0.012914212539237349</v>
      </c>
      <c r="D112" s="168">
        <f>D72*10000/D62</f>
        <v>-0.03809541992743541</v>
      </c>
      <c r="E112" s="168">
        <f>E72*10000/E62</f>
        <v>-0.019336809466904678</v>
      </c>
      <c r="F112" s="168">
        <f>F72*10000/F62</f>
        <v>-0.06742129378129669</v>
      </c>
      <c r="G112" s="168">
        <f>AVERAGE(C112:E112)</f>
        <v>-0.02344881397785915</v>
      </c>
      <c r="H112" s="168">
        <f>STDEV(C112:E112)</f>
        <v>0.013084522811529754</v>
      </c>
      <c r="I112" s="168">
        <f>(B112*B4+C112*C4+D112*D4+E112*E4+F112*F4)/SUM(B4:F4)</f>
        <v>-0.028351951848103893</v>
      </c>
    </row>
    <row r="113" spans="1:9" ht="12.75">
      <c r="A113" s="168" t="s">
        <v>170</v>
      </c>
      <c r="B113" s="168">
        <f>B73*10000/B62</f>
        <v>0.010778301670259184</v>
      </c>
      <c r="C113" s="168">
        <f>C73*10000/C62</f>
        <v>0.007293355654245498</v>
      </c>
      <c r="D113" s="168">
        <f>D73*10000/D62</f>
        <v>-0.01333184104705121</v>
      </c>
      <c r="E113" s="168">
        <f>E73*10000/E62</f>
        <v>-0.008997732150546557</v>
      </c>
      <c r="F113" s="168">
        <f>F73*10000/F62</f>
        <v>-0.01588972698353216</v>
      </c>
      <c r="G113" s="168">
        <f>AVERAGE(C113:E113)</f>
        <v>-0.0050120725144507565</v>
      </c>
      <c r="H113" s="168">
        <f>STDEV(C113:E113)</f>
        <v>0.010874915944176196</v>
      </c>
      <c r="I113" s="168">
        <f>(B113*B4+C113*C4+D113*D4+E113*E4+F113*F4)/SUM(B4:F4)</f>
        <v>-0.004184851476335768</v>
      </c>
    </row>
    <row r="114" spans="1:11" ht="12.75">
      <c r="A114" s="168" t="s">
        <v>171</v>
      </c>
      <c r="B114" s="168">
        <f>B74*10000/B62</f>
        <v>-0.18175362880936344</v>
      </c>
      <c r="C114" s="168">
        <f>C74*10000/C62</f>
        <v>-0.13788395205381107</v>
      </c>
      <c r="D114" s="168">
        <f>D74*10000/D62</f>
        <v>-0.15524730952103194</v>
      </c>
      <c r="E114" s="168">
        <f>E74*10000/E62</f>
        <v>-0.1567901920987113</v>
      </c>
      <c r="F114" s="168">
        <f>F74*10000/F62</f>
        <v>-0.13882719990667206</v>
      </c>
      <c r="G114" s="168">
        <f>AVERAGE(C114:E114)</f>
        <v>-0.14997381789118477</v>
      </c>
      <c r="H114" s="168">
        <f>STDEV(C114:E114)</f>
        <v>0.01049851244874208</v>
      </c>
      <c r="I114" s="168">
        <f>(B114*B4+C114*C4+D114*D4+E114*E4+F114*F4)/SUM(B4:F4)</f>
        <v>-0.1530725904692101</v>
      </c>
      <c r="J114" s="168" t="s">
        <v>189</v>
      </c>
      <c r="K114" s="168">
        <v>285</v>
      </c>
    </row>
    <row r="115" spans="1:11" ht="12.75">
      <c r="A115" s="168" t="s">
        <v>172</v>
      </c>
      <c r="B115" s="168">
        <f>B75*10000/B62</f>
        <v>-0.0009010323393842606</v>
      </c>
      <c r="C115" s="168">
        <f>C75*10000/C62</f>
        <v>-0.001038701833994894</v>
      </c>
      <c r="D115" s="168">
        <f>D75*10000/D62</f>
        <v>-0.0004270944351592203</v>
      </c>
      <c r="E115" s="168">
        <f>E75*10000/E62</f>
        <v>-0.0011224384337251727</v>
      </c>
      <c r="F115" s="168">
        <f>F75*10000/F62</f>
        <v>-0.0018228487246370441</v>
      </c>
      <c r="G115" s="168">
        <f>AVERAGE(C115:E115)</f>
        <v>-0.0008627449009597623</v>
      </c>
      <c r="H115" s="168">
        <f>STDEV(C115:E115)</f>
        <v>0.0003796003830316418</v>
      </c>
      <c r="I115" s="168">
        <f>(B115*B4+C115*C4+D115*D4+E115*E4+F115*F4)/SUM(B4:F4)</f>
        <v>-0.0009966105520836175</v>
      </c>
      <c r="J115" s="168" t="s">
        <v>190</v>
      </c>
      <c r="K115" s="168">
        <v>0.5536</v>
      </c>
    </row>
    <row r="118" ht="12.75">
      <c r="A118" s="168" t="s">
        <v>155</v>
      </c>
    </row>
    <row r="120" spans="2:9" ht="12.75">
      <c r="B120" s="168" t="s">
        <v>84</v>
      </c>
      <c r="C120" s="168" t="s">
        <v>85</v>
      </c>
      <c r="D120" s="168" t="s">
        <v>86</v>
      </c>
      <c r="E120" s="168" t="s">
        <v>87</v>
      </c>
      <c r="F120" s="168" t="s">
        <v>88</v>
      </c>
      <c r="G120" s="168" t="s">
        <v>157</v>
      </c>
      <c r="H120" s="168" t="s">
        <v>158</v>
      </c>
      <c r="I120" s="168" t="s">
        <v>153</v>
      </c>
    </row>
    <row r="121" spans="1:9" ht="12.75">
      <c r="A121" s="168" t="s">
        <v>173</v>
      </c>
      <c r="B121" s="168">
        <f>B81*10000/B62</f>
        <v>0</v>
      </c>
      <c r="C121" s="168">
        <f>C81*10000/C62</f>
        <v>0</v>
      </c>
      <c r="D121" s="168">
        <f>D81*10000/D62</f>
        <v>0</v>
      </c>
      <c r="E121" s="168">
        <f>E81*10000/E62</f>
        <v>0</v>
      </c>
      <c r="F121" s="168">
        <f>F81*10000/F62</f>
        <v>0</v>
      </c>
      <c r="G121" s="168">
        <f>AVERAGE(C121:E121)</f>
        <v>0</v>
      </c>
      <c r="H121" s="168">
        <f>STDEV(C121:E121)</f>
        <v>0</v>
      </c>
      <c r="I121" s="168">
        <f>(B121*B4+C121*C4+D121*D4+E121*E4+F121*F4)/SUM(B4:F4)</f>
        <v>0</v>
      </c>
    </row>
    <row r="122" spans="1:9" ht="12.75">
      <c r="A122" s="168" t="s">
        <v>174</v>
      </c>
      <c r="B122" s="168">
        <f>B82*10000/B62</f>
        <v>39.49953185409221</v>
      </c>
      <c r="C122" s="168">
        <f>C82*10000/C62</f>
        <v>6.484855769685892</v>
      </c>
      <c r="D122" s="168">
        <f>D82*10000/D62</f>
        <v>2.9279903292383764</v>
      </c>
      <c r="E122" s="168">
        <f>E82*10000/E62</f>
        <v>-16.02747511218563</v>
      </c>
      <c r="F122" s="168">
        <f>F82*10000/F62</f>
        <v>-31.586617360127008</v>
      </c>
      <c r="G122" s="168">
        <f>AVERAGE(C122:E122)</f>
        <v>-2.2048763377537868</v>
      </c>
      <c r="H122" s="168">
        <f>STDEV(C122:E122)</f>
        <v>12.102107279294627</v>
      </c>
      <c r="I122" s="168">
        <f>(B122*B4+C122*C4+D122*D4+E122*E4+F122*F4)/SUM(B4:F4)</f>
        <v>-0.10880929395678726</v>
      </c>
    </row>
    <row r="123" spans="1:9" ht="12.75">
      <c r="A123" s="168" t="s">
        <v>175</v>
      </c>
      <c r="B123" s="168">
        <f>B83*10000/B62</f>
        <v>2.3414680660877223</v>
      </c>
      <c r="C123" s="168">
        <f>C83*10000/C62</f>
        <v>0.22217343398933218</v>
      </c>
      <c r="D123" s="168">
        <f>D83*10000/D62</f>
        <v>1.6239668976206485</v>
      </c>
      <c r="E123" s="168">
        <f>E83*10000/E62</f>
        <v>2.9485458126728044</v>
      </c>
      <c r="F123" s="168">
        <f>F83*10000/F62</f>
        <v>9.583398390607623</v>
      </c>
      <c r="G123" s="168">
        <f>AVERAGE(C123:E123)</f>
        <v>1.5982287147609284</v>
      </c>
      <c r="H123" s="168">
        <f>STDEV(C123:E123)</f>
        <v>1.363368412188992</v>
      </c>
      <c r="I123" s="168">
        <f>(B123*B4+C123*C4+D123*D4+E123*E4+F123*F4)/SUM(B4:F4)</f>
        <v>2.7727522203607475</v>
      </c>
    </row>
    <row r="124" spans="1:9" ht="12.75">
      <c r="A124" s="168" t="s">
        <v>176</v>
      </c>
      <c r="B124" s="168">
        <f>B84*10000/B62</f>
        <v>0.05523859675040287</v>
      </c>
      <c r="C124" s="168">
        <f>C84*10000/C62</f>
        <v>3.8075226436548224</v>
      </c>
      <c r="D124" s="168">
        <f>D84*10000/D62</f>
        <v>2.465368462984654</v>
      </c>
      <c r="E124" s="168">
        <f>E84*10000/E62</f>
        <v>1.3675886523925007</v>
      </c>
      <c r="F124" s="168">
        <f>F84*10000/F62</f>
        <v>1.4219452523898848</v>
      </c>
      <c r="G124" s="168">
        <f>AVERAGE(C124:E124)</f>
        <v>2.5468265863439923</v>
      </c>
      <c r="H124" s="168">
        <f>STDEV(C124:E124)</f>
        <v>1.2220049262688104</v>
      </c>
      <c r="I124" s="168">
        <f>(B124*B4+C124*C4+D124*D4+E124*E4+F124*F4)/SUM(B4:F4)</f>
        <v>2.0367437522790834</v>
      </c>
    </row>
    <row r="125" spans="1:9" ht="12.75">
      <c r="A125" s="168" t="s">
        <v>177</v>
      </c>
      <c r="B125" s="168">
        <f>B85*10000/B62</f>
        <v>-0.12012495123190157</v>
      </c>
      <c r="C125" s="168">
        <f>C85*10000/C62</f>
        <v>0.4447728608143751</v>
      </c>
      <c r="D125" s="168">
        <f>D85*10000/D62</f>
        <v>0.6822250573202533</v>
      </c>
      <c r="E125" s="168">
        <f>E85*10000/E62</f>
        <v>0.8343047585435561</v>
      </c>
      <c r="F125" s="168">
        <f>F85*10000/F62</f>
        <v>-1.6701709851170807</v>
      </c>
      <c r="G125" s="168">
        <f>AVERAGE(C125:E125)</f>
        <v>0.6537675588927282</v>
      </c>
      <c r="H125" s="168">
        <f>STDEV(C125:E125)</f>
        <v>0.19631899233056588</v>
      </c>
      <c r="I125" s="168">
        <f>(B125*B4+C125*C4+D125*D4+E125*E4+F125*F4)/SUM(B4:F4)</f>
        <v>0.2313828336698551</v>
      </c>
    </row>
    <row r="126" spans="1:9" ht="12.75">
      <c r="A126" s="168" t="s">
        <v>178</v>
      </c>
      <c r="B126" s="168">
        <f>B86*10000/B62</f>
        <v>0.3017394016142029</v>
      </c>
      <c r="C126" s="168">
        <f>C86*10000/C62</f>
        <v>-0.175008055175098</v>
      </c>
      <c r="D126" s="168">
        <f>D86*10000/D62</f>
        <v>0.5672901831335038</v>
      </c>
      <c r="E126" s="168">
        <f>E86*10000/E62</f>
        <v>0.5020150082330636</v>
      </c>
      <c r="F126" s="168">
        <f>F86*10000/F62</f>
        <v>1.6346497890016525</v>
      </c>
      <c r="G126" s="168">
        <f>AVERAGE(C126:E126)</f>
        <v>0.2980990453971564</v>
      </c>
      <c r="H126" s="168">
        <f>STDEV(C126:E126)</f>
        <v>0.4110206303502109</v>
      </c>
      <c r="I126" s="168">
        <f>(B126*B4+C126*C4+D126*D4+E126*E4+F126*F4)/SUM(B4:F4)</f>
        <v>0.47723471875340223</v>
      </c>
    </row>
    <row r="127" spans="1:9" ht="12.75">
      <c r="A127" s="168" t="s">
        <v>179</v>
      </c>
      <c r="B127" s="168">
        <f>B87*10000/B62</f>
        <v>-0.14044557059055973</v>
      </c>
      <c r="C127" s="168">
        <f>C87*10000/C62</f>
        <v>-0.13078011267602893</v>
      </c>
      <c r="D127" s="168">
        <f>D87*10000/D62</f>
        <v>-0.19270411303708526</v>
      </c>
      <c r="E127" s="168">
        <f>E87*10000/E62</f>
        <v>-0.004253786838733516</v>
      </c>
      <c r="F127" s="168">
        <f>F87*10000/F62</f>
        <v>0.5237754749696765</v>
      </c>
      <c r="G127" s="168">
        <f>AVERAGE(C127:E127)</f>
        <v>-0.10924600418394924</v>
      </c>
      <c r="H127" s="168">
        <f>STDEV(C127:E127)</f>
        <v>0.09605295275251974</v>
      </c>
      <c r="I127" s="168">
        <f>(B127*B4+C127*C4+D127*D4+E127*E4+F127*F4)/SUM(B4:F4)</f>
        <v>-0.02914479482849123</v>
      </c>
    </row>
    <row r="128" spans="1:9" ht="12.75">
      <c r="A128" s="168" t="s">
        <v>180</v>
      </c>
      <c r="B128" s="168">
        <f>B88*10000/B62</f>
        <v>0.1435530429106086</v>
      </c>
      <c r="C128" s="168">
        <f>C88*10000/C62</f>
        <v>0.32243267949417326</v>
      </c>
      <c r="D128" s="168">
        <f>D88*10000/D62</f>
        <v>0.31342331647739613</v>
      </c>
      <c r="E128" s="168">
        <f>E88*10000/E62</f>
        <v>0.3064708507514162</v>
      </c>
      <c r="F128" s="168">
        <f>F88*10000/F62</f>
        <v>0.3147848686888544</v>
      </c>
      <c r="G128" s="168">
        <f>AVERAGE(C128:E128)</f>
        <v>0.3141089489076619</v>
      </c>
      <c r="H128" s="168">
        <f>STDEV(C128:E128)</f>
        <v>0.008002972140108191</v>
      </c>
      <c r="I128" s="168">
        <f>(B128*B4+C128*C4+D128*D4+E128*E4+F128*F4)/SUM(B4:F4)</f>
        <v>0.2895695506426743</v>
      </c>
    </row>
    <row r="129" spans="1:9" ht="12.75">
      <c r="A129" s="168" t="s">
        <v>181</v>
      </c>
      <c r="B129" s="168">
        <f>B89*10000/B62</f>
        <v>-0.026431892832862684</v>
      </c>
      <c r="C129" s="168">
        <f>C89*10000/C62</f>
        <v>-0.04876659356601083</v>
      </c>
      <c r="D129" s="168">
        <f>D89*10000/D62</f>
        <v>-0.04534199269976707</v>
      </c>
      <c r="E129" s="168">
        <f>E89*10000/E62</f>
        <v>-0.0012861072315218471</v>
      </c>
      <c r="F129" s="168">
        <f>F89*10000/F62</f>
        <v>-0.028504291320091024</v>
      </c>
      <c r="G129" s="168">
        <f>AVERAGE(C129:E129)</f>
        <v>-0.031798231165766584</v>
      </c>
      <c r="H129" s="168">
        <f>STDEV(C129:E129)</f>
        <v>0.026479695107899232</v>
      </c>
      <c r="I129" s="168">
        <f>(B129*B4+C129*C4+D129*D4+E129*E4+F129*F4)/SUM(B4:F4)</f>
        <v>-0.030584094863474843</v>
      </c>
    </row>
    <row r="130" spans="1:9" ht="12.75">
      <c r="A130" s="168" t="s">
        <v>182</v>
      </c>
      <c r="B130" s="168">
        <f>B90*10000/B62</f>
        <v>0.0021053741377809088</v>
      </c>
      <c r="C130" s="168">
        <f>C90*10000/C62</f>
        <v>-0.015067004166670324</v>
      </c>
      <c r="D130" s="168">
        <f>D90*10000/D62</f>
        <v>0.0887610221709784</v>
      </c>
      <c r="E130" s="168">
        <f>E90*10000/E62</f>
        <v>-0.008565719149505217</v>
      </c>
      <c r="F130" s="168">
        <f>F90*10000/F62</f>
        <v>0.173197578998105</v>
      </c>
      <c r="G130" s="168">
        <f>AVERAGE(C130:E130)</f>
        <v>0.02170943295160095</v>
      </c>
      <c r="H130" s="168">
        <f>STDEV(C130:E130)</f>
        <v>0.0581592932329108</v>
      </c>
      <c r="I130" s="168">
        <f>(B130*B4+C130*C4+D130*D4+E130*E4+F130*F4)/SUM(B4:F4)</f>
        <v>0.03912357427947217</v>
      </c>
    </row>
    <row r="131" spans="1:9" ht="12.75">
      <c r="A131" s="168" t="s">
        <v>183</v>
      </c>
      <c r="B131" s="168">
        <f>B91*10000/B62</f>
        <v>-0.046012095776733354</v>
      </c>
      <c r="C131" s="168">
        <f>C91*10000/C62</f>
        <v>0.008696096907421859</v>
      </c>
      <c r="D131" s="168">
        <f>D91*10000/D62</f>
        <v>-0.006257048659955761</v>
      </c>
      <c r="E131" s="168">
        <f>E91*10000/E62</f>
        <v>-0.023227121987331758</v>
      </c>
      <c r="F131" s="168">
        <f>F91*10000/F62</f>
        <v>0.06960946566195843</v>
      </c>
      <c r="G131" s="168">
        <f>AVERAGE(C131:E131)</f>
        <v>-0.006929357913288553</v>
      </c>
      <c r="H131" s="168">
        <f>STDEV(C131:E131)</f>
        <v>0.01597222514083984</v>
      </c>
      <c r="I131" s="168">
        <f>(B131*B4+C131*C4+D131*D4+E131*E4+F131*F4)/SUM(B4:F4)</f>
        <v>-0.0023423631328503944</v>
      </c>
    </row>
    <row r="132" spans="1:9" ht="12.75">
      <c r="A132" s="168" t="s">
        <v>184</v>
      </c>
      <c r="B132" s="168">
        <f>B92*10000/B62</f>
        <v>0.05102702006187422</v>
      </c>
      <c r="C132" s="168">
        <f>C92*10000/C62</f>
        <v>6.795310268761238E-05</v>
      </c>
      <c r="D132" s="168">
        <f>D92*10000/D62</f>
        <v>0.041004900899490215</v>
      </c>
      <c r="E132" s="168">
        <f>E92*10000/E62</f>
        <v>0.029503936851031077</v>
      </c>
      <c r="F132" s="168">
        <f>F92*10000/F62</f>
        <v>0.044355082006190726</v>
      </c>
      <c r="G132" s="168">
        <f>AVERAGE(C132:E132)</f>
        <v>0.023525596951069636</v>
      </c>
      <c r="H132" s="168">
        <f>STDEV(C132:E132)</f>
        <v>0.0211131199660102</v>
      </c>
      <c r="I132" s="168">
        <f>(B132*B4+C132*C4+D132*D4+E132*E4+F132*F4)/SUM(B4:F4)</f>
        <v>0.030279643660147834</v>
      </c>
    </row>
    <row r="133" spans="1:9" ht="12.75">
      <c r="A133" s="168" t="s">
        <v>185</v>
      </c>
      <c r="B133" s="168">
        <f>B93*10000/B62</f>
        <v>-0.07025290067683033</v>
      </c>
      <c r="C133" s="168">
        <f>C93*10000/C62</f>
        <v>-0.06607531952820561</v>
      </c>
      <c r="D133" s="168">
        <f>D93*10000/D62</f>
        <v>-0.06286469988876647</v>
      </c>
      <c r="E133" s="168">
        <f>E93*10000/E62</f>
        <v>-0.05571485885259277</v>
      </c>
      <c r="F133" s="168">
        <f>F93*10000/F62</f>
        <v>-0.04929026181298983</v>
      </c>
      <c r="G133" s="168">
        <f>AVERAGE(C133:E133)</f>
        <v>-0.061551626089854955</v>
      </c>
      <c r="H133" s="168">
        <f>STDEV(C133:E133)</f>
        <v>0.005303575063461425</v>
      </c>
      <c r="I133" s="168">
        <f>(B133*B4+C133*C4+D133*D4+E133*E4+F133*F4)/SUM(B4:F4)</f>
        <v>-0.06116965646698723</v>
      </c>
    </row>
    <row r="134" spans="1:9" ht="12.75">
      <c r="A134" s="168" t="s">
        <v>186</v>
      </c>
      <c r="B134" s="168">
        <f>B94*10000/B62</f>
        <v>-0.00538935593709003</v>
      </c>
      <c r="C134" s="168">
        <f>C94*10000/C62</f>
        <v>0.010495564256189548</v>
      </c>
      <c r="D134" s="168">
        <f>D94*10000/D62</f>
        <v>0.011537666208381368</v>
      </c>
      <c r="E134" s="168">
        <f>E94*10000/E62</f>
        <v>0.00011013353685921097</v>
      </c>
      <c r="F134" s="168">
        <f>F94*10000/F62</f>
        <v>-0.019594111705721944</v>
      </c>
      <c r="G134" s="168">
        <f>AVERAGE(C134:E134)</f>
        <v>0.007381121333810043</v>
      </c>
      <c r="H134" s="168">
        <f>STDEV(C134:E134)</f>
        <v>0.006318381262415747</v>
      </c>
      <c r="I134" s="168">
        <f>(B134*B4+C134*C4+D134*D4+E134*E4+F134*F4)/SUM(B4:F4)</f>
        <v>0.0019316674311873967</v>
      </c>
    </row>
    <row r="135" spans="1:9" ht="12.75">
      <c r="A135" s="168" t="s">
        <v>187</v>
      </c>
      <c r="B135" s="168">
        <f>B95*10000/B62</f>
        <v>-5.946317782366275E-05</v>
      </c>
      <c r="C135" s="168">
        <f>C95*10000/C62</f>
        <v>-0.0008807730908358997</v>
      </c>
      <c r="D135" s="168">
        <f>D95*10000/D62</f>
        <v>0.003254935241200553</v>
      </c>
      <c r="E135" s="168">
        <f>E95*10000/E62</f>
        <v>0.00632812206132396</v>
      </c>
      <c r="F135" s="168">
        <f>F95*10000/F62</f>
        <v>0.004213814991044848</v>
      </c>
      <c r="G135" s="168">
        <f>AVERAGE(C135:E135)</f>
        <v>0.0029007614038962046</v>
      </c>
      <c r="H135" s="168">
        <f>STDEV(C135:E135)</f>
        <v>0.0036174744862931163</v>
      </c>
      <c r="I135" s="168">
        <f>(B135*B4+C135*C4+D135*D4+E135*E4+F135*F4)/SUM(B4:F4)</f>
        <v>0.002648527867800417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DAPNIA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 user</dc:creator>
  <cp:keywords/>
  <dc:description/>
  <cp:lastModifiedBy>hagen</cp:lastModifiedBy>
  <cp:lastPrinted>2003-09-25T12:01:24Z</cp:lastPrinted>
  <dcterms:created xsi:type="dcterms:W3CDTF">1999-06-17T15:15:05Z</dcterms:created>
  <dcterms:modified xsi:type="dcterms:W3CDTF">2003-09-26T13:04:32Z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-1621734960</vt:i4>
  </property>
  <property fmtid="{D5CDD505-2E9C-101B-9397-08002B2CF9AE}" pid="3" name="_EmailSubject">
    <vt:lpwstr>WFM results of aperture 91</vt:lpwstr>
  </property>
  <property fmtid="{D5CDD505-2E9C-101B-9397-08002B2CF9AE}" pid="4" name="_AuthorEmail">
    <vt:lpwstr>DURANTE@DAPNIA.CEA.FR</vt:lpwstr>
  </property>
  <property fmtid="{D5CDD505-2E9C-101B-9397-08002B2CF9AE}" pid="5" name="_AuthorEmailDisplayName">
    <vt:lpwstr>DURANTE Maria    DAPNIA</vt:lpwstr>
  </property>
  <property fmtid="{D5CDD505-2E9C-101B-9397-08002B2CF9AE}" pid="6" name="_ReviewingToolsShownOnce">
    <vt:lpwstr/>
  </property>
</Properties>
</file>