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60" yWindow="3960" windowWidth="2625" windowHeight="1065" tabRatio="1000" firstSheet="6" activeTab="7"/>
  </bookViews>
  <sheets>
    <sheet name="Sommaire" sheetId="1" r:id="rId1"/>
    <sheet name="HCMQAP093_pos2ap2" sheetId="2" r:id="rId2"/>
    <sheet name="HCMQAP093_pos1ap2" sheetId="3" r:id="rId3"/>
    <sheet name="HCMQAP093_pos3ap2" sheetId="4" r:id="rId4"/>
    <sheet name="HCMQAP093_pos5ap2" sheetId="5" r:id="rId5"/>
    <sheet name="HCMQAP093_pos4ap2" sheetId="6" r:id="rId6"/>
    <sheet name="Lmag_hcmqap" sheetId="7" r:id="rId7"/>
    <sheet name="Result_HCMQAP" sheetId="8" r:id="rId8"/>
  </sheets>
  <definedNames>
    <definedName name="_xlnm.Print_Area" localSheetId="2">'HCMQAP093_pos1ap2'!$A$1:$N$28</definedName>
    <definedName name="_xlnm.Print_Area" localSheetId="1">'HCMQAP093_pos2ap2'!$A$1:$N$28</definedName>
    <definedName name="_xlnm.Print_Area" localSheetId="3">'HCMQAP093_pos3ap2'!$A$1:$N$28</definedName>
    <definedName name="_xlnm.Print_Area" localSheetId="5">'HCMQAP093_pos4ap2'!$A$1:$N$28</definedName>
    <definedName name="_xlnm.Print_Area" localSheetId="4">'HCMQAP093_pos5ap2'!$A$1:$N$28</definedName>
    <definedName name="_xlnm.Print_Area" localSheetId="6">'Lmag_hcmqap'!$A$1:$G$54</definedName>
    <definedName name="_xlnm.Print_Area" localSheetId="0">'Sommaire'!$A$1:$N$16</definedName>
  </definedNames>
  <calcPr fullCalcOnLoad="1"/>
</workbook>
</file>

<file path=xl/sharedStrings.xml><?xml version="1.0" encoding="utf-8"?>
<sst xmlns="http://schemas.openxmlformats.org/spreadsheetml/2006/main" count="510" uniqueCount="191">
  <si>
    <t>Jour</t>
  </si>
  <si>
    <t>vit-esse</t>
  </si>
  <si>
    <t>I(A)</t>
  </si>
  <si>
    <t>NB mesures</t>
  </si>
  <si>
    <t>Posi-tion</t>
  </si>
  <si>
    <t>N° run</t>
  </si>
  <si>
    <t>NOM Fich.res</t>
  </si>
  <si>
    <t>NOM Fich.raw</t>
  </si>
  <si>
    <t>Observation</t>
  </si>
  <si>
    <t>Nombre de fichiers</t>
  </si>
  <si>
    <t>N° fich. Originel</t>
  </si>
  <si>
    <t>N° fich.  Epuré</t>
  </si>
  <si>
    <t>Bench Number</t>
  </si>
  <si>
    <t>Valeurs dipôlaires en Teslas (signal absolu mesuré par la bobine externe corrigé de la dérive de l'électronique)</t>
  </si>
  <si>
    <t>Magnet Name</t>
  </si>
  <si>
    <t>hcmqap093</t>
  </si>
  <si>
    <t>Magnet Type</t>
  </si>
  <si>
    <t>Aperture Number</t>
  </si>
  <si>
    <t>GMT Time</t>
  </si>
  <si>
    <t>Run Number</t>
  </si>
  <si>
    <t>Valeurs mesurées (unité)</t>
  </si>
  <si>
    <t>Multipôle</t>
  </si>
  <si>
    <t>Run Type</t>
  </si>
  <si>
    <t>manual</t>
  </si>
  <si>
    <t>Average</t>
  </si>
  <si>
    <t>Uncertainty</t>
  </si>
  <si>
    <t>Standard Deviation</t>
  </si>
  <si>
    <t>Coil Name</t>
  </si>
  <si>
    <t>taupe_quadrupole#4</t>
  </si>
  <si>
    <t>Rref</t>
  </si>
  <si>
    <t>Meas Type</t>
  </si>
  <si>
    <t>cmp</t>
  </si>
  <si>
    <t>Shaft Pos</t>
  </si>
  <si>
    <t>Coil length</t>
  </si>
  <si>
    <t>Température (bobine)</t>
  </si>
  <si>
    <t>Spec Curv (I spécifié)</t>
  </si>
  <si>
    <t>Angle(horiz./X_top codeur)</t>
  </si>
  <si>
    <t>Mid Current (I réel moyen)</t>
  </si>
  <si>
    <t>Inclinaison RefMag (niv max)</t>
  </si>
  <si>
    <t>Incli. Cryostat(ecart niv max)</t>
  </si>
  <si>
    <t>Incli. carriage (niv min)</t>
  </si>
  <si>
    <t>Dx moyen(mm)</t>
  </si>
  <si>
    <t>Dy moyen(mm)</t>
  </si>
  <si>
    <t>Analysis Tool</t>
  </si>
  <si>
    <t xml:space="preserve">DRI ROT NOR CEL FDW </t>
  </si>
  <si>
    <t>Number of point</t>
  </si>
  <si>
    <t>VALEURS PRINCIPALES</t>
  </si>
  <si>
    <t>Nombre Mesure</t>
  </si>
  <si>
    <r>
      <t>Module de C</t>
    </r>
    <r>
      <rPr>
        <vertAlign val="sub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 (mT)</t>
    </r>
  </si>
  <si>
    <r>
      <t>Module de C</t>
    </r>
    <r>
      <rPr>
        <vertAlign val="subscript"/>
        <sz val="12"/>
        <color indexed="8"/>
        <rFont val="Times New Roman"/>
        <family val="1"/>
      </rPr>
      <t>6</t>
    </r>
    <r>
      <rPr>
        <sz val="12"/>
        <color indexed="8"/>
        <rFont val="Times New Roman"/>
        <family val="1"/>
      </rPr>
      <t xml:space="preserve"> (unité)</t>
    </r>
  </si>
  <si>
    <t>Sens du courant</t>
  </si>
  <si>
    <t>+I / -I</t>
  </si>
  <si>
    <r>
      <t>Module de C</t>
    </r>
    <r>
      <rPr>
        <vertAlign val="sub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 xml:space="preserve"> (unité)</t>
    </r>
  </si>
  <si>
    <r>
      <t>Module de C</t>
    </r>
    <r>
      <rPr>
        <vertAlign val="subscript"/>
        <sz val="12"/>
        <color indexed="8"/>
        <rFont val="Times New Roman"/>
        <family val="1"/>
      </rPr>
      <t>10</t>
    </r>
    <r>
      <rPr>
        <sz val="12"/>
        <color indexed="8"/>
        <rFont val="Times New Roman"/>
        <family val="1"/>
      </rPr>
      <t xml:space="preserve"> (unité)</t>
    </r>
  </si>
  <si>
    <t>Vitesse (%)</t>
  </si>
  <si>
    <t>Commentaire</t>
  </si>
  <si>
    <r>
      <t xml:space="preserve">    (b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) créé par le décentrement de la taupe (=[B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(+I)-B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(-I)]/2)</t>
    </r>
  </si>
  <si>
    <r>
      <t xml:space="preserve">    (b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) issu des champs constants/externes (=[B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(+I)+B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(-I)]/2)</t>
    </r>
  </si>
  <si>
    <r>
      <t>Valeurs quadripolaires: b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a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</t>
    </r>
    <r>
      <rPr>
        <sz val="10"/>
        <color indexed="8"/>
        <rFont val="Symbol"/>
        <family val="1"/>
      </rPr>
      <t>q</t>
    </r>
    <r>
      <rPr>
        <sz val="10"/>
        <color indexed="8"/>
        <rFont val="Times New Roman"/>
        <family val="1"/>
      </rPr>
      <t xml:space="preserve"> </t>
    </r>
    <r>
      <rPr>
        <vertAlign val="subscript"/>
        <sz val="10"/>
        <color indexed="8"/>
        <rFont val="Times New Roman"/>
        <family val="1"/>
      </rPr>
      <t>Y_top codeur</t>
    </r>
    <r>
      <rPr>
        <sz val="10"/>
        <color indexed="8"/>
        <rFont val="Times New Roman"/>
        <family val="1"/>
      </rPr>
      <t xml:space="preserve"> (mrad)</t>
    </r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</si>
  <si>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-3.758 mT)</t>
    </r>
  </si>
  <si>
    <r>
      <t>Valeurs spécifiées (b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)</t>
    </r>
  </si>
  <si>
    <r>
      <t>b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(normal)</t>
    </r>
  </si>
  <si>
    <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n</t>
    </r>
  </si>
  <si>
    <r>
      <t>a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(skew)</t>
    </r>
  </si>
  <si>
    <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n</t>
    </r>
  </si>
  <si>
    <r>
      <t>Multipôle refusé (orange) : (av.+unc.+2*STDV)+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 xml:space="preserve"> &lt; multipôle &lt; (av.-unc.-2*STDV)-</t>
    </r>
    <r>
      <rPr>
        <sz val="10"/>
        <color indexed="8"/>
        <rFont val="Symbol"/>
        <family val="1"/>
      </rPr>
      <t>s</t>
    </r>
  </si>
  <si>
    <r>
      <t>Multipôle litigieux (vert): (av.+unc.+2*STDV)-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 xml:space="preserve"> &lt; multipôle &lt; (av.-unc.-2*STDV)+</t>
    </r>
    <r>
      <rPr>
        <sz val="10"/>
        <color indexed="8"/>
        <rFont val="Symbol"/>
        <family val="1"/>
      </rPr>
      <t>s</t>
    </r>
  </si>
  <si>
    <r>
      <t>q</t>
    </r>
    <r>
      <rPr>
        <sz val="10"/>
        <color indexed="8"/>
        <rFont val="Times New Roman"/>
        <family val="1"/>
      </rPr>
      <t>(°) = Angle(verticale,C2)</t>
    </r>
  </si>
  <si>
    <t>HCMQAP093_pos2ap2</t>
  </si>
  <si>
    <t>26/09/2003</t>
  </si>
  <si>
    <t>±12.5</t>
  </si>
  <si>
    <t>THCMQAP093_pos2ap2.xls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</si>
  <si>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-2.258 mT)</t>
    </r>
  </si>
  <si>
    <t>HCMQAP093_pos1ap2</t>
  </si>
  <si>
    <t>THCMQAP093_pos1ap2.xls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</si>
  <si>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-3.757 mT)</t>
    </r>
  </si>
  <si>
    <t>HCMQAP093_pos3ap2</t>
  </si>
  <si>
    <t>THCMQAP093_pos3ap2.xls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</si>
  <si>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-2.088 mT)</t>
    </r>
  </si>
  <si>
    <t>HCMQAP093_pos5ap2</t>
  </si>
  <si>
    <t>THCMQAP093_pos5ap2.xls</t>
  </si>
  <si>
    <t>HCMQAP093_pos4ap2</t>
  </si>
  <si>
    <t>THCMQAP093_pos4ap2.xls</t>
  </si>
  <si>
    <t>Sommaire : Valeurs intégrales calculées avec les fichiers: HCMQAP093_pos2ap2+HCMQAP093_pos1ap2+HCMQAP093_pos3ap2+HCMQAP093_pos5ap2+HCMQAP093_pos4ap2</t>
  </si>
  <si>
    <t>Position 1</t>
  </si>
  <si>
    <t>Position 2</t>
  </si>
  <si>
    <t>Position 3</t>
  </si>
  <si>
    <t>Position 4</t>
  </si>
  <si>
    <t>Position 5</t>
  </si>
  <si>
    <t>Mutipôles</t>
  </si>
  <si>
    <t>C2 (mT)</t>
  </si>
  <si>
    <t>b3</t>
  </si>
  <si>
    <t>a3</t>
  </si>
  <si>
    <t>b4</t>
  </si>
  <si>
    <t>a4</t>
  </si>
  <si>
    <t>b5</t>
  </si>
  <si>
    <t>a5</t>
  </si>
  <si>
    <t>b6</t>
  </si>
  <si>
    <t>a6</t>
  </si>
  <si>
    <t>b7</t>
  </si>
  <si>
    <t>a7</t>
  </si>
  <si>
    <t>b8</t>
  </si>
  <si>
    <t>a8</t>
  </si>
  <si>
    <t>b9</t>
  </si>
  <si>
    <t>a9</t>
  </si>
  <si>
    <t>b10</t>
  </si>
  <si>
    <t>a10</t>
  </si>
  <si>
    <t>b11</t>
  </si>
  <si>
    <t>a11</t>
  </si>
  <si>
    <t>b12</t>
  </si>
  <si>
    <t>a12</t>
  </si>
  <si>
    <t>b13</t>
  </si>
  <si>
    <t>a13</t>
  </si>
  <si>
    <t>b14</t>
  </si>
  <si>
    <t>a14</t>
  </si>
  <si>
    <t>b15</t>
  </si>
  <si>
    <t>a15</t>
  </si>
  <si>
    <t>Angle[Horiz,C2](°)</t>
  </si>
  <si>
    <t>Temp. taupe (°C)</t>
  </si>
  <si>
    <t>Niv. moyen (mrad)</t>
  </si>
  <si>
    <t>Fichiers</t>
  </si>
  <si>
    <t>Long. mag (m)</t>
  </si>
  <si>
    <t>Intégrales</t>
  </si>
  <si>
    <r>
      <t>Intégrale(C</t>
    </r>
    <r>
      <rPr>
        <vertAlign val="subscript"/>
        <sz val="10"/>
        <rFont val="Times New Roman"/>
        <family val="1"/>
      </rPr>
      <t>n</t>
    </r>
    <r>
      <rPr>
        <sz val="10"/>
        <rFont val="Times New Roman"/>
        <family val="1"/>
      </rPr>
      <t>) = Sum(C</t>
    </r>
    <r>
      <rPr>
        <vertAlign val="subscript"/>
        <sz val="10"/>
        <rFont val="Times New Roman"/>
        <family val="1"/>
      </rPr>
      <t>n,pos=[1,5]</t>
    </r>
    <r>
      <rPr>
        <sz val="10"/>
        <rFont val="Times New Roman"/>
        <family val="1"/>
      </rPr>
      <t>)/(Sum(C</t>
    </r>
    <r>
      <rPr>
        <vertAlign val="subscript"/>
        <sz val="10"/>
        <rFont val="Times New Roman"/>
        <family val="1"/>
      </rPr>
      <t>2,pos=[1,5]</t>
    </r>
    <r>
      <rPr>
        <sz val="10"/>
        <rFont val="Times New Roman"/>
        <family val="1"/>
      </rPr>
      <t>)</t>
    </r>
  </si>
  <si>
    <r>
      <t>Gradient = 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/R</t>
    </r>
    <r>
      <rPr>
        <vertAlign val="subscript"/>
        <sz val="10"/>
        <rFont val="Times New Roman"/>
        <family val="1"/>
      </rPr>
      <t>ref</t>
    </r>
    <r>
      <rPr>
        <sz val="10"/>
        <rFont val="Times New Roman"/>
        <family val="1"/>
      </rPr>
      <t>*(11870/Spec_curv)</t>
    </r>
  </si>
  <si>
    <r>
      <t>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(mT) = (C</t>
    </r>
    <r>
      <rPr>
        <vertAlign val="subscript"/>
        <sz val="10"/>
        <rFont val="Times New Roman"/>
        <family val="1"/>
      </rPr>
      <t>2,pos2</t>
    </r>
    <r>
      <rPr>
        <sz val="10"/>
        <rFont val="Times New Roman"/>
        <family val="1"/>
      </rPr>
      <t>+C</t>
    </r>
    <r>
      <rPr>
        <vertAlign val="subscript"/>
        <sz val="10"/>
        <rFont val="Times New Roman"/>
        <family val="1"/>
      </rPr>
      <t>2,pos3</t>
    </r>
    <r>
      <rPr>
        <sz val="10"/>
        <rFont val="Times New Roman"/>
        <family val="1"/>
      </rPr>
      <t>+C</t>
    </r>
    <r>
      <rPr>
        <vertAlign val="subscript"/>
        <sz val="10"/>
        <rFont val="Times New Roman"/>
        <family val="1"/>
      </rPr>
      <t>2,pos4</t>
    </r>
    <r>
      <rPr>
        <sz val="10"/>
        <rFont val="Times New Roman"/>
        <family val="1"/>
      </rPr>
      <t>)/3         Long_mag = Intégrale(C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)/C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*.7499     [C</t>
    </r>
    <r>
      <rPr>
        <vertAlign val="subscript"/>
        <sz val="10"/>
        <rFont val="Times New Roman"/>
        <family val="1"/>
      </rPr>
      <t>n,x</t>
    </r>
    <r>
      <rPr>
        <sz val="10"/>
        <rFont val="Times New Roman"/>
        <family val="1"/>
      </rPr>
      <t>(T) = c</t>
    </r>
    <r>
      <rPr>
        <vertAlign val="subscript"/>
        <sz val="10"/>
        <rFont val="Times New Roman"/>
        <family val="1"/>
      </rPr>
      <t>n,x</t>
    </r>
    <r>
      <rPr>
        <sz val="10"/>
        <rFont val="Times New Roman"/>
        <family val="1"/>
      </rPr>
      <t>(unit)*C</t>
    </r>
    <r>
      <rPr>
        <vertAlign val="subscript"/>
        <sz val="10"/>
        <rFont val="Times New Roman"/>
        <family val="1"/>
      </rPr>
      <t>2,x</t>
    </r>
    <r>
      <rPr>
        <sz val="10"/>
        <rFont val="Times New Roman"/>
        <family val="1"/>
      </rPr>
      <t>(T)]</t>
    </r>
  </si>
  <si>
    <t xml:space="preserve">Taupe : </t>
  </si>
  <si>
    <r>
      <t>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=-3.758</t>
    </r>
  </si>
  <si>
    <t>Gradient (T/m)</t>
  </si>
  <si>
    <t xml:space="preserve"> Fri 26/09/2003       07:58:03</t>
  </si>
  <si>
    <t>LISSNER</t>
  </si>
  <si>
    <t>HCMQAP093</t>
  </si>
  <si>
    <t>Aperture2</t>
  </si>
  <si>
    <t>Taupe_quadrupole#4</t>
  </si>
  <si>
    <t>Position</t>
  </si>
  <si>
    <t>Integrales</t>
  </si>
  <si>
    <t>Cn (mT)</t>
  </si>
  <si>
    <t>Angle(Horiz,Cn)</t>
  </si>
  <si>
    <t>b1</t>
  </si>
  <si>
    <t>b2</t>
  </si>
  <si>
    <t>b5*</t>
  </si>
  <si>
    <t>b13*</t>
  </si>
  <si>
    <t>a1</t>
  </si>
  <si>
    <t>a2</t>
  </si>
  <si>
    <t>Temp taupe(deg)</t>
  </si>
  <si>
    <t>Niv init(mrad)</t>
  </si>
  <si>
    <t>Dx moy (mm)</t>
  </si>
  <si>
    <t>Dy moy (mm)</t>
  </si>
  <si>
    <t>C2 centre (mT)</t>
  </si>
  <si>
    <t>Long. Mag. (m)</t>
  </si>
  <si>
    <t>* = error on            Conclusion : CONTACT CEA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</si>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</sst>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d/mm/yy\ h:mm:ss"/>
    <numFmt numFmtId="173" formatCode="0.0##"/>
    <numFmt numFmtId="174" formatCode="0.00E+0"/>
    <numFmt numFmtId="175" formatCode="0.0###"/>
    <numFmt numFmtId="176" formatCode="dd/mm/yy\ h:mm"/>
    <numFmt numFmtId="177" formatCode="0.0#"/>
    <numFmt numFmtId="178" formatCode="0.#"/>
    <numFmt numFmtId="179" formatCode="0.000"/>
    <numFmt numFmtId="180" formatCode="dd/mm/yy"/>
  </numFmts>
  <fonts count="14">
    <font>
      <sz val="10"/>
      <name val="Times New Roman"/>
      <family val="1"/>
    </font>
    <font>
      <sz val="10"/>
      <name val="Arial"/>
      <family val="0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Symbol"/>
      <family val="1"/>
    </font>
    <font>
      <b/>
      <sz val="10"/>
      <color indexed="8"/>
      <name val="Times New Roman"/>
      <family val="1"/>
    </font>
    <font>
      <vertAlign val="subscript"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vertAlign val="subscript"/>
      <sz val="12"/>
      <color indexed="8"/>
      <name val="Times New Roman"/>
      <family val="1"/>
    </font>
    <font>
      <vertAlign val="subscript"/>
      <sz val="10"/>
      <name val="Times New Roman"/>
      <family val="1"/>
    </font>
    <font>
      <i/>
      <sz val="10"/>
      <color indexed="10"/>
      <name val="Times New Roman"/>
      <family val="1"/>
    </font>
    <font>
      <b/>
      <sz val="10"/>
      <name val="Times New Roman"/>
      <family val="1"/>
    </font>
    <font>
      <b/>
      <sz val="11.5"/>
      <name val="Arial"/>
      <family val="0"/>
    </font>
    <font>
      <sz val="11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>
        <color indexed="8"/>
      </left>
      <right style="thin"/>
      <top style="medium">
        <color indexed="8"/>
      </top>
      <bottom style="thin"/>
    </border>
    <border>
      <left style="thin"/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thin"/>
      <top style="thin"/>
      <bottom style="thin"/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>
        <color indexed="8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medium">
        <color indexed="8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>
        <color indexed="8"/>
      </left>
      <right style="thin"/>
      <top style="thin"/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 style="thin"/>
      <right style="medium">
        <color indexed="8"/>
      </right>
      <top style="thin"/>
      <bottom style="medium">
        <color indexed="8"/>
      </bottom>
    </border>
    <border>
      <left style="double">
        <color indexed="10"/>
      </left>
      <right>
        <color indexed="63"/>
      </right>
      <top style="double">
        <color indexed="10"/>
      </top>
      <bottom style="medium"/>
    </border>
    <border>
      <left>
        <color indexed="63"/>
      </left>
      <right>
        <color indexed="63"/>
      </right>
      <top style="double">
        <color indexed="10"/>
      </top>
      <bottom style="medium"/>
    </border>
    <border>
      <left>
        <color indexed="63"/>
      </left>
      <right style="double">
        <color indexed="10"/>
      </right>
      <top style="double">
        <color indexed="10"/>
      </top>
      <bottom style="medium"/>
    </border>
    <border>
      <left style="double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double">
        <color indexed="10"/>
      </right>
      <top>
        <color indexed="63"/>
      </top>
      <bottom style="thin"/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medium"/>
      <top>
        <color indexed="63"/>
      </top>
      <bottom style="double">
        <color indexed="10"/>
      </bottom>
    </border>
    <border>
      <left style="thin"/>
      <right style="double">
        <color indexed="10"/>
      </right>
      <top>
        <color indexed="63"/>
      </top>
      <bottom style="double">
        <color indexed="10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double"/>
    </border>
    <border>
      <left style="double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medium"/>
      <right style="double"/>
      <top style="double"/>
      <bottom style="medium"/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medium">
        <color indexed="8"/>
      </right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172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173" fontId="3" fillId="0" borderId="0" xfId="0" applyNumberFormat="1" applyFont="1" applyFill="1" applyBorder="1" applyAlignment="1">
      <alignment horizontal="left"/>
    </xf>
    <xf numFmtId="173" fontId="2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top"/>
    </xf>
    <xf numFmtId="173" fontId="3" fillId="0" borderId="1" xfId="0" applyNumberFormat="1" applyFont="1" applyFill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right" vertical="top" wrapText="1"/>
    </xf>
    <xf numFmtId="173" fontId="3" fillId="0" borderId="2" xfId="0" applyNumberFormat="1" applyFont="1" applyFill="1" applyBorder="1" applyAlignment="1">
      <alignment horizontal="left" vertical="top" wrapText="1"/>
    </xf>
    <xf numFmtId="173" fontId="3" fillId="0" borderId="3" xfId="0" applyNumberFormat="1" applyFont="1" applyFill="1" applyBorder="1" applyAlignment="1">
      <alignment horizontal="left"/>
    </xf>
    <xf numFmtId="173" fontId="3" fillId="0" borderId="3" xfId="0" applyNumberFormat="1" applyFont="1" applyFill="1" applyBorder="1" applyAlignment="1">
      <alignment horizontal="center"/>
    </xf>
    <xf numFmtId="173" fontId="3" fillId="0" borderId="3" xfId="0" applyNumberFormat="1" applyFont="1" applyFill="1" applyBorder="1" applyAlignment="1">
      <alignment horizontal="right"/>
    </xf>
    <xf numFmtId="173" fontId="3" fillId="0" borderId="4" xfId="0" applyNumberFormat="1" applyFont="1" applyFill="1" applyBorder="1" applyAlignment="1">
      <alignment horizontal="left" vertical="top" wrapText="1"/>
    </xf>
    <xf numFmtId="1" fontId="3" fillId="0" borderId="3" xfId="0" applyNumberFormat="1" applyFont="1" applyFill="1" applyBorder="1" applyAlignment="1">
      <alignment horizontal="center"/>
    </xf>
    <xf numFmtId="1" fontId="3" fillId="0" borderId="2" xfId="0" applyNumberFormat="1" applyFont="1" applyFill="1" applyBorder="1" applyAlignment="1">
      <alignment horizontal="center" vertical="top" wrapText="1"/>
    </xf>
    <xf numFmtId="1" fontId="2" fillId="0" borderId="3" xfId="0" applyNumberFormat="1" applyFont="1" applyFill="1" applyBorder="1" applyAlignment="1">
      <alignment horizontal="center" vertical="center"/>
    </xf>
    <xf numFmtId="173" fontId="3" fillId="0" borderId="2" xfId="0" applyNumberFormat="1" applyFont="1" applyFill="1" applyBorder="1" applyAlignment="1">
      <alignment horizontal="right" vertical="top" wrapText="1"/>
    </xf>
    <xf numFmtId="173" fontId="2" fillId="0" borderId="3" xfId="0" applyNumberFormat="1" applyFont="1" applyFill="1" applyBorder="1" applyAlignment="1">
      <alignment horizontal="right" vertical="center"/>
    </xf>
    <xf numFmtId="178" fontId="3" fillId="0" borderId="2" xfId="0" applyNumberFormat="1" applyFont="1" applyFill="1" applyBorder="1" applyAlignment="1">
      <alignment horizontal="center" vertical="top" wrapText="1"/>
    </xf>
    <xf numFmtId="178" fontId="3" fillId="0" borderId="3" xfId="0" applyNumberFormat="1" applyFont="1" applyFill="1" applyBorder="1" applyAlignment="1">
      <alignment horizontal="center"/>
    </xf>
    <xf numFmtId="178" fontId="2" fillId="0" borderId="3" xfId="0" applyNumberFormat="1" applyFont="1" applyFill="1" applyBorder="1" applyAlignment="1">
      <alignment horizontal="center" vertical="center"/>
    </xf>
    <xf numFmtId="173" fontId="3" fillId="0" borderId="2" xfId="0" applyNumberFormat="1" applyFont="1" applyFill="1" applyBorder="1" applyAlignment="1">
      <alignment horizontal="center" vertical="top" wrapText="1"/>
    </xf>
    <xf numFmtId="173" fontId="2" fillId="0" borderId="3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178" fontId="3" fillId="2" borderId="3" xfId="0" applyNumberFormat="1" applyFont="1" applyFill="1" applyBorder="1" applyAlignment="1">
      <alignment horizontal="center"/>
    </xf>
    <xf numFmtId="1" fontId="3" fillId="2" borderId="3" xfId="0" applyNumberFormat="1" applyFont="1" applyFill="1" applyBorder="1" applyAlignment="1">
      <alignment horizontal="center"/>
    </xf>
    <xf numFmtId="173" fontId="3" fillId="2" borderId="3" xfId="0" applyNumberFormat="1" applyFont="1" applyFill="1" applyBorder="1" applyAlignment="1">
      <alignment horizontal="center"/>
    </xf>
    <xf numFmtId="173" fontId="3" fillId="2" borderId="3" xfId="0" applyNumberFormat="1" applyFont="1" applyFill="1" applyBorder="1" applyAlignment="1">
      <alignment horizontal="left"/>
    </xf>
    <xf numFmtId="173" fontId="3" fillId="2" borderId="0" xfId="0" applyNumberFormat="1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173" fontId="3" fillId="2" borderId="3" xfId="0" applyNumberFormat="1" applyFont="1" applyFill="1" applyBorder="1" applyAlignment="1">
      <alignment horizontal="right"/>
    </xf>
    <xf numFmtId="0" fontId="0" fillId="2" borderId="0" xfId="0" applyFill="1" applyAlignment="1">
      <alignment horizontal="left"/>
    </xf>
    <xf numFmtId="0" fontId="0" fillId="0" borderId="0" xfId="0" applyAlignment="1">
      <alignment horizontal="right"/>
    </xf>
    <xf numFmtId="1" fontId="2" fillId="2" borderId="3" xfId="0" applyNumberFormat="1" applyFont="1" applyFill="1" applyBorder="1" applyAlignment="1">
      <alignment horizontal="center"/>
    </xf>
    <xf numFmtId="173" fontId="2" fillId="2" borderId="3" xfId="0" applyNumberFormat="1" applyFont="1" applyFill="1" applyBorder="1" applyAlignment="1">
      <alignment horizontal="center"/>
    </xf>
    <xf numFmtId="173" fontId="2" fillId="2" borderId="3" xfId="0" applyNumberFormat="1" applyFont="1" applyFill="1" applyBorder="1" applyAlignment="1">
      <alignment horizontal="left"/>
    </xf>
    <xf numFmtId="173" fontId="2" fillId="2" borderId="3" xfId="0" applyNumberFormat="1" applyFont="1" applyFill="1" applyBorder="1" applyAlignment="1">
      <alignment horizontal="right"/>
    </xf>
    <xf numFmtId="173" fontId="2" fillId="2" borderId="0" xfId="0" applyNumberFormat="1" applyFont="1" applyFill="1" applyBorder="1" applyAlignment="1">
      <alignment horizontal="left"/>
    </xf>
    <xf numFmtId="1" fontId="0" fillId="2" borderId="0" xfId="0" applyNumberFormat="1" applyFill="1" applyAlignment="1">
      <alignment horizontal="center"/>
    </xf>
    <xf numFmtId="180" fontId="3" fillId="0" borderId="2" xfId="0" applyNumberFormat="1" applyFont="1" applyFill="1" applyBorder="1" applyAlignment="1">
      <alignment horizontal="left" vertical="top"/>
    </xf>
    <xf numFmtId="180" fontId="3" fillId="2" borderId="3" xfId="0" applyNumberFormat="1" applyFont="1" applyFill="1" applyBorder="1" applyAlignment="1">
      <alignment horizontal="left"/>
    </xf>
    <xf numFmtId="180" fontId="4" fillId="2" borderId="3" xfId="0" applyNumberFormat="1" applyFont="1" applyFill="1" applyBorder="1" applyAlignment="1">
      <alignment horizontal="left"/>
    </xf>
    <xf numFmtId="180" fontId="2" fillId="0" borderId="3" xfId="0" applyNumberFormat="1" applyFont="1" applyFill="1" applyBorder="1" applyAlignment="1">
      <alignment horizontal="left" vertical="center"/>
    </xf>
    <xf numFmtId="180" fontId="3" fillId="0" borderId="3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5" xfId="0" applyFont="1" applyFill="1" applyBorder="1" applyAlignment="1">
      <alignment horizontal="left"/>
    </xf>
    <xf numFmtId="1" fontId="3" fillId="0" borderId="6" xfId="0" applyNumberFormat="1" applyFont="1" applyFill="1" applyBorder="1" applyAlignment="1">
      <alignment horizontal="left"/>
    </xf>
    <xf numFmtId="173" fontId="3" fillId="0" borderId="7" xfId="0" applyNumberFormat="1" applyFont="1" applyFill="1" applyBorder="1" applyAlignment="1">
      <alignment horizontal="left"/>
    </xf>
    <xf numFmtId="173" fontId="3" fillId="0" borderId="8" xfId="0" applyNumberFormat="1" applyFont="1" applyFill="1" applyBorder="1" applyAlignment="1">
      <alignment horizontal="center"/>
    </xf>
    <xf numFmtId="173" fontId="3" fillId="0" borderId="9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right"/>
    </xf>
    <xf numFmtId="173" fontId="3" fillId="0" borderId="12" xfId="0" applyNumberFormat="1" applyFont="1" applyFill="1" applyBorder="1" applyAlignment="1">
      <alignment horizontal="left"/>
    </xf>
    <xf numFmtId="173" fontId="3" fillId="0" borderId="13" xfId="0" applyNumberFormat="1" applyFont="1" applyFill="1" applyBorder="1" applyAlignment="1">
      <alignment horizontal="center"/>
    </xf>
    <xf numFmtId="173" fontId="3" fillId="0" borderId="14" xfId="0" applyNumberFormat="1" applyFont="1" applyFill="1" applyBorder="1" applyAlignment="1">
      <alignment horizontal="center"/>
    </xf>
    <xf numFmtId="174" fontId="3" fillId="0" borderId="15" xfId="0" applyNumberFormat="1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1" fontId="3" fillId="0" borderId="11" xfId="0" applyNumberFormat="1" applyFont="1" applyFill="1" applyBorder="1" applyAlignment="1">
      <alignment horizontal="left"/>
    </xf>
    <xf numFmtId="176" fontId="3" fillId="0" borderId="11" xfId="0" applyNumberFormat="1" applyFont="1" applyFill="1" applyBorder="1" applyAlignment="1">
      <alignment horizontal="left"/>
    </xf>
    <xf numFmtId="173" fontId="3" fillId="0" borderId="16" xfId="0" applyNumberFormat="1" applyFont="1" applyFill="1" applyBorder="1" applyAlignment="1">
      <alignment horizontal="left"/>
    </xf>
    <xf numFmtId="173" fontId="3" fillId="0" borderId="17" xfId="0" applyNumberFormat="1" applyFont="1" applyFill="1" applyBorder="1" applyAlignment="1">
      <alignment horizontal="left"/>
    </xf>
    <xf numFmtId="173" fontId="3" fillId="0" borderId="17" xfId="0" applyNumberFormat="1" applyFont="1" applyFill="1" applyBorder="1" applyAlignment="1">
      <alignment horizontal="center"/>
    </xf>
    <xf numFmtId="173" fontId="3" fillId="0" borderId="18" xfId="0" applyNumberFormat="1" applyFont="1" applyFill="1" applyBorder="1" applyAlignment="1">
      <alignment horizontal="center"/>
    </xf>
    <xf numFmtId="173" fontId="3" fillId="0" borderId="12" xfId="0" applyNumberFormat="1" applyFont="1" applyFill="1" applyBorder="1" applyAlignment="1">
      <alignment horizontal="center"/>
    </xf>
    <xf numFmtId="173" fontId="5" fillId="0" borderId="13" xfId="0" applyNumberFormat="1" applyFont="1" applyFill="1" applyBorder="1" applyAlignment="1">
      <alignment horizontal="left"/>
    </xf>
    <xf numFmtId="173" fontId="5" fillId="0" borderId="13" xfId="0" applyNumberFormat="1" applyFont="1" applyFill="1" applyBorder="1" applyAlignment="1">
      <alignment horizontal="center"/>
    </xf>
    <xf numFmtId="173" fontId="5" fillId="0" borderId="14" xfId="0" applyNumberFormat="1" applyFont="1" applyFill="1" applyBorder="1" applyAlignment="1">
      <alignment horizontal="center"/>
    </xf>
    <xf numFmtId="173" fontId="5" fillId="0" borderId="19" xfId="0" applyNumberFormat="1" applyFont="1" applyFill="1" applyBorder="1" applyAlignment="1">
      <alignment horizontal="center"/>
    </xf>
    <xf numFmtId="173" fontId="5" fillId="0" borderId="20" xfId="0" applyNumberFormat="1" applyFont="1" applyFill="1" applyBorder="1" applyAlignment="1">
      <alignment horizontal="center"/>
    </xf>
    <xf numFmtId="173" fontId="3" fillId="0" borderId="13" xfId="0" applyNumberFormat="1" applyFont="1" applyFill="1" applyBorder="1" applyAlignment="1">
      <alignment horizontal="left"/>
    </xf>
    <xf numFmtId="173" fontId="3" fillId="0" borderId="2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173" fontId="3" fillId="0" borderId="22" xfId="0" applyNumberFormat="1" applyFont="1" applyFill="1" applyBorder="1" applyAlignment="1">
      <alignment horizontal="center"/>
    </xf>
    <xf numFmtId="173" fontId="4" fillId="0" borderId="23" xfId="0" applyNumberFormat="1" applyFont="1" applyFill="1" applyBorder="1" applyAlignment="1">
      <alignment horizontal="center"/>
    </xf>
    <xf numFmtId="173" fontId="3" fillId="0" borderId="23" xfId="0" applyNumberFormat="1" applyFont="1" applyFill="1" applyBorder="1" applyAlignment="1">
      <alignment horizontal="center"/>
    </xf>
    <xf numFmtId="173" fontId="3" fillId="0" borderId="24" xfId="0" applyNumberFormat="1" applyFont="1" applyFill="1" applyBorder="1" applyAlignment="1">
      <alignment horizontal="center"/>
    </xf>
    <xf numFmtId="173" fontId="5" fillId="0" borderId="10" xfId="0" applyNumberFormat="1" applyFont="1" applyFill="1" applyBorder="1" applyAlignment="1">
      <alignment horizontal="center"/>
    </xf>
    <xf numFmtId="173" fontId="5" fillId="0" borderId="15" xfId="0" applyNumberFormat="1" applyFont="1" applyFill="1" applyBorder="1" applyAlignment="1">
      <alignment horizontal="center"/>
    </xf>
    <xf numFmtId="1" fontId="5" fillId="0" borderId="15" xfId="0" applyNumberFormat="1" applyFont="1" applyFill="1" applyBorder="1" applyAlignment="1">
      <alignment horizontal="center"/>
    </xf>
    <xf numFmtId="173" fontId="3" fillId="0" borderId="15" xfId="0" applyNumberFormat="1" applyFont="1" applyFill="1" applyBorder="1" applyAlignment="1">
      <alignment horizontal="center"/>
    </xf>
    <xf numFmtId="173" fontId="3" fillId="0" borderId="11" xfId="0" applyNumberFormat="1" applyFont="1" applyFill="1" applyBorder="1" applyAlignment="1">
      <alignment horizontal="center"/>
    </xf>
    <xf numFmtId="173" fontId="3" fillId="0" borderId="11" xfId="0" applyNumberFormat="1" applyFont="1" applyFill="1" applyBorder="1" applyAlignment="1">
      <alignment horizontal="left"/>
    </xf>
    <xf numFmtId="173" fontId="3" fillId="0" borderId="10" xfId="0" applyNumberFormat="1" applyFont="1" applyFill="1" applyBorder="1" applyAlignment="1">
      <alignment horizontal="center"/>
    </xf>
    <xf numFmtId="175" fontId="3" fillId="0" borderId="11" xfId="0" applyNumberFormat="1" applyFont="1" applyFill="1" applyBorder="1" applyAlignment="1">
      <alignment horizontal="left"/>
    </xf>
    <xf numFmtId="173" fontId="5" fillId="0" borderId="11" xfId="0" applyNumberFormat="1" applyFont="1" applyFill="1" applyBorder="1" applyAlignment="1">
      <alignment horizontal="left"/>
    </xf>
    <xf numFmtId="173" fontId="3" fillId="3" borderId="10" xfId="0" applyNumberFormat="1" applyFont="1" applyFill="1" applyBorder="1" applyAlignment="1">
      <alignment horizontal="center"/>
    </xf>
    <xf numFmtId="177" fontId="3" fillId="0" borderId="11" xfId="0" applyNumberFormat="1" applyFont="1" applyFill="1" applyBorder="1" applyAlignment="1">
      <alignment horizontal="left"/>
    </xf>
    <xf numFmtId="173" fontId="3" fillId="0" borderId="25" xfId="0" applyNumberFormat="1" applyFont="1" applyFill="1" applyBorder="1" applyAlignment="1">
      <alignment horizontal="center"/>
    </xf>
    <xf numFmtId="173" fontId="3" fillId="0" borderId="26" xfId="0" applyNumberFormat="1" applyFont="1" applyFill="1" applyBorder="1" applyAlignment="1">
      <alignment horizontal="center"/>
    </xf>
    <xf numFmtId="1" fontId="5" fillId="0" borderId="26" xfId="0" applyNumberFormat="1" applyFont="1" applyFill="1" applyBorder="1" applyAlignment="1">
      <alignment horizontal="center"/>
    </xf>
    <xf numFmtId="173" fontId="3" fillId="0" borderId="27" xfId="0" applyNumberFormat="1" applyFont="1" applyFill="1" applyBorder="1" applyAlignment="1">
      <alignment horizontal="center"/>
    </xf>
    <xf numFmtId="0" fontId="3" fillId="0" borderId="25" xfId="0" applyFont="1" applyFill="1" applyBorder="1" applyAlignment="1">
      <alignment horizontal="left"/>
    </xf>
    <xf numFmtId="1" fontId="3" fillId="0" borderId="27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77" fontId="3" fillId="0" borderId="0" xfId="0" applyNumberFormat="1" applyFont="1" applyFill="1" applyBorder="1" applyAlignment="1">
      <alignment horizontal="left"/>
    </xf>
    <xf numFmtId="173" fontId="2" fillId="0" borderId="28" xfId="0" applyNumberFormat="1" applyFont="1" applyFill="1" applyBorder="1" applyAlignment="1">
      <alignment horizontal="left"/>
    </xf>
    <xf numFmtId="173" fontId="2" fillId="0" borderId="29" xfId="0" applyNumberFormat="1" applyFont="1" applyFill="1" applyBorder="1" applyAlignment="1">
      <alignment horizontal="left"/>
    </xf>
    <xf numFmtId="173" fontId="7" fillId="0" borderId="29" xfId="0" applyNumberFormat="1" applyFont="1" applyFill="1" applyBorder="1" applyAlignment="1">
      <alignment horizontal="left"/>
    </xf>
    <xf numFmtId="173" fontId="2" fillId="0" borderId="30" xfId="0" applyNumberFormat="1" applyFont="1" applyFill="1" applyBorder="1" applyAlignment="1">
      <alignment horizontal="left"/>
    </xf>
    <xf numFmtId="173" fontId="2" fillId="0" borderId="31" xfId="0" applyNumberFormat="1" applyFont="1" applyFill="1" applyBorder="1" applyAlignment="1">
      <alignment horizontal="left"/>
    </xf>
    <xf numFmtId="173" fontId="2" fillId="0" borderId="32" xfId="0" applyNumberFormat="1" applyFont="1" applyFill="1" applyBorder="1" applyAlignment="1">
      <alignment horizontal="left"/>
    </xf>
    <xf numFmtId="173" fontId="2" fillId="0" borderId="32" xfId="0" applyNumberFormat="1" applyFont="1" applyFill="1" applyBorder="1" applyAlignment="1">
      <alignment horizontal="center"/>
    </xf>
    <xf numFmtId="173" fontId="2" fillId="0" borderId="33" xfId="0" applyNumberFormat="1" applyFont="1" applyFill="1" applyBorder="1" applyAlignment="1">
      <alignment horizontal="left"/>
    </xf>
    <xf numFmtId="173" fontId="2" fillId="0" borderId="34" xfId="0" applyNumberFormat="1" applyFont="1" applyFill="1" applyBorder="1" applyAlignment="1">
      <alignment horizontal="left"/>
    </xf>
    <xf numFmtId="173" fontId="2" fillId="0" borderId="35" xfId="0" applyNumberFormat="1" applyFont="1" applyFill="1" applyBorder="1" applyAlignment="1">
      <alignment horizontal="left"/>
    </xf>
    <xf numFmtId="173" fontId="2" fillId="0" borderId="36" xfId="0" applyNumberFormat="1" applyFont="1" applyFill="1" applyBorder="1" applyAlignment="1">
      <alignment horizontal="left"/>
    </xf>
    <xf numFmtId="173" fontId="2" fillId="0" borderId="36" xfId="0" applyNumberFormat="1" applyFont="1" applyFill="1" applyBorder="1" applyAlignment="1">
      <alignment horizontal="center"/>
    </xf>
    <xf numFmtId="173" fontId="2" fillId="0" borderId="37" xfId="0" applyNumberFormat="1" applyFont="1" applyFill="1" applyBorder="1" applyAlignment="1">
      <alignment horizontal="left"/>
    </xf>
    <xf numFmtId="173" fontId="2" fillId="0" borderId="38" xfId="0" applyNumberFormat="1" applyFont="1" applyFill="1" applyBorder="1" applyAlignment="1">
      <alignment horizontal="left"/>
    </xf>
    <xf numFmtId="0" fontId="2" fillId="0" borderId="39" xfId="0" applyFont="1" applyFill="1" applyBorder="1" applyAlignment="1">
      <alignment horizontal="left" vertical="center"/>
    </xf>
    <xf numFmtId="0" fontId="2" fillId="0" borderId="40" xfId="0" applyFont="1" applyFill="1" applyBorder="1" applyAlignment="1">
      <alignment horizontal="left" vertical="center"/>
    </xf>
    <xf numFmtId="173" fontId="2" fillId="0" borderId="40" xfId="0" applyNumberFormat="1" applyFont="1" applyFill="1" applyBorder="1" applyAlignment="1">
      <alignment horizontal="left" vertical="center"/>
    </xf>
    <xf numFmtId="173" fontId="2" fillId="0" borderId="41" xfId="0" applyNumberFormat="1" applyFont="1" applyFill="1" applyBorder="1" applyAlignment="1">
      <alignment horizontal="left" vertical="center"/>
    </xf>
    <xf numFmtId="173" fontId="3" fillId="3" borderId="15" xfId="0" applyNumberFormat="1" applyFont="1" applyFill="1" applyBorder="1" applyAlignment="1">
      <alignment horizontal="center"/>
    </xf>
    <xf numFmtId="173" fontId="5" fillId="3" borderId="10" xfId="0" applyNumberFormat="1" applyFont="1" applyFill="1" applyBorder="1" applyAlignment="1">
      <alignment horizontal="center"/>
    </xf>
    <xf numFmtId="173" fontId="5" fillId="3" borderId="15" xfId="0" applyNumberFormat="1" applyFont="1" applyFill="1" applyBorder="1" applyAlignment="1">
      <alignment horizontal="center"/>
    </xf>
    <xf numFmtId="179" fontId="5" fillId="0" borderId="15" xfId="0" applyNumberFormat="1" applyFont="1" applyFill="1" applyBorder="1" applyAlignment="1">
      <alignment horizontal="center"/>
    </xf>
    <xf numFmtId="179" fontId="3" fillId="3" borderId="15" xfId="0" applyNumberFormat="1" applyFont="1" applyFill="1" applyBorder="1" applyAlignment="1">
      <alignment horizontal="center"/>
    </xf>
    <xf numFmtId="179" fontId="3" fillId="0" borderId="15" xfId="0" applyNumberFormat="1" applyFont="1" applyFill="1" applyBorder="1" applyAlignment="1">
      <alignment horizontal="center"/>
    </xf>
    <xf numFmtId="179" fontId="3" fillId="0" borderId="42" xfId="0" applyNumberFormat="1" applyFont="1" applyFill="1" applyBorder="1" applyAlignment="1">
      <alignment horizontal="center"/>
    </xf>
    <xf numFmtId="179" fontId="0" fillId="0" borderId="43" xfId="0" applyNumberFormat="1" applyBorder="1" applyAlignment="1">
      <alignment horizontal="left"/>
    </xf>
    <xf numFmtId="179" fontId="0" fillId="0" borderId="44" xfId="0" applyNumberFormat="1" applyBorder="1" applyAlignment="1">
      <alignment horizontal="center"/>
    </xf>
    <xf numFmtId="179" fontId="0" fillId="0" borderId="15" xfId="0" applyNumberFormat="1" applyBorder="1" applyAlignment="1">
      <alignment horizontal="center"/>
    </xf>
    <xf numFmtId="179" fontId="0" fillId="0" borderId="45" xfId="0" applyNumberFormat="1" applyBorder="1" applyAlignment="1">
      <alignment horizontal="center"/>
    </xf>
    <xf numFmtId="179" fontId="0" fillId="0" borderId="46" xfId="0" applyNumberFormat="1" applyBorder="1" applyAlignment="1">
      <alignment horizontal="center"/>
    </xf>
    <xf numFmtId="179" fontId="0" fillId="0" borderId="43" xfId="0" applyNumberFormat="1" applyBorder="1" applyAlignment="1">
      <alignment horizontal="center"/>
    </xf>
    <xf numFmtId="179" fontId="0" fillId="0" borderId="42" xfId="0" applyNumberFormat="1" applyBorder="1" applyAlignment="1">
      <alignment horizontal="center"/>
    </xf>
    <xf numFmtId="179" fontId="0" fillId="0" borderId="47" xfId="0" applyNumberFormat="1" applyBorder="1" applyAlignment="1">
      <alignment horizontal="left"/>
    </xf>
    <xf numFmtId="179" fontId="0" fillId="0" borderId="20" xfId="0" applyNumberFormat="1" applyBorder="1" applyAlignment="1">
      <alignment horizontal="center"/>
    </xf>
    <xf numFmtId="179" fontId="0" fillId="0" borderId="48" xfId="0" applyNumberFormat="1" applyBorder="1" applyAlignment="1">
      <alignment horizontal="center"/>
    </xf>
    <xf numFmtId="179" fontId="0" fillId="0" borderId="49" xfId="0" applyNumberFormat="1" applyBorder="1" applyAlignment="1">
      <alignment horizontal="left"/>
    </xf>
    <xf numFmtId="179" fontId="0" fillId="0" borderId="14" xfId="0" applyNumberFormat="1" applyBorder="1" applyAlignment="1">
      <alignment horizontal="center"/>
    </xf>
    <xf numFmtId="179" fontId="5" fillId="0" borderId="14" xfId="0" applyNumberFormat="1" applyFont="1" applyFill="1" applyBorder="1" applyAlignment="1">
      <alignment horizontal="center"/>
    </xf>
    <xf numFmtId="179" fontId="3" fillId="0" borderId="14" xfId="0" applyNumberFormat="1" applyFont="1" applyFill="1" applyBorder="1" applyAlignment="1">
      <alignment horizontal="center"/>
    </xf>
    <xf numFmtId="179" fontId="3" fillId="3" borderId="14" xfId="0" applyNumberFormat="1" applyFont="1" applyFill="1" applyBorder="1" applyAlignment="1">
      <alignment horizontal="center"/>
    </xf>
    <xf numFmtId="179" fontId="3" fillId="0" borderId="50" xfId="0" applyNumberFormat="1" applyFont="1" applyFill="1" applyBorder="1" applyAlignment="1">
      <alignment horizontal="center"/>
    </xf>
    <xf numFmtId="179" fontId="0" fillId="0" borderId="49" xfId="0" applyNumberFormat="1" applyBorder="1" applyAlignment="1">
      <alignment horizontal="center"/>
    </xf>
    <xf numFmtId="179" fontId="0" fillId="0" borderId="50" xfId="0" applyNumberFormat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 horizontal="center"/>
    </xf>
    <xf numFmtId="179" fontId="5" fillId="0" borderId="55" xfId="0" applyNumberFormat="1" applyFont="1" applyFill="1" applyBorder="1" applyAlignment="1">
      <alignment horizontal="center"/>
    </xf>
    <xf numFmtId="179" fontId="5" fillId="0" borderId="56" xfId="0" applyNumberFormat="1" applyFont="1" applyFill="1" applyBorder="1" applyAlignment="1">
      <alignment horizontal="center"/>
    </xf>
    <xf numFmtId="179" fontId="5" fillId="3" borderId="56" xfId="0" applyNumberFormat="1" applyFont="1" applyFill="1" applyBorder="1" applyAlignment="1">
      <alignment horizontal="center"/>
    </xf>
    <xf numFmtId="0" fontId="0" fillId="0" borderId="57" xfId="0" applyBorder="1" applyAlignment="1">
      <alignment horizontal="center"/>
    </xf>
    <xf numFmtId="179" fontId="0" fillId="0" borderId="58" xfId="0" applyNumberFormat="1" applyBorder="1" applyAlignment="1">
      <alignment horizontal="center"/>
    </xf>
    <xf numFmtId="179" fontId="0" fillId="0" borderId="23" xfId="0" applyNumberFormat="1" applyBorder="1" applyAlignment="1">
      <alignment horizontal="center"/>
    </xf>
    <xf numFmtId="179" fontId="0" fillId="0" borderId="59" xfId="0" applyNumberFormat="1" applyBorder="1" applyAlignment="1">
      <alignment horizontal="center"/>
    </xf>
    <xf numFmtId="179" fontId="5" fillId="0" borderId="60" xfId="0" applyNumberFormat="1" applyFont="1" applyFill="1" applyBorder="1" applyAlignment="1">
      <alignment horizontal="center"/>
    </xf>
    <xf numFmtId="179" fontId="3" fillId="3" borderId="20" xfId="0" applyNumberFormat="1" applyFont="1" applyFill="1" applyBorder="1" applyAlignment="1">
      <alignment horizontal="center"/>
    </xf>
    <xf numFmtId="179" fontId="3" fillId="0" borderId="20" xfId="0" applyNumberFormat="1" applyFont="1" applyFill="1" applyBorder="1" applyAlignment="1">
      <alignment horizontal="center"/>
    </xf>
    <xf numFmtId="179" fontId="5" fillId="3" borderId="20" xfId="0" applyNumberFormat="1" applyFont="1" applyFill="1" applyBorder="1" applyAlignment="1">
      <alignment horizontal="center"/>
    </xf>
    <xf numFmtId="179" fontId="5" fillId="0" borderId="20" xfId="0" applyNumberFormat="1" applyFont="1" applyFill="1" applyBorder="1" applyAlignment="1">
      <alignment horizontal="center"/>
    </xf>
    <xf numFmtId="179" fontId="3" fillId="0" borderId="61" xfId="0" applyNumberFormat="1" applyFont="1" applyFill="1" applyBorder="1" applyAlignment="1">
      <alignment horizontal="center"/>
    </xf>
    <xf numFmtId="179" fontId="0" fillId="0" borderId="62" xfId="0" applyNumberFormat="1" applyBorder="1" applyAlignment="1">
      <alignment horizontal="center"/>
    </xf>
    <xf numFmtId="179" fontId="0" fillId="0" borderId="63" xfId="0" applyNumberFormat="1" applyBorder="1" applyAlignment="1">
      <alignment horizontal="center"/>
    </xf>
    <xf numFmtId="179" fontId="0" fillId="0" borderId="64" xfId="0" applyNumberFormat="1" applyBorder="1" applyAlignment="1">
      <alignment horizontal="center"/>
    </xf>
    <xf numFmtId="179" fontId="10" fillId="0" borderId="64" xfId="0" applyNumberFormat="1" applyFont="1" applyBorder="1" applyAlignment="1">
      <alignment horizontal="center"/>
    </xf>
    <xf numFmtId="179" fontId="0" fillId="0" borderId="65" xfId="0" applyNumberFormat="1" applyBorder="1" applyAlignment="1">
      <alignment horizontal="center"/>
    </xf>
    <xf numFmtId="179" fontId="11" fillId="0" borderId="66" xfId="0" applyNumberFormat="1" applyFont="1" applyBorder="1" applyAlignment="1">
      <alignment horizontal="center"/>
    </xf>
    <xf numFmtId="179" fontId="11" fillId="0" borderId="67" xfId="0" applyNumberFormat="1" applyFont="1" applyBorder="1" applyAlignment="1">
      <alignment horizontal="center"/>
    </xf>
    <xf numFmtId="2" fontId="11" fillId="0" borderId="67" xfId="0" applyNumberFormat="1" applyFont="1" applyBorder="1" applyAlignment="1">
      <alignment horizontal="center"/>
    </xf>
    <xf numFmtId="173" fontId="3" fillId="0" borderId="59" xfId="0" applyNumberFormat="1" applyFont="1" applyFill="1" applyBorder="1" applyAlignment="1">
      <alignment horizontal="center"/>
    </xf>
    <xf numFmtId="173" fontId="3" fillId="0" borderId="58" xfId="0" applyNumberFormat="1" applyFont="1" applyFill="1" applyBorder="1" applyAlignment="1">
      <alignment horizontal="center"/>
    </xf>
    <xf numFmtId="173" fontId="3" fillId="0" borderId="68" xfId="0" applyNumberFormat="1" applyFont="1" applyFill="1" applyBorder="1" applyAlignment="1">
      <alignment horizontal="center"/>
    </xf>
    <xf numFmtId="0" fontId="1" fillId="0" borderId="0" xfId="19">
      <alignment/>
      <protection/>
    </xf>
    <xf numFmtId="11" fontId="1" fillId="0" borderId="0" xfId="19" applyNumberForma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esult_HCMQAP093_aper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Lmag_hcmqap!$A$4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Lmag_hcmqap!$B$4:$F$4</c:f>
              <c:numCache/>
            </c:numRef>
          </c:val>
          <c:smooth val="0"/>
        </c:ser>
        <c:ser>
          <c:idx val="1"/>
          <c:order val="1"/>
          <c:tx>
            <c:strRef>
              <c:f>Lmag_hcmqap!$A$17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Lmag_hcmqap!$B$17:$F$17</c:f>
              <c:numCache/>
            </c:numRef>
          </c:val>
          <c:smooth val="0"/>
        </c:ser>
        <c:ser>
          <c:idx val="2"/>
          <c:order val="2"/>
          <c:tx>
            <c:strRef>
              <c:f>Lmag_hcmqap!$A$7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Lmag_hcmqap!$B$7:$F$7</c:f>
              <c:numCache/>
            </c:numRef>
          </c:val>
          <c:smooth val="0"/>
        </c:ser>
        <c:ser>
          <c:idx val="3"/>
          <c:order val="3"/>
          <c:tx>
            <c:strRef>
              <c:f>Lmag_hcmqap!$A$20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Lmag_hcmqap!$B$20:$F$20</c:f>
              <c:numCache/>
            </c:numRef>
          </c:val>
          <c:smooth val="0"/>
        </c:ser>
        <c:ser>
          <c:idx val="4"/>
          <c:order val="4"/>
          <c:tx>
            <c:strRef>
              <c:f>Lmag_hcmqap!$A$11</c:f>
              <c:strCache>
                <c:ptCount val="1"/>
                <c:pt idx="0">
                  <c:v>b10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Lmag_hcmqap!$B$11:$F$11</c:f>
              <c:numCache/>
            </c:numRef>
          </c:val>
          <c:smooth val="0"/>
        </c:ser>
        <c:ser>
          <c:idx val="5"/>
          <c:order val="5"/>
          <c:tx>
            <c:strRef>
              <c:f>Lmag_hcmqap!$A$24</c:f>
              <c:strCache>
                <c:ptCount val="1"/>
                <c:pt idx="0">
                  <c:v>a10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Lmag_hcmqap!$B$24:$F$24</c:f>
              <c:numCache/>
            </c:numRef>
          </c:val>
          <c:smooth val="0"/>
        </c:ser>
        <c:ser>
          <c:idx val="6"/>
          <c:order val="6"/>
          <c:tx>
            <c:strRef>
              <c:f>Lmag_hcmqap!$A$6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Lmag_hcmqap!$B$6:$F$6</c:f>
              <c:numCache/>
            </c:numRef>
          </c:val>
          <c:smooth val="0"/>
        </c:ser>
        <c:ser>
          <c:idx val="7"/>
          <c:order val="7"/>
          <c:tx>
            <c:strRef>
              <c:f>Lmag_hcmqap!$A$19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Lmag_hcmqap!$B$19:$F$19</c:f>
              <c:numCache/>
            </c:numRef>
          </c:val>
          <c:smooth val="0"/>
        </c:ser>
        <c:marker val="1"/>
        <c:axId val="22321389"/>
        <c:axId val="66674774"/>
      </c:lineChart>
      <c:catAx>
        <c:axId val="2232138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66674774"/>
        <c:crosses val="autoZero"/>
        <c:auto val="1"/>
        <c:lblOffset val="100"/>
        <c:noMultiLvlLbl val="0"/>
      </c:catAx>
      <c:valAx>
        <c:axId val="666747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/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crossAx val="22321389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36</xdr:row>
      <xdr:rowOff>28575</xdr:rowOff>
    </xdr:from>
    <xdr:to>
      <xdr:col>7</xdr:col>
      <xdr:colOff>19050</xdr:colOff>
      <xdr:row>56</xdr:row>
      <xdr:rowOff>47625</xdr:rowOff>
    </xdr:to>
    <xdr:graphicFrame>
      <xdr:nvGraphicFramePr>
        <xdr:cNvPr id="1" name="Chart 1"/>
        <xdr:cNvGraphicFramePr/>
      </xdr:nvGraphicFramePr>
      <xdr:xfrm>
        <a:off x="171450" y="6010275"/>
        <a:ext cx="53816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N17"/>
  <sheetViews>
    <sheetView workbookViewId="0" topLeftCell="A1">
      <selection activeCell="A6" sqref="A6:IV6"/>
    </sheetView>
  </sheetViews>
  <sheetFormatPr defaultColWidth="9.33203125" defaultRowHeight="15" customHeight="1"/>
  <cols>
    <col min="1" max="1" width="8.33203125" style="43" customWidth="1"/>
    <col min="2" max="2" width="5.5" style="19" customWidth="1"/>
    <col min="3" max="3" width="5.66015625" style="19" customWidth="1"/>
    <col min="4" max="4" width="8.16015625" style="13" customWidth="1"/>
    <col min="5" max="5" width="4.66015625" style="13" customWidth="1"/>
    <col min="6" max="6" width="8.33203125" style="10" customWidth="1"/>
    <col min="7" max="7" width="8" style="10" customWidth="1"/>
    <col min="8" max="8" width="6.16015625" style="13" customWidth="1"/>
    <col min="9" max="9" width="10.83203125" style="9" customWidth="1"/>
    <col min="10" max="10" width="11" style="11" customWidth="1"/>
    <col min="11" max="11" width="35.5" style="3" customWidth="1"/>
    <col min="12" max="13" width="8.83203125" style="3" customWidth="1"/>
    <col min="14" max="14" width="5" style="3" customWidth="1"/>
    <col min="15" max="16384" width="12" style="1" customWidth="1"/>
  </cols>
  <sheetData>
    <row r="1" spans="1:14" s="5" customFormat="1" ht="29.25" customHeight="1" thickBot="1">
      <c r="A1" s="39" t="s">
        <v>0</v>
      </c>
      <c r="B1" s="18" t="s">
        <v>1</v>
      </c>
      <c r="C1" s="18" t="s">
        <v>2</v>
      </c>
      <c r="D1" s="14" t="s">
        <v>3</v>
      </c>
      <c r="E1" s="14" t="s">
        <v>4</v>
      </c>
      <c r="F1" s="21" t="s">
        <v>10</v>
      </c>
      <c r="G1" s="21" t="s">
        <v>11</v>
      </c>
      <c r="H1" s="14" t="s">
        <v>5</v>
      </c>
      <c r="I1" s="8" t="s">
        <v>6</v>
      </c>
      <c r="J1" s="16" t="s">
        <v>7</v>
      </c>
      <c r="K1" s="6" t="s">
        <v>8</v>
      </c>
      <c r="L1" s="6"/>
      <c r="M1" s="12" t="s">
        <v>9</v>
      </c>
      <c r="N1" s="7">
        <v>6</v>
      </c>
    </row>
    <row r="2" spans="1:14" s="29" customFormat="1" ht="15" customHeight="1" thickTop="1">
      <c r="A2" s="40" t="s">
        <v>69</v>
      </c>
      <c r="B2" s="24">
        <v>80</v>
      </c>
      <c r="C2" s="24" t="s">
        <v>70</v>
      </c>
      <c r="D2" s="25">
        <v>5</v>
      </c>
      <c r="E2" s="25">
        <v>2</v>
      </c>
      <c r="F2" s="26"/>
      <c r="G2" s="26" t="s">
        <v>68</v>
      </c>
      <c r="H2" s="25">
        <v>2312</v>
      </c>
      <c r="I2" s="27" t="s">
        <v>71</v>
      </c>
      <c r="J2" s="30"/>
      <c r="K2" s="28"/>
      <c r="L2" s="28"/>
      <c r="M2" s="28"/>
      <c r="N2" s="28"/>
    </row>
    <row r="3" spans="1:14" s="29" customFormat="1" ht="15" customHeight="1">
      <c r="A3" s="40" t="s">
        <v>69</v>
      </c>
      <c r="B3" s="24">
        <v>80</v>
      </c>
      <c r="C3" s="24" t="s">
        <v>70</v>
      </c>
      <c r="D3" s="25">
        <v>5</v>
      </c>
      <c r="E3" s="25">
        <v>1</v>
      </c>
      <c r="F3" s="26"/>
      <c r="G3" s="26" t="s">
        <v>73</v>
      </c>
      <c r="H3" s="25">
        <v>2312</v>
      </c>
      <c r="I3" s="27" t="s">
        <v>74</v>
      </c>
      <c r="J3" s="30"/>
      <c r="K3" s="28"/>
      <c r="L3" s="28"/>
      <c r="M3" s="28"/>
      <c r="N3" s="28"/>
    </row>
    <row r="4" spans="1:14" s="29" customFormat="1" ht="15" customHeight="1">
      <c r="A4" s="40" t="s">
        <v>69</v>
      </c>
      <c r="B4" s="24">
        <v>80</v>
      </c>
      <c r="C4" s="24" t="s">
        <v>70</v>
      </c>
      <c r="D4" s="25">
        <v>5</v>
      </c>
      <c r="E4" s="25">
        <v>3</v>
      </c>
      <c r="F4" s="26"/>
      <c r="G4" s="26" t="s">
        <v>76</v>
      </c>
      <c r="H4" s="25">
        <v>2312</v>
      </c>
      <c r="I4" s="27" t="s">
        <v>77</v>
      </c>
      <c r="J4" s="30"/>
      <c r="K4" s="31"/>
      <c r="L4" s="31"/>
      <c r="M4" s="31"/>
      <c r="N4" s="28"/>
    </row>
    <row r="5" spans="1:14" s="29" customFormat="1" ht="15" customHeight="1">
      <c r="A5" s="40" t="s">
        <v>69</v>
      </c>
      <c r="B5" s="24">
        <v>80</v>
      </c>
      <c r="C5" s="24" t="s">
        <v>70</v>
      </c>
      <c r="D5" s="25">
        <v>5</v>
      </c>
      <c r="E5" s="25">
        <v>5</v>
      </c>
      <c r="F5" s="26"/>
      <c r="G5" s="26" t="s">
        <v>79</v>
      </c>
      <c r="H5" s="25">
        <v>2312</v>
      </c>
      <c r="I5" s="27" t="s">
        <v>80</v>
      </c>
      <c r="J5" s="30"/>
      <c r="K5" s="28"/>
      <c r="L5" s="28"/>
      <c r="M5" s="28"/>
      <c r="N5" s="28"/>
    </row>
    <row r="6" spans="1:14" s="29" customFormat="1" ht="15" customHeight="1">
      <c r="A6" s="40" t="s">
        <v>69</v>
      </c>
      <c r="B6" s="24">
        <v>80</v>
      </c>
      <c r="C6" s="24" t="s">
        <v>70</v>
      </c>
      <c r="D6" s="25">
        <v>5</v>
      </c>
      <c r="E6" s="25">
        <v>4</v>
      </c>
      <c r="F6" s="26"/>
      <c r="G6" s="26" t="s">
        <v>81</v>
      </c>
      <c r="H6" s="25">
        <v>2312</v>
      </c>
      <c r="I6" s="27" t="s">
        <v>82</v>
      </c>
      <c r="J6" s="30"/>
      <c r="K6" s="28"/>
      <c r="L6" s="28"/>
      <c r="M6" s="28"/>
      <c r="N6" s="28"/>
    </row>
    <row r="7" spans="1:14" s="29" customFormat="1" ht="15" customHeight="1">
      <c r="A7" s="40" t="s">
        <v>83</v>
      </c>
      <c r="B7" s="24"/>
      <c r="C7" s="24"/>
      <c r="D7" s="25"/>
      <c r="E7" s="25"/>
      <c r="F7" s="26"/>
      <c r="G7" s="26"/>
      <c r="H7" s="25"/>
      <c r="I7" s="27"/>
      <c r="J7" s="30"/>
      <c r="K7" s="28"/>
      <c r="L7" s="28"/>
      <c r="M7" s="28"/>
      <c r="N7" s="28"/>
    </row>
    <row r="8" spans="1:14" s="29" customFormat="1" ht="15" customHeight="1">
      <c r="A8" s="40"/>
      <c r="B8" s="24"/>
      <c r="C8" s="24"/>
      <c r="D8" s="25"/>
      <c r="E8" s="25"/>
      <c r="F8" s="26"/>
      <c r="G8" s="26"/>
      <c r="H8" s="25"/>
      <c r="I8" s="27"/>
      <c r="J8" s="30"/>
      <c r="K8" s="28"/>
      <c r="L8" s="28"/>
      <c r="M8" s="28"/>
      <c r="N8" s="28"/>
    </row>
    <row r="9" spans="1:14" s="29" customFormat="1" ht="15" customHeight="1">
      <c r="A9" s="40"/>
      <c r="B9" s="24"/>
      <c r="C9" s="24"/>
      <c r="D9" s="25"/>
      <c r="E9" s="25"/>
      <c r="F9" s="26"/>
      <c r="G9" s="26"/>
      <c r="H9" s="25"/>
      <c r="I9" s="27"/>
      <c r="J9" s="30"/>
      <c r="K9" s="28"/>
      <c r="L9" s="28"/>
      <c r="M9" s="28"/>
      <c r="N9" s="28"/>
    </row>
    <row r="10" spans="1:14" s="29" customFormat="1" ht="15" customHeight="1">
      <c r="A10" s="40"/>
      <c r="B10" s="24"/>
      <c r="C10" s="24"/>
      <c r="D10" s="25"/>
      <c r="E10" s="25"/>
      <c r="F10" s="26"/>
      <c r="G10" s="26"/>
      <c r="H10" s="25"/>
      <c r="I10" s="27"/>
      <c r="J10" s="30"/>
      <c r="K10" s="28"/>
      <c r="L10" s="28"/>
      <c r="M10" s="28"/>
      <c r="N10" s="28"/>
    </row>
    <row r="11" spans="1:14" s="29" customFormat="1" ht="18" customHeight="1">
      <c r="A11" s="41"/>
      <c r="B11" s="24"/>
      <c r="C11" s="24"/>
      <c r="D11" s="25"/>
      <c r="E11" s="33"/>
      <c r="F11" s="34"/>
      <c r="G11" s="44"/>
      <c r="H11" s="33"/>
      <c r="I11" s="35"/>
      <c r="J11" s="36"/>
      <c r="K11" s="37"/>
      <c r="L11" s="37"/>
      <c r="M11" s="28"/>
      <c r="N11" s="28"/>
    </row>
    <row r="12" spans="1:14" s="29" customFormat="1" ht="18" customHeight="1">
      <c r="A12" s="40"/>
      <c r="B12" s="24"/>
      <c r="C12" s="24"/>
      <c r="D12" s="38"/>
      <c r="E12" s="33"/>
      <c r="F12" s="34"/>
      <c r="G12" s="34"/>
      <c r="H12" s="33"/>
      <c r="I12" s="35"/>
      <c r="J12" s="36"/>
      <c r="K12" s="37"/>
      <c r="L12" s="37"/>
      <c r="M12" s="28"/>
      <c r="N12" s="28"/>
    </row>
    <row r="13" spans="1:14" s="29" customFormat="1" ht="18" customHeight="1">
      <c r="A13" s="40"/>
      <c r="B13" s="24"/>
      <c r="C13" s="24"/>
      <c r="D13" s="25"/>
      <c r="E13" s="33"/>
      <c r="F13" s="34"/>
      <c r="G13" s="34"/>
      <c r="H13" s="33"/>
      <c r="I13" s="35"/>
      <c r="J13" s="36"/>
      <c r="K13" s="37"/>
      <c r="L13" s="37"/>
      <c r="M13" s="28"/>
      <c r="N13" s="28"/>
    </row>
    <row r="14" spans="1:14" s="29" customFormat="1" ht="15" customHeight="1">
      <c r="A14" s="40"/>
      <c r="B14" s="24"/>
      <c r="C14" s="24"/>
      <c r="D14" s="25"/>
      <c r="E14" s="25"/>
      <c r="F14" s="26"/>
      <c r="G14" s="26"/>
      <c r="H14" s="25"/>
      <c r="I14" s="27"/>
      <c r="J14" s="30"/>
      <c r="K14" s="31"/>
      <c r="L14" s="28"/>
      <c r="M14" s="28"/>
      <c r="N14" s="28"/>
    </row>
    <row r="15" spans="1:14" s="29" customFormat="1" ht="15" customHeight="1">
      <c r="A15" s="40"/>
      <c r="B15" s="24"/>
      <c r="C15" s="24"/>
      <c r="D15" s="25"/>
      <c r="E15" s="25"/>
      <c r="F15" s="26"/>
      <c r="G15" s="26"/>
      <c r="H15" s="25"/>
      <c r="I15" s="28"/>
      <c r="J15" s="30"/>
      <c r="K15" s="31"/>
      <c r="L15" s="28"/>
      <c r="M15" s="28"/>
      <c r="N15" s="28"/>
    </row>
    <row r="16" spans="1:14" s="2" customFormat="1" ht="18" customHeight="1">
      <c r="A16" s="42"/>
      <c r="B16" s="20"/>
      <c r="C16" s="20"/>
      <c r="D16" s="15"/>
      <c r="E16" s="15"/>
      <c r="F16" s="22"/>
      <c r="G16" s="22"/>
      <c r="H16" s="15"/>
      <c r="I16" s="23"/>
      <c r="J16" s="17"/>
      <c r="K16"/>
      <c r="L16" s="4"/>
      <c r="M16" s="4"/>
      <c r="N16" s="4"/>
    </row>
    <row r="17" spans="10:14" ht="15" customHeight="1">
      <c r="J17" s="32"/>
      <c r="M17"/>
      <c r="N17"/>
    </row>
  </sheetData>
  <printOptions/>
  <pageMargins left="0.7086614173228347" right="0.7086614173228347" top="0.7874015748031497" bottom="0.7874015748031497" header="0.5118110236220472" footer="0.5118110236220472"/>
  <pageSetup horizontalDpi="600" verticalDpi="600" orientation="landscape" paperSize="9" r:id="rId1"/>
  <headerFooter alignWithMargins="0">
    <oddHeader>&amp;C&amp;F : &amp;A&amp;RFichier d'origine: 43271612res</oddHeader>
    <oddFooter>&amp;L&amp;"Times New Roman,bold"CEA/DSM/DAPNIA/STCM &amp;C&amp;D&amp;RLHCQ2 - Mesures Magnétiques à Chaud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5" t="s">
        <v>12</v>
      </c>
      <c r="B1" s="46">
        <v>91</v>
      </c>
      <c r="D1" s="47" t="s">
        <v>13</v>
      </c>
      <c r="E1" s="48"/>
      <c r="F1" s="48"/>
      <c r="G1" s="48"/>
      <c r="H1" s="48"/>
      <c r="I1" s="48"/>
      <c r="J1" s="48"/>
      <c r="K1" s="48"/>
      <c r="L1" s="48"/>
      <c r="M1" s="48"/>
      <c r="N1" s="49"/>
    </row>
    <row r="2" spans="1:14" ht="15" customHeight="1">
      <c r="A2" s="50" t="s">
        <v>14</v>
      </c>
      <c r="B2" s="51" t="s">
        <v>15</v>
      </c>
      <c r="D2" s="52" t="s">
        <v>56</v>
      </c>
      <c r="E2" s="53"/>
      <c r="F2" s="53"/>
      <c r="G2" s="53"/>
      <c r="H2" s="53"/>
      <c r="I2" s="53"/>
      <c r="J2" s="54"/>
      <c r="K2" s="55">
        <v>2.7430882099999998E-05</v>
      </c>
      <c r="L2" s="55">
        <v>1.5483999926040532E-07</v>
      </c>
      <c r="M2" s="55">
        <v>0.00012078065</v>
      </c>
      <c r="N2" s="56">
        <v>2.0025684008612413E-07</v>
      </c>
    </row>
    <row r="3" spans="1:14" ht="15" customHeight="1">
      <c r="A3" s="57" t="s">
        <v>16</v>
      </c>
      <c r="B3" s="58">
        <v>2</v>
      </c>
      <c r="D3" s="52" t="s">
        <v>57</v>
      </c>
      <c r="E3" s="53"/>
      <c r="F3" s="53"/>
      <c r="G3" s="53"/>
      <c r="H3" s="53"/>
      <c r="I3" s="53"/>
      <c r="J3" s="54"/>
      <c r="K3" s="55">
        <v>-2.98850879E-05</v>
      </c>
      <c r="L3" s="55">
        <v>2.280878252100164E-07</v>
      </c>
      <c r="M3" s="55">
        <v>1.2943029999999998E-05</v>
      </c>
      <c r="N3" s="56">
        <v>1.404289272194215E-07</v>
      </c>
    </row>
    <row r="4" spans="1:14" ht="15" customHeight="1">
      <c r="A4" s="57" t="s">
        <v>17</v>
      </c>
      <c r="B4" s="58">
        <v>2</v>
      </c>
      <c r="D4" s="52" t="s">
        <v>58</v>
      </c>
      <c r="E4" s="53"/>
      <c r="F4" s="53"/>
      <c r="G4" s="53"/>
      <c r="H4" s="53"/>
      <c r="I4" s="53"/>
      <c r="J4" s="54"/>
      <c r="K4" s="55">
        <v>-0.003757943164268181</v>
      </c>
      <c r="L4" s="55">
        <v>-3.1250585173084326E-05</v>
      </c>
      <c r="M4" s="55">
        <v>4.198860365292145E-08</v>
      </c>
      <c r="N4" s="56">
        <v>4.157841599999999</v>
      </c>
    </row>
    <row r="5" spans="1:14" ht="15" customHeight="1" thickBot="1">
      <c r="A5" t="s">
        <v>18</v>
      </c>
      <c r="B5" s="59">
        <v>37890.31484953704</v>
      </c>
      <c r="D5" s="60"/>
      <c r="E5" s="61" t="s">
        <v>59</v>
      </c>
      <c r="F5" s="62"/>
      <c r="G5" s="62"/>
      <c r="H5" s="62"/>
      <c r="I5" s="62"/>
      <c r="J5" s="62"/>
      <c r="K5" s="62"/>
      <c r="L5" s="62"/>
      <c r="M5" s="62"/>
      <c r="N5" s="63"/>
    </row>
    <row r="6" spans="1:14" ht="15" customHeight="1" thickTop="1">
      <c r="A6" s="57" t="s">
        <v>19</v>
      </c>
      <c r="B6" s="58">
        <v>2312</v>
      </c>
      <c r="D6" s="64"/>
      <c r="E6" s="65" t="s">
        <v>20</v>
      </c>
      <c r="F6" s="66"/>
      <c r="G6" s="67"/>
      <c r="H6" s="68" t="s">
        <v>21</v>
      </c>
      <c r="I6" s="69"/>
      <c r="J6" s="66"/>
      <c r="K6" s="70" t="s">
        <v>60</v>
      </c>
      <c r="L6" s="53"/>
      <c r="M6" s="53"/>
      <c r="N6" s="71"/>
    </row>
    <row r="7" spans="1:14" ht="15" customHeight="1" thickBot="1">
      <c r="A7" s="57" t="s">
        <v>22</v>
      </c>
      <c r="B7" s="72" t="s">
        <v>23</v>
      </c>
      <c r="D7" s="73" t="s">
        <v>61</v>
      </c>
      <c r="E7" s="74" t="s">
        <v>62</v>
      </c>
      <c r="F7" s="75" t="s">
        <v>63</v>
      </c>
      <c r="G7" s="74" t="s">
        <v>64</v>
      </c>
      <c r="H7" s="76"/>
      <c r="I7" s="167" t="s">
        <v>24</v>
      </c>
      <c r="J7" s="168"/>
      <c r="K7" s="167" t="s">
        <v>25</v>
      </c>
      <c r="L7" s="168"/>
      <c r="M7" s="167" t="s">
        <v>26</v>
      </c>
      <c r="N7" s="169"/>
    </row>
    <row r="8" spans="1:14" ht="15" customHeight="1">
      <c r="A8" s="57" t="s">
        <v>27</v>
      </c>
      <c r="B8" s="72" t="s">
        <v>28</v>
      </c>
      <c r="D8" s="77">
        <v>-1.9401217</v>
      </c>
      <c r="E8" s="78">
        <v>0.013184607724958112</v>
      </c>
      <c r="F8" s="78">
        <v>1.5126019000000004</v>
      </c>
      <c r="G8" s="78">
        <v>0.009861910861456063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7" t="s">
        <v>29</v>
      </c>
      <c r="B9" s="82">
        <v>0.017</v>
      </c>
      <c r="D9" s="83">
        <v>-0.42491149000000006</v>
      </c>
      <c r="E9" s="80">
        <v>0.03233519239154711</v>
      </c>
      <c r="F9" s="80">
        <v>2.0471884000000005</v>
      </c>
      <c r="G9" s="80">
        <v>0.022044377177391102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7" t="s">
        <v>30</v>
      </c>
      <c r="B10" s="72" t="s">
        <v>31</v>
      </c>
      <c r="D10" s="83">
        <v>0.234752714</v>
      </c>
      <c r="E10" s="80">
        <v>0.00733369910629935</v>
      </c>
      <c r="F10" s="80">
        <v>-1.03120247</v>
      </c>
      <c r="G10" s="80">
        <v>0.002884718824813147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7" t="s">
        <v>32</v>
      </c>
      <c r="B11" s="58">
        <v>2</v>
      </c>
      <c r="D11" s="77">
        <v>4.4519813</v>
      </c>
      <c r="E11" s="78">
        <v>0.003508411101913712</v>
      </c>
      <c r="F11" s="78">
        <v>0.37036147</v>
      </c>
      <c r="G11" s="78">
        <v>0.006348397915112713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7" t="s">
        <v>33</v>
      </c>
      <c r="B12" s="84">
        <v>0.7499</v>
      </c>
      <c r="D12" s="83">
        <v>0.37064562999999995</v>
      </c>
      <c r="E12" s="80">
        <v>0.002971922947290696</v>
      </c>
      <c r="F12" s="80">
        <v>-0.10185525399999999</v>
      </c>
      <c r="G12" s="80">
        <v>0.005473650485574989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7" t="s">
        <v>34</v>
      </c>
      <c r="B13" s="82">
        <v>20.199586</v>
      </c>
      <c r="D13" s="83">
        <v>0.014744163999999999</v>
      </c>
      <c r="E13" s="80">
        <v>0.003307431524953168</v>
      </c>
      <c r="F13" s="80">
        <v>0.28006472</v>
      </c>
      <c r="G13" s="80">
        <v>0.0014647551435611136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50" t="s">
        <v>35</v>
      </c>
      <c r="B14" s="85">
        <v>12.5</v>
      </c>
      <c r="D14" s="83">
        <v>-0.063173355</v>
      </c>
      <c r="E14" s="80">
        <v>0.002541601115334353</v>
      </c>
      <c r="F14" s="80">
        <v>-0.045145504999999995</v>
      </c>
      <c r="G14" s="80">
        <v>0.0035427395337746877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7" t="s">
        <v>36</v>
      </c>
      <c r="B15" s="82">
        <v>0</v>
      </c>
      <c r="D15" s="77">
        <v>-0.12385199</v>
      </c>
      <c r="E15" s="78">
        <v>0.001600281486926775</v>
      </c>
      <c r="F15" s="78">
        <v>0.030028421</v>
      </c>
      <c r="G15" s="78">
        <v>0.001709077432237655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7" t="s">
        <v>37</v>
      </c>
      <c r="B16" s="82">
        <v>12.506</v>
      </c>
      <c r="D16" s="83">
        <v>0.025960508</v>
      </c>
      <c r="E16" s="80">
        <v>0.001772717472384162</v>
      </c>
      <c r="F16" s="80">
        <v>-0.00118587164</v>
      </c>
      <c r="G16" s="80">
        <v>0.004213014641145983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7" t="s">
        <v>38</v>
      </c>
      <c r="B17" s="82">
        <v>0.4009999930858612</v>
      </c>
      <c r="D17" s="83">
        <v>0.024395766000000003</v>
      </c>
      <c r="E17" s="80">
        <v>0.0019994338255901346</v>
      </c>
      <c r="F17" s="80">
        <v>-0.015248731000000001</v>
      </c>
      <c r="G17" s="80">
        <v>0.0013406542445104847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7" t="s">
        <v>39</v>
      </c>
      <c r="B18" s="82">
        <v>30.009000778198242</v>
      </c>
      <c r="D18" s="83">
        <v>0.00927512593</v>
      </c>
      <c r="E18" s="80">
        <v>0.0011677617077276035</v>
      </c>
      <c r="F18" s="80">
        <v>0.07268513800000001</v>
      </c>
      <c r="G18" s="80">
        <v>0.0009588585257769703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7" t="s">
        <v>40</v>
      </c>
      <c r="B19" s="82">
        <v>0.15299999713897705</v>
      </c>
      <c r="D19" s="86">
        <v>-0.15854870999999998</v>
      </c>
      <c r="E19" s="80">
        <v>0.001374818597270631</v>
      </c>
      <c r="F19" s="80">
        <v>0.007549580400000001</v>
      </c>
      <c r="G19" s="80">
        <v>0.001345950212727175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7" t="s">
        <v>41</v>
      </c>
      <c r="B20" s="87">
        <v>0.1195356</v>
      </c>
      <c r="D20" s="88">
        <v>-0.004233481799999999</v>
      </c>
      <c r="E20" s="89">
        <v>0.00048678643314071536</v>
      </c>
      <c r="F20" s="89">
        <v>0.00331104859</v>
      </c>
      <c r="G20" s="89">
        <v>0.0007512426458512005</v>
      </c>
      <c r="H20" s="90">
        <v>15</v>
      </c>
      <c r="I20" s="89">
        <v>0</v>
      </c>
      <c r="J20" s="89">
        <v>0</v>
      </c>
      <c r="K20" s="89">
        <v>0</v>
      </c>
      <c r="L20" s="89">
        <v>0</v>
      </c>
      <c r="M20" s="89">
        <v>0.05</v>
      </c>
      <c r="N20" s="91">
        <v>0.05</v>
      </c>
    </row>
    <row r="21" spans="1:6" ht="15" customHeight="1">
      <c r="A21" s="57" t="s">
        <v>42</v>
      </c>
      <c r="B21" s="87">
        <v>0.5473699</v>
      </c>
      <c r="F21" s="3" t="s">
        <v>65</v>
      </c>
    </row>
    <row r="22" spans="1:6" ht="15" customHeight="1">
      <c r="A22" s="57" t="s">
        <v>43</v>
      </c>
      <c r="B22" s="72" t="s">
        <v>44</v>
      </c>
      <c r="F22" s="3" t="s">
        <v>66</v>
      </c>
    </row>
    <row r="23" spans="1:2" ht="15" customHeight="1" thickBot="1">
      <c r="A23" s="92" t="s">
        <v>45</v>
      </c>
      <c r="B23" s="93">
        <v>15</v>
      </c>
    </row>
    <row r="24" spans="1:12" ht="18" customHeight="1" thickBot="1" thickTop="1">
      <c r="A24" s="94" t="s">
        <v>67</v>
      </c>
      <c r="B24" s="95">
        <v>0.23822697678564037</v>
      </c>
      <c r="E24" s="96"/>
      <c r="F24" s="97"/>
      <c r="G24" s="98" t="s">
        <v>46</v>
      </c>
      <c r="H24" s="97"/>
      <c r="I24" s="97"/>
      <c r="J24" s="97"/>
      <c r="K24" s="97"/>
      <c r="L24" s="99"/>
    </row>
    <row r="25" spans="1:12" ht="18" customHeight="1">
      <c r="A25" s="45" t="s">
        <v>47</v>
      </c>
      <c r="B25" s="46">
        <v>10</v>
      </c>
      <c r="E25" s="100" t="s">
        <v>48</v>
      </c>
      <c r="F25" s="101"/>
      <c r="G25" s="102"/>
      <c r="H25" s="103">
        <v>-3.7580731</v>
      </c>
      <c r="I25" s="101" t="s">
        <v>49</v>
      </c>
      <c r="J25" s="102"/>
      <c r="K25" s="101"/>
      <c r="L25" s="104">
        <v>4.467359971393647</v>
      </c>
    </row>
    <row r="26" spans="1:12" ht="18" customHeight="1" thickBot="1">
      <c r="A26" s="57" t="s">
        <v>50</v>
      </c>
      <c r="B26" s="58" t="s">
        <v>51</v>
      </c>
      <c r="E26" s="105" t="s">
        <v>52</v>
      </c>
      <c r="F26" s="106"/>
      <c r="G26" s="107"/>
      <c r="H26" s="108">
        <v>2.4600887623609236</v>
      </c>
      <c r="I26" s="106" t="s">
        <v>53</v>
      </c>
      <c r="J26" s="107"/>
      <c r="K26" s="106"/>
      <c r="L26" s="109">
        <v>0.1274402663788543</v>
      </c>
    </row>
    <row r="27" spans="1:2" ht="15" customHeight="1" thickBot="1" thickTop="1">
      <c r="A27" s="92" t="s">
        <v>54</v>
      </c>
      <c r="B27" s="93">
        <v>80</v>
      </c>
    </row>
    <row r="28" spans="1:14" s="2" customFormat="1" ht="18" customHeight="1" thickBot="1">
      <c r="A28" s="110" t="s">
        <v>55</v>
      </c>
      <c r="B28" s="111"/>
      <c r="C28" s="111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3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HCMQAP093_pos2ap2res</oddHeader>
    <oddFooter>&amp;L&amp;"Times New Roman,bold"CEA/DSM/DAPNIA/STCM &amp;C&amp;D&amp;RLHCQ2 - Mesures Magnétiques à Chaud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5" t="s">
        <v>12</v>
      </c>
      <c r="B1" s="46">
        <v>91</v>
      </c>
      <c r="D1" s="47" t="s">
        <v>13</v>
      </c>
      <c r="E1" s="48"/>
      <c r="F1" s="48"/>
      <c r="G1" s="48"/>
      <c r="H1" s="48"/>
      <c r="I1" s="48"/>
      <c r="J1" s="48"/>
      <c r="K1" s="48"/>
      <c r="L1" s="48"/>
      <c r="M1" s="48"/>
      <c r="N1" s="49"/>
    </row>
    <row r="2" spans="1:14" ht="15" customHeight="1">
      <c r="A2" s="50" t="s">
        <v>14</v>
      </c>
      <c r="B2" s="51" t="s">
        <v>15</v>
      </c>
      <c r="D2" s="52" t="s">
        <v>56</v>
      </c>
      <c r="E2" s="53"/>
      <c r="F2" s="53"/>
      <c r="G2" s="53"/>
      <c r="H2" s="53"/>
      <c r="I2" s="53"/>
      <c r="J2" s="54"/>
      <c r="K2" s="55">
        <v>-1.8393791E-05</v>
      </c>
      <c r="L2" s="55">
        <v>9.72524123819491E-08</v>
      </c>
      <c r="M2" s="55">
        <v>0.00013592153</v>
      </c>
      <c r="N2" s="56">
        <v>1.4949386140371208E-07</v>
      </c>
    </row>
    <row r="3" spans="1:14" ht="15" customHeight="1">
      <c r="A3" s="57" t="s">
        <v>16</v>
      </c>
      <c r="B3" s="58">
        <v>2</v>
      </c>
      <c r="D3" s="52" t="s">
        <v>57</v>
      </c>
      <c r="E3" s="53"/>
      <c r="F3" s="53"/>
      <c r="G3" s="53"/>
      <c r="H3" s="53"/>
      <c r="I3" s="53"/>
      <c r="J3" s="54"/>
      <c r="K3" s="55">
        <v>-3.2220183E-05</v>
      </c>
      <c r="L3" s="55">
        <v>1.0375534215588739E-07</v>
      </c>
      <c r="M3" s="55">
        <v>1.4064190000000003E-05</v>
      </c>
      <c r="N3" s="56">
        <v>1.2134084802731658E-07</v>
      </c>
    </row>
    <row r="4" spans="1:14" ht="15" customHeight="1">
      <c r="A4" s="57" t="s">
        <v>17</v>
      </c>
      <c r="B4" s="58">
        <v>2</v>
      </c>
      <c r="D4" s="52" t="s">
        <v>58</v>
      </c>
      <c r="E4" s="53"/>
      <c r="F4" s="53"/>
      <c r="G4" s="53"/>
      <c r="H4" s="53"/>
      <c r="I4" s="53"/>
      <c r="J4" s="54"/>
      <c r="K4" s="55">
        <v>-0.00225770835961359</v>
      </c>
      <c r="L4" s="55">
        <v>-1.0418874251788313E-05</v>
      </c>
      <c r="M4" s="55">
        <v>4.468712180924834E-08</v>
      </c>
      <c r="N4" s="56">
        <v>2.307384</v>
      </c>
    </row>
    <row r="5" spans="1:14" ht="15" customHeight="1" thickBot="1">
      <c r="A5" t="s">
        <v>18</v>
      </c>
      <c r="B5" s="59">
        <v>37890.310069444444</v>
      </c>
      <c r="D5" s="60"/>
      <c r="E5" s="61" t="s">
        <v>72</v>
      </c>
      <c r="F5" s="62"/>
      <c r="G5" s="62"/>
      <c r="H5" s="62"/>
      <c r="I5" s="62"/>
      <c r="J5" s="62"/>
      <c r="K5" s="62"/>
      <c r="L5" s="62"/>
      <c r="M5" s="62"/>
      <c r="N5" s="63"/>
    </row>
    <row r="6" spans="1:14" ht="15" customHeight="1" thickTop="1">
      <c r="A6" s="57" t="s">
        <v>19</v>
      </c>
      <c r="B6" s="58">
        <v>2312</v>
      </c>
      <c r="D6" s="64"/>
      <c r="E6" s="65" t="s">
        <v>20</v>
      </c>
      <c r="F6" s="66"/>
      <c r="G6" s="67"/>
      <c r="H6" s="68" t="s">
        <v>21</v>
      </c>
      <c r="I6" s="69"/>
      <c r="J6" s="66"/>
      <c r="K6" s="70" t="s">
        <v>60</v>
      </c>
      <c r="L6" s="53"/>
      <c r="M6" s="53"/>
      <c r="N6" s="71"/>
    </row>
    <row r="7" spans="1:14" ht="15" customHeight="1" thickBot="1">
      <c r="A7" s="57" t="s">
        <v>22</v>
      </c>
      <c r="B7" s="72" t="s">
        <v>23</v>
      </c>
      <c r="D7" s="73" t="s">
        <v>61</v>
      </c>
      <c r="E7" s="74" t="s">
        <v>62</v>
      </c>
      <c r="F7" s="75" t="s">
        <v>63</v>
      </c>
      <c r="G7" s="74" t="s">
        <v>64</v>
      </c>
      <c r="H7" s="76"/>
      <c r="I7" s="167" t="s">
        <v>24</v>
      </c>
      <c r="J7" s="168"/>
      <c r="K7" s="167" t="s">
        <v>25</v>
      </c>
      <c r="L7" s="168"/>
      <c r="M7" s="167" t="s">
        <v>26</v>
      </c>
      <c r="N7" s="169"/>
    </row>
    <row r="8" spans="1:14" ht="15" customHeight="1">
      <c r="A8" s="57" t="s">
        <v>27</v>
      </c>
      <c r="B8" s="72" t="s">
        <v>28</v>
      </c>
      <c r="D8" s="77">
        <v>-0.066422063</v>
      </c>
      <c r="E8" s="78">
        <v>0.016347809804668503</v>
      </c>
      <c r="F8" s="78">
        <v>0.79401003</v>
      </c>
      <c r="G8" s="78">
        <v>0.0335627141527406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7" t="s">
        <v>29</v>
      </c>
      <c r="B9" s="82">
        <v>0.017</v>
      </c>
      <c r="D9" s="83">
        <v>-1.4873851</v>
      </c>
      <c r="E9" s="80">
        <v>0.040130406012648785</v>
      </c>
      <c r="F9" s="114">
        <v>2.7979136</v>
      </c>
      <c r="G9" s="80">
        <v>0.01886594689226241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7" t="s">
        <v>30</v>
      </c>
      <c r="B10" s="72" t="s">
        <v>31</v>
      </c>
      <c r="D10" s="83">
        <v>0.250626697</v>
      </c>
      <c r="E10" s="80">
        <v>0.015871478266838615</v>
      </c>
      <c r="F10" s="114">
        <v>-2.8263472999999997</v>
      </c>
      <c r="G10" s="80">
        <v>0.012550844786745547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7" t="s">
        <v>32</v>
      </c>
      <c r="B11" s="58">
        <v>1</v>
      </c>
      <c r="D11" s="77">
        <v>3.9709183999999995</v>
      </c>
      <c r="E11" s="78">
        <v>0.012883137511817997</v>
      </c>
      <c r="F11" s="78">
        <v>0.39493630999999996</v>
      </c>
      <c r="G11" s="78">
        <v>0.013678421805180118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7" t="s">
        <v>33</v>
      </c>
      <c r="B12" s="84">
        <v>0.7499</v>
      </c>
      <c r="D12" s="83">
        <v>0.13109550799999997</v>
      </c>
      <c r="E12" s="80">
        <v>0.011711787861923536</v>
      </c>
      <c r="F12" s="80">
        <v>-0.27921515</v>
      </c>
      <c r="G12" s="80">
        <v>0.008502248952658994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7" t="s">
        <v>34</v>
      </c>
      <c r="B13" s="82">
        <v>20.031739</v>
      </c>
      <c r="D13" s="83">
        <v>0.16340155000000003</v>
      </c>
      <c r="E13" s="80">
        <v>0.004076994538504052</v>
      </c>
      <c r="F13" s="80">
        <v>0.33165714</v>
      </c>
      <c r="G13" s="80">
        <v>0.01040733495186882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50" t="s">
        <v>35</v>
      </c>
      <c r="B14" s="85">
        <v>12.5</v>
      </c>
      <c r="D14" s="83">
        <v>-0.08211193800000001</v>
      </c>
      <c r="E14" s="80">
        <v>0.005413334735897202</v>
      </c>
      <c r="F14" s="114">
        <v>0.41245791</v>
      </c>
      <c r="G14" s="80">
        <v>0.0012394153106911497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7" t="s">
        <v>36</v>
      </c>
      <c r="B15" s="82">
        <v>0</v>
      </c>
      <c r="D15" s="77">
        <v>-0.48466719999999996</v>
      </c>
      <c r="E15" s="78">
        <v>0.0038174618169706178</v>
      </c>
      <c r="F15" s="78">
        <v>-0.02740311</v>
      </c>
      <c r="G15" s="78">
        <v>0.0032463336768422074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7" t="s">
        <v>37</v>
      </c>
      <c r="B16" s="82">
        <v>12.506</v>
      </c>
      <c r="D16" s="83">
        <v>0.0300065943</v>
      </c>
      <c r="E16" s="80">
        <v>0.004343421913358106</v>
      </c>
      <c r="F16" s="80">
        <v>-0.097602053</v>
      </c>
      <c r="G16" s="80">
        <v>0.004932737996579383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7" t="s">
        <v>38</v>
      </c>
      <c r="B17" s="82">
        <v>-0.15000000596046448</v>
      </c>
      <c r="D17" s="86">
        <v>0.16237282</v>
      </c>
      <c r="E17" s="80">
        <v>0.002650103821664334</v>
      </c>
      <c r="F17" s="80">
        <v>0.0376842691</v>
      </c>
      <c r="G17" s="80">
        <v>0.0027075354625781018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7" t="s">
        <v>39</v>
      </c>
      <c r="B18" s="82">
        <v>245.1580047607422</v>
      </c>
      <c r="D18" s="83">
        <v>-0.0004825302</v>
      </c>
      <c r="E18" s="80">
        <v>0.0014434878984051652</v>
      </c>
      <c r="F18" s="114">
        <v>0.17230884999999999</v>
      </c>
      <c r="G18" s="80">
        <v>0.002031100183399015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7" t="s">
        <v>40</v>
      </c>
      <c r="B19" s="82">
        <v>-0.4790000021457672</v>
      </c>
      <c r="D19" s="86">
        <v>-0.17132384</v>
      </c>
      <c r="E19" s="80">
        <v>0.0010750781224670445</v>
      </c>
      <c r="F19" s="80">
        <v>0.005020364639999999</v>
      </c>
      <c r="G19" s="80">
        <v>0.0013056519725724103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7" t="s">
        <v>41</v>
      </c>
      <c r="B20" s="87">
        <v>-0.143189</v>
      </c>
      <c r="D20" s="88">
        <v>0.00276820845</v>
      </c>
      <c r="E20" s="89">
        <v>0.0009800279851911434</v>
      </c>
      <c r="F20" s="89">
        <v>0.00233921243</v>
      </c>
      <c r="G20" s="89">
        <v>0.0016378908154416364</v>
      </c>
      <c r="H20" s="90">
        <v>15</v>
      </c>
      <c r="I20" s="89">
        <v>0</v>
      </c>
      <c r="J20" s="89">
        <v>0</v>
      </c>
      <c r="K20" s="89">
        <v>0</v>
      </c>
      <c r="L20" s="89">
        <v>0</v>
      </c>
      <c r="M20" s="89">
        <v>0.05</v>
      </c>
      <c r="N20" s="91">
        <v>0.05</v>
      </c>
    </row>
    <row r="21" spans="1:6" ht="15" customHeight="1">
      <c r="A21" s="57" t="s">
        <v>42</v>
      </c>
      <c r="B21" s="87">
        <v>1.0227997</v>
      </c>
      <c r="F21" s="3" t="s">
        <v>65</v>
      </c>
    </row>
    <row r="22" spans="1:6" ht="15" customHeight="1">
      <c r="A22" s="57" t="s">
        <v>43</v>
      </c>
      <c r="B22" s="72" t="s">
        <v>44</v>
      </c>
      <c r="F22" s="3" t="s">
        <v>66</v>
      </c>
    </row>
    <row r="23" spans="1:2" ht="15" customHeight="1" thickBot="1">
      <c r="A23" s="92" t="s">
        <v>45</v>
      </c>
      <c r="B23" s="93">
        <v>15</v>
      </c>
    </row>
    <row r="24" spans="1:12" ht="18" customHeight="1" thickBot="1" thickTop="1">
      <c r="A24" s="94" t="s">
        <v>67</v>
      </c>
      <c r="B24" s="95">
        <v>0.13220347658351345</v>
      </c>
      <c r="E24" s="96"/>
      <c r="F24" s="97"/>
      <c r="G24" s="98" t="s">
        <v>46</v>
      </c>
      <c r="H24" s="97"/>
      <c r="I24" s="97"/>
      <c r="J24" s="97"/>
      <c r="K24" s="97"/>
      <c r="L24" s="99"/>
    </row>
    <row r="25" spans="1:12" ht="18" customHeight="1">
      <c r="A25" s="45" t="s">
        <v>47</v>
      </c>
      <c r="B25" s="46">
        <v>10</v>
      </c>
      <c r="E25" s="100" t="s">
        <v>48</v>
      </c>
      <c r="F25" s="101"/>
      <c r="G25" s="102"/>
      <c r="H25" s="103">
        <v>-2.2577324</v>
      </c>
      <c r="I25" s="101" t="s">
        <v>49</v>
      </c>
      <c r="J25" s="102"/>
      <c r="K25" s="101"/>
      <c r="L25" s="104">
        <v>3.9905096953164985</v>
      </c>
    </row>
    <row r="26" spans="1:12" ht="18" customHeight="1" thickBot="1">
      <c r="A26" s="57" t="s">
        <v>50</v>
      </c>
      <c r="B26" s="58" t="s">
        <v>51</v>
      </c>
      <c r="E26" s="105" t="s">
        <v>52</v>
      </c>
      <c r="F26" s="106"/>
      <c r="G26" s="107"/>
      <c r="H26" s="108">
        <v>0.7967834198788131</v>
      </c>
      <c r="I26" s="106" t="s">
        <v>53</v>
      </c>
      <c r="J26" s="107"/>
      <c r="K26" s="106"/>
      <c r="L26" s="109">
        <v>0.48544126853154135</v>
      </c>
    </row>
    <row r="27" spans="1:2" ht="15" customHeight="1" thickBot="1" thickTop="1">
      <c r="A27" s="92" t="s">
        <v>54</v>
      </c>
      <c r="B27" s="93">
        <v>80</v>
      </c>
    </row>
    <row r="28" spans="1:14" s="2" customFormat="1" ht="18" customHeight="1" thickBot="1">
      <c r="A28" s="110" t="s">
        <v>55</v>
      </c>
      <c r="B28" s="111"/>
      <c r="C28" s="111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3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HCMQAP093_pos1ap2res</oddHeader>
    <oddFooter>&amp;L&amp;"Times New Roman,bold"CEA/DSM/DAPNIA/STCM &amp;C&amp;D&amp;RLHCQ2 - Mesures Magnétiques à Chaud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5" t="s">
        <v>12</v>
      </c>
      <c r="B1" s="46">
        <v>91</v>
      </c>
      <c r="D1" s="47" t="s">
        <v>13</v>
      </c>
      <c r="E1" s="48"/>
      <c r="F1" s="48"/>
      <c r="G1" s="48"/>
      <c r="H1" s="48"/>
      <c r="I1" s="48"/>
      <c r="J1" s="48"/>
      <c r="K1" s="48"/>
      <c r="L1" s="48"/>
      <c r="M1" s="48"/>
      <c r="N1" s="49"/>
    </row>
    <row r="2" spans="1:14" ht="15" customHeight="1">
      <c r="A2" s="50" t="s">
        <v>14</v>
      </c>
      <c r="B2" s="51" t="s">
        <v>15</v>
      </c>
      <c r="D2" s="52" t="s">
        <v>56</v>
      </c>
      <c r="E2" s="53"/>
      <c r="F2" s="53"/>
      <c r="G2" s="53"/>
      <c r="H2" s="53"/>
      <c r="I2" s="53"/>
      <c r="J2" s="54"/>
      <c r="K2" s="55">
        <v>-1.9383725100000002E-05</v>
      </c>
      <c r="L2" s="55">
        <v>1.1959610354769702E-07</v>
      </c>
      <c r="M2" s="55">
        <v>0.00016996044</v>
      </c>
      <c r="N2" s="56">
        <v>1.543826265927724E-07</v>
      </c>
    </row>
    <row r="3" spans="1:14" ht="15" customHeight="1">
      <c r="A3" s="57" t="s">
        <v>16</v>
      </c>
      <c r="B3" s="58">
        <v>2</v>
      </c>
      <c r="D3" s="52" t="s">
        <v>57</v>
      </c>
      <c r="E3" s="53"/>
      <c r="F3" s="53"/>
      <c r="G3" s="53"/>
      <c r="H3" s="53"/>
      <c r="I3" s="53"/>
      <c r="J3" s="54"/>
      <c r="K3" s="55">
        <v>-2.8756540900000002E-05</v>
      </c>
      <c r="L3" s="55">
        <v>2.38973378397757E-07</v>
      </c>
      <c r="M3" s="55">
        <v>1.13057E-05</v>
      </c>
      <c r="N3" s="56">
        <v>1.5548292832333635E-07</v>
      </c>
    </row>
    <row r="4" spans="1:14" ht="15" customHeight="1">
      <c r="A4" s="57" t="s">
        <v>17</v>
      </c>
      <c r="B4" s="58">
        <v>2</v>
      </c>
      <c r="D4" s="52" t="s">
        <v>58</v>
      </c>
      <c r="E4" s="53"/>
      <c r="F4" s="53"/>
      <c r="G4" s="53"/>
      <c r="H4" s="53"/>
      <c r="I4" s="53"/>
      <c r="J4" s="54"/>
      <c r="K4" s="55">
        <v>-0.003756816851388541</v>
      </c>
      <c r="L4" s="55">
        <v>-3.8046395536738495E-05</v>
      </c>
      <c r="M4" s="55">
        <v>8.033307755774476E-08</v>
      </c>
      <c r="N4" s="56">
        <v>5.0634748</v>
      </c>
    </row>
    <row r="5" spans="1:14" ht="15" customHeight="1" thickBot="1">
      <c r="A5" t="s">
        <v>18</v>
      </c>
      <c r="B5" s="59">
        <v>37890.31940972222</v>
      </c>
      <c r="D5" s="60"/>
      <c r="E5" s="61" t="s">
        <v>75</v>
      </c>
      <c r="F5" s="62"/>
      <c r="G5" s="62"/>
      <c r="H5" s="62"/>
      <c r="I5" s="62"/>
      <c r="J5" s="62"/>
      <c r="K5" s="62"/>
      <c r="L5" s="62"/>
      <c r="M5" s="62"/>
      <c r="N5" s="63"/>
    </row>
    <row r="6" spans="1:14" ht="15" customHeight="1" thickTop="1">
      <c r="A6" s="57" t="s">
        <v>19</v>
      </c>
      <c r="B6" s="58">
        <v>2312</v>
      </c>
      <c r="D6" s="64"/>
      <c r="E6" s="65" t="s">
        <v>20</v>
      </c>
      <c r="F6" s="66"/>
      <c r="G6" s="67"/>
      <c r="H6" s="68" t="s">
        <v>21</v>
      </c>
      <c r="I6" s="69"/>
      <c r="J6" s="66"/>
      <c r="K6" s="70" t="s">
        <v>60</v>
      </c>
      <c r="L6" s="53"/>
      <c r="M6" s="53"/>
      <c r="N6" s="71"/>
    </row>
    <row r="7" spans="1:14" ht="15" customHeight="1" thickBot="1">
      <c r="A7" s="57" t="s">
        <v>22</v>
      </c>
      <c r="B7" s="72" t="s">
        <v>23</v>
      </c>
      <c r="D7" s="73" t="s">
        <v>61</v>
      </c>
      <c r="E7" s="74" t="s">
        <v>62</v>
      </c>
      <c r="F7" s="75" t="s">
        <v>63</v>
      </c>
      <c r="G7" s="74" t="s">
        <v>64</v>
      </c>
      <c r="H7" s="76"/>
      <c r="I7" s="167" t="s">
        <v>24</v>
      </c>
      <c r="J7" s="168"/>
      <c r="K7" s="167" t="s">
        <v>25</v>
      </c>
      <c r="L7" s="168"/>
      <c r="M7" s="167" t="s">
        <v>26</v>
      </c>
      <c r="N7" s="169"/>
    </row>
    <row r="8" spans="1:14" ht="15" customHeight="1">
      <c r="A8" s="57" t="s">
        <v>27</v>
      </c>
      <c r="B8" s="72" t="s">
        <v>28</v>
      </c>
      <c r="D8" s="115">
        <v>-7.470045799999999</v>
      </c>
      <c r="E8" s="78">
        <v>0.006852311030905905</v>
      </c>
      <c r="F8" s="78">
        <v>1.6005634999999998</v>
      </c>
      <c r="G8" s="78">
        <v>0.018607844582343127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7" t="s">
        <v>29</v>
      </c>
      <c r="B9" s="82">
        <v>0.017</v>
      </c>
      <c r="D9" s="83">
        <v>-0.71320091</v>
      </c>
      <c r="E9" s="80">
        <v>0.005656426474948087</v>
      </c>
      <c r="F9" s="114">
        <v>-3.674718</v>
      </c>
      <c r="G9" s="80">
        <v>0.03634628271500217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7" t="s">
        <v>30</v>
      </c>
      <c r="B10" s="72" t="s">
        <v>31</v>
      </c>
      <c r="D10" s="83">
        <v>2.2129933</v>
      </c>
      <c r="E10" s="80">
        <v>0.009093784985286298</v>
      </c>
      <c r="F10" s="80">
        <v>-2.0856098</v>
      </c>
      <c r="G10" s="80">
        <v>0.008321708103510758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7" t="s">
        <v>32</v>
      </c>
      <c r="B11" s="58">
        <v>3</v>
      </c>
      <c r="D11" s="77">
        <v>4.8968167</v>
      </c>
      <c r="E11" s="78">
        <v>0.0053735391097276845</v>
      </c>
      <c r="F11" s="78">
        <v>0.004456164</v>
      </c>
      <c r="G11" s="78">
        <v>0.004762639733433898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7" t="s">
        <v>33</v>
      </c>
      <c r="B12" s="84">
        <v>0.7499</v>
      </c>
      <c r="D12" s="83">
        <v>-0.24585642000000002</v>
      </c>
      <c r="E12" s="80">
        <v>0.0030609060012677116</v>
      </c>
      <c r="F12" s="80">
        <v>-0.131155848</v>
      </c>
      <c r="G12" s="80">
        <v>0.001971468603236459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7" t="s">
        <v>34</v>
      </c>
      <c r="B13" s="82">
        <v>20.373536</v>
      </c>
      <c r="D13" s="83">
        <v>0.064754612</v>
      </c>
      <c r="E13" s="80">
        <v>0.003152128249523784</v>
      </c>
      <c r="F13" s="114">
        <v>-0.4370992</v>
      </c>
      <c r="G13" s="80">
        <v>0.0015765558083845742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50" t="s">
        <v>35</v>
      </c>
      <c r="B14" s="85">
        <v>12.5</v>
      </c>
      <c r="D14" s="83">
        <v>0.048213975000000006</v>
      </c>
      <c r="E14" s="80">
        <v>0.002940088144690563</v>
      </c>
      <c r="F14" s="80">
        <v>-0.12015138</v>
      </c>
      <c r="G14" s="80">
        <v>0.0025259891344971874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7" t="s">
        <v>36</v>
      </c>
      <c r="B15" s="82">
        <v>0</v>
      </c>
      <c r="D15" s="77">
        <v>-0.0009633328800000001</v>
      </c>
      <c r="E15" s="78">
        <v>0.0010310566972029317</v>
      </c>
      <c r="F15" s="78">
        <v>-0.036563777</v>
      </c>
      <c r="G15" s="78">
        <v>0.002250050514758788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7" t="s">
        <v>37</v>
      </c>
      <c r="B16" s="82">
        <v>12.506</v>
      </c>
      <c r="D16" s="83">
        <v>0.04187265</v>
      </c>
      <c r="E16" s="80">
        <v>0.0021996603571164224</v>
      </c>
      <c r="F16" s="80">
        <v>0.00086866649</v>
      </c>
      <c r="G16" s="80">
        <v>0.001257686126338599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7" t="s">
        <v>38</v>
      </c>
      <c r="B17" s="82">
        <v>-0.16099999845027924</v>
      </c>
      <c r="D17" s="83">
        <v>0.074599238</v>
      </c>
      <c r="E17" s="80">
        <v>0.0021262935985926134</v>
      </c>
      <c r="F17" s="80">
        <v>0.01122176578</v>
      </c>
      <c r="G17" s="80">
        <v>0.0011552995366680909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7" t="s">
        <v>39</v>
      </c>
      <c r="B18" s="82">
        <v>192.7689971923828</v>
      </c>
      <c r="D18" s="83">
        <v>-0.028501624000000003</v>
      </c>
      <c r="E18" s="80">
        <v>0.000673161946944363</v>
      </c>
      <c r="F18" s="80">
        <v>0.12690806</v>
      </c>
      <c r="G18" s="80">
        <v>0.001102439608506558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7" t="s">
        <v>40</v>
      </c>
      <c r="B19" s="82">
        <v>-0.40299999713897705</v>
      </c>
      <c r="D19" s="86">
        <v>-0.17160092000000002</v>
      </c>
      <c r="E19" s="80">
        <v>0.0008772607061710584</v>
      </c>
      <c r="F19" s="80">
        <v>0.007636948299999999</v>
      </c>
      <c r="G19" s="80">
        <v>0.0014374206496927272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7" t="s">
        <v>41</v>
      </c>
      <c r="B20" s="87">
        <v>-0.0955295</v>
      </c>
      <c r="D20" s="88">
        <v>-0.0108604815</v>
      </c>
      <c r="E20" s="89">
        <v>0.0010160540572320994</v>
      </c>
      <c r="F20" s="89">
        <v>0.000658044127</v>
      </c>
      <c r="G20" s="89">
        <v>0.0009694021470683399</v>
      </c>
      <c r="H20" s="90">
        <v>15</v>
      </c>
      <c r="I20" s="89">
        <v>0</v>
      </c>
      <c r="J20" s="89">
        <v>0</v>
      </c>
      <c r="K20" s="89">
        <v>0</v>
      </c>
      <c r="L20" s="89">
        <v>0</v>
      </c>
      <c r="M20" s="89">
        <v>0.05</v>
      </c>
      <c r="N20" s="91">
        <v>0.05</v>
      </c>
    </row>
    <row r="21" spans="1:6" ht="15" customHeight="1">
      <c r="A21" s="57" t="s">
        <v>42</v>
      </c>
      <c r="B21" s="87">
        <v>0.7681204000000001</v>
      </c>
      <c r="F21" s="3" t="s">
        <v>65</v>
      </c>
    </row>
    <row r="22" spans="1:6" ht="15" customHeight="1">
      <c r="A22" s="57" t="s">
        <v>43</v>
      </c>
      <c r="B22" s="72" t="s">
        <v>44</v>
      </c>
      <c r="F22" s="3" t="s">
        <v>66</v>
      </c>
    </row>
    <row r="23" spans="1:2" ht="15" customHeight="1" thickBot="1">
      <c r="A23" s="92" t="s">
        <v>45</v>
      </c>
      <c r="B23" s="93">
        <v>15</v>
      </c>
    </row>
    <row r="24" spans="1:12" ht="18" customHeight="1" thickBot="1" thickTop="1">
      <c r="A24" s="94" t="s">
        <v>67</v>
      </c>
      <c r="B24" s="95">
        <v>0.2901159807613342</v>
      </c>
      <c r="E24" s="96"/>
      <c r="F24" s="97"/>
      <c r="G24" s="98" t="s">
        <v>46</v>
      </c>
      <c r="H24" s="97"/>
      <c r="I24" s="97"/>
      <c r="J24" s="97"/>
      <c r="K24" s="97"/>
      <c r="L24" s="99"/>
    </row>
    <row r="25" spans="1:12" ht="18" customHeight="1">
      <c r="A25" s="45" t="s">
        <v>47</v>
      </c>
      <c r="B25" s="46">
        <v>10</v>
      </c>
      <c r="E25" s="100" t="s">
        <v>48</v>
      </c>
      <c r="F25" s="101"/>
      <c r="G25" s="102"/>
      <c r="H25" s="103">
        <v>-3.7570094999999997</v>
      </c>
      <c r="I25" s="101" t="s">
        <v>49</v>
      </c>
      <c r="J25" s="102"/>
      <c r="K25" s="101"/>
      <c r="L25" s="104">
        <v>4.8968187275818655</v>
      </c>
    </row>
    <row r="26" spans="1:12" ht="18" customHeight="1" thickBot="1">
      <c r="A26" s="57" t="s">
        <v>50</v>
      </c>
      <c r="B26" s="58" t="s">
        <v>51</v>
      </c>
      <c r="E26" s="105" t="s">
        <v>52</v>
      </c>
      <c r="F26" s="106"/>
      <c r="G26" s="107"/>
      <c r="H26" s="108">
        <v>7.639593429733671</v>
      </c>
      <c r="I26" s="106" t="s">
        <v>53</v>
      </c>
      <c r="J26" s="107"/>
      <c r="K26" s="106"/>
      <c r="L26" s="109">
        <v>0.036576465093601074</v>
      </c>
    </row>
    <row r="27" spans="1:2" ht="15" customHeight="1" thickBot="1" thickTop="1">
      <c r="A27" s="92" t="s">
        <v>54</v>
      </c>
      <c r="B27" s="93">
        <v>80</v>
      </c>
    </row>
    <row r="28" spans="1:14" s="2" customFormat="1" ht="18" customHeight="1" thickBot="1">
      <c r="A28" s="110" t="s">
        <v>55</v>
      </c>
      <c r="B28" s="111"/>
      <c r="C28" s="111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3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HCMQAP093_pos3ap2res</oddHeader>
    <oddFooter>&amp;L&amp;"Times New Roman,bold"CEA/DSM/DAPNIA/STCM &amp;C&amp;D&amp;RLHCQ2 - Mesures Magnétiques à Chaud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5" t="s">
        <v>12</v>
      </c>
      <c r="B1" s="46">
        <v>91</v>
      </c>
      <c r="D1" s="47" t="s">
        <v>13</v>
      </c>
      <c r="E1" s="48"/>
      <c r="F1" s="48"/>
      <c r="G1" s="48"/>
      <c r="H1" s="48"/>
      <c r="I1" s="48"/>
      <c r="J1" s="48"/>
      <c r="K1" s="48"/>
      <c r="L1" s="48"/>
      <c r="M1" s="48"/>
      <c r="N1" s="49"/>
    </row>
    <row r="2" spans="1:14" ht="15" customHeight="1">
      <c r="A2" s="50" t="s">
        <v>14</v>
      </c>
      <c r="B2" s="51" t="s">
        <v>15</v>
      </c>
      <c r="D2" s="52" t="s">
        <v>56</v>
      </c>
      <c r="E2" s="53"/>
      <c r="F2" s="53"/>
      <c r="G2" s="53"/>
      <c r="H2" s="53"/>
      <c r="I2" s="53"/>
      <c r="J2" s="54"/>
      <c r="K2" s="55">
        <v>-3.3773319399999996E-05</v>
      </c>
      <c r="L2" s="55">
        <v>1.6422574147926907E-07</v>
      </c>
      <c r="M2" s="55">
        <v>0.000102187481</v>
      </c>
      <c r="N2" s="56">
        <v>1.407697114258628E-07</v>
      </c>
    </row>
    <row r="3" spans="1:14" ht="15" customHeight="1">
      <c r="A3" s="57" t="s">
        <v>16</v>
      </c>
      <c r="B3" s="58">
        <v>2</v>
      </c>
      <c r="D3" s="52" t="s">
        <v>57</v>
      </c>
      <c r="E3" s="53"/>
      <c r="F3" s="53"/>
      <c r="G3" s="53"/>
      <c r="H3" s="53"/>
      <c r="I3" s="53"/>
      <c r="J3" s="54"/>
      <c r="K3" s="55">
        <v>-3.11890966E-05</v>
      </c>
      <c r="L3" s="55">
        <v>6.532035930254034E-08</v>
      </c>
      <c r="M3" s="55">
        <v>9.754839000000002E-06</v>
      </c>
      <c r="N3" s="56">
        <v>1.5434500929412253E-07</v>
      </c>
    </row>
    <row r="4" spans="1:14" ht="15" customHeight="1">
      <c r="A4" s="57" t="s">
        <v>17</v>
      </c>
      <c r="B4" s="58">
        <v>2</v>
      </c>
      <c r="D4" s="52" t="s">
        <v>58</v>
      </c>
      <c r="E4" s="53"/>
      <c r="F4" s="53"/>
      <c r="G4" s="53"/>
      <c r="H4" s="53"/>
      <c r="I4" s="53"/>
      <c r="J4" s="54"/>
      <c r="K4" s="55">
        <v>-0.0020877922755155828</v>
      </c>
      <c r="L4" s="55">
        <v>-2.7034425585837685E-05</v>
      </c>
      <c r="M4" s="55">
        <v>3.16205530467515E-08</v>
      </c>
      <c r="N4" s="56">
        <v>6.4740432</v>
      </c>
    </row>
    <row r="5" spans="1:14" ht="15" customHeight="1" thickBot="1">
      <c r="A5" t="s">
        <v>18</v>
      </c>
      <c r="B5" s="59">
        <v>37890.32849537037</v>
      </c>
      <c r="D5" s="60"/>
      <c r="E5" s="61" t="s">
        <v>78</v>
      </c>
      <c r="F5" s="62"/>
      <c r="G5" s="62"/>
      <c r="H5" s="62"/>
      <c r="I5" s="62"/>
      <c r="J5" s="62"/>
      <c r="K5" s="62"/>
      <c r="L5" s="62"/>
      <c r="M5" s="62"/>
      <c r="N5" s="63"/>
    </row>
    <row r="6" spans="1:14" ht="15" customHeight="1" thickTop="1">
      <c r="A6" s="57" t="s">
        <v>19</v>
      </c>
      <c r="B6" s="58">
        <v>2312</v>
      </c>
      <c r="D6" s="64"/>
      <c r="E6" s="65" t="s">
        <v>20</v>
      </c>
      <c r="F6" s="66"/>
      <c r="G6" s="67"/>
      <c r="H6" s="68" t="s">
        <v>21</v>
      </c>
      <c r="I6" s="69"/>
      <c r="J6" s="66"/>
      <c r="K6" s="70" t="s">
        <v>60</v>
      </c>
      <c r="L6" s="53"/>
      <c r="M6" s="53"/>
      <c r="N6" s="71"/>
    </row>
    <row r="7" spans="1:14" ht="15" customHeight="1" thickBot="1">
      <c r="A7" s="57" t="s">
        <v>22</v>
      </c>
      <c r="B7" s="72" t="s">
        <v>23</v>
      </c>
      <c r="D7" s="73" t="s">
        <v>61</v>
      </c>
      <c r="E7" s="74" t="s">
        <v>62</v>
      </c>
      <c r="F7" s="75" t="s">
        <v>63</v>
      </c>
      <c r="G7" s="74" t="s">
        <v>64</v>
      </c>
      <c r="H7" s="76"/>
      <c r="I7" s="167" t="s">
        <v>24</v>
      </c>
      <c r="J7" s="168"/>
      <c r="K7" s="167" t="s">
        <v>25</v>
      </c>
      <c r="L7" s="168"/>
      <c r="M7" s="167" t="s">
        <v>26</v>
      </c>
      <c r="N7" s="169"/>
    </row>
    <row r="8" spans="1:14" ht="15" customHeight="1">
      <c r="A8" s="57" t="s">
        <v>27</v>
      </c>
      <c r="B8" s="72" t="s">
        <v>28</v>
      </c>
      <c r="D8" s="77">
        <v>-1.9715055</v>
      </c>
      <c r="E8" s="78">
        <v>0.022046909304940833</v>
      </c>
      <c r="F8" s="116">
        <v>8.597972799999999</v>
      </c>
      <c r="G8" s="78">
        <v>0.029249908715365227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7" t="s">
        <v>29</v>
      </c>
      <c r="B9" s="82">
        <v>0.017</v>
      </c>
      <c r="D9" s="86">
        <v>-3.2994748</v>
      </c>
      <c r="E9" s="80">
        <v>0.04674870516025135</v>
      </c>
      <c r="F9" s="80">
        <v>0.16692738000000001</v>
      </c>
      <c r="G9" s="80">
        <v>0.060061970893807694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7" t="s">
        <v>30</v>
      </c>
      <c r="B10" s="72" t="s">
        <v>31</v>
      </c>
      <c r="D10" s="83">
        <v>2.2451846200000003</v>
      </c>
      <c r="E10" s="80">
        <v>0.017999662357866358</v>
      </c>
      <c r="F10" s="114">
        <v>-7.669623999999999</v>
      </c>
      <c r="G10" s="80">
        <v>0.005813119585720366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7" t="s">
        <v>32</v>
      </c>
      <c r="B11" s="58">
        <v>5</v>
      </c>
      <c r="D11" s="115">
        <v>15.035993</v>
      </c>
      <c r="E11" s="78">
        <v>0.009709980741154504</v>
      </c>
      <c r="F11" s="116">
        <v>2.0084478</v>
      </c>
      <c r="G11" s="78">
        <v>0.013251121811388133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7" t="s">
        <v>33</v>
      </c>
      <c r="B12" s="84">
        <v>0.7499</v>
      </c>
      <c r="D12" s="86">
        <v>-0.6480102999999999</v>
      </c>
      <c r="E12" s="80">
        <v>0.0041393903554805865</v>
      </c>
      <c r="F12" s="80">
        <v>0.2549031</v>
      </c>
      <c r="G12" s="80">
        <v>0.011902396343132159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7" t="s">
        <v>34</v>
      </c>
      <c r="B13" s="82">
        <v>20.657349</v>
      </c>
      <c r="D13" s="83">
        <v>-0.27138536</v>
      </c>
      <c r="E13" s="80">
        <v>0.006141956596834291</v>
      </c>
      <c r="F13" s="80">
        <v>-0.22689395</v>
      </c>
      <c r="G13" s="80">
        <v>0.004326879704821936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50" t="s">
        <v>35</v>
      </c>
      <c r="B14" s="85">
        <v>12.5</v>
      </c>
      <c r="D14" s="83">
        <v>-0.094100882</v>
      </c>
      <c r="E14" s="80">
        <v>0.0018668240628128825</v>
      </c>
      <c r="F14" s="80">
        <v>0.26523112000000004</v>
      </c>
      <c r="G14" s="80">
        <v>0.004998214550775809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7" t="s">
        <v>36</v>
      </c>
      <c r="B15" s="82">
        <v>0</v>
      </c>
      <c r="D15" s="77">
        <v>-0.36751433999999994</v>
      </c>
      <c r="E15" s="78">
        <v>0.003968133185068441</v>
      </c>
      <c r="F15" s="78">
        <v>0.13182697000000002</v>
      </c>
      <c r="G15" s="78">
        <v>0.003016255586583726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7" t="s">
        <v>37</v>
      </c>
      <c r="B16" s="82">
        <v>12.506</v>
      </c>
      <c r="D16" s="83">
        <v>-0.013688948399999998</v>
      </c>
      <c r="E16" s="80">
        <v>0.0026279156335651606</v>
      </c>
      <c r="F16" s="80">
        <v>-0.032732129</v>
      </c>
      <c r="G16" s="80">
        <v>0.0015049300437376002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7" t="s">
        <v>38</v>
      </c>
      <c r="B17" s="82">
        <v>-0.17599999904632568</v>
      </c>
      <c r="D17" s="83">
        <v>0.048114192</v>
      </c>
      <c r="E17" s="80">
        <v>0.005029491550204278</v>
      </c>
      <c r="F17" s="80">
        <v>0.0365737182</v>
      </c>
      <c r="G17" s="80">
        <v>0.0037041501349734563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7" t="s">
        <v>39</v>
      </c>
      <c r="B18" s="82">
        <v>126.13899993896484</v>
      </c>
      <c r="D18" s="83">
        <v>-0.076863571</v>
      </c>
      <c r="E18" s="80">
        <v>0.002800882603111592</v>
      </c>
      <c r="F18" s="80">
        <v>0.10229011000000002</v>
      </c>
      <c r="G18" s="80">
        <v>0.0010617406138350616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7" t="s">
        <v>40</v>
      </c>
      <c r="B19" s="82">
        <v>-0.3880000114440918</v>
      </c>
      <c r="D19" s="83">
        <v>-0.13439817</v>
      </c>
      <c r="E19" s="80">
        <v>0.0014441069134942795</v>
      </c>
      <c r="F19" s="80">
        <v>-0.034785437</v>
      </c>
      <c r="G19" s="80">
        <v>0.001140847587868732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7" t="s">
        <v>41</v>
      </c>
      <c r="B20" s="87">
        <v>-0.28575</v>
      </c>
      <c r="D20" s="88">
        <v>0.0018380594</v>
      </c>
      <c r="E20" s="89">
        <v>0.0019141987569075978</v>
      </c>
      <c r="F20" s="89">
        <v>-0.00038228436</v>
      </c>
      <c r="G20" s="89">
        <v>0.0014911099167589012</v>
      </c>
      <c r="H20" s="90">
        <v>15</v>
      </c>
      <c r="I20" s="89">
        <v>0</v>
      </c>
      <c r="J20" s="89">
        <v>0</v>
      </c>
      <c r="K20" s="89">
        <v>0</v>
      </c>
      <c r="L20" s="89">
        <v>0</v>
      </c>
      <c r="M20" s="89">
        <v>0.05</v>
      </c>
      <c r="N20" s="91">
        <v>0.05</v>
      </c>
    </row>
    <row r="21" spans="1:6" ht="15" customHeight="1">
      <c r="A21" s="57" t="s">
        <v>42</v>
      </c>
      <c r="B21" s="87">
        <v>0.8283643000000002</v>
      </c>
      <c r="F21" s="3" t="s">
        <v>65</v>
      </c>
    </row>
    <row r="22" spans="1:6" ht="15" customHeight="1">
      <c r="A22" s="57" t="s">
        <v>43</v>
      </c>
      <c r="B22" s="72" t="s">
        <v>44</v>
      </c>
      <c r="F22" s="3" t="s">
        <v>66</v>
      </c>
    </row>
    <row r="23" spans="1:2" ht="15" customHeight="1" thickBot="1">
      <c r="A23" s="92" t="s">
        <v>45</v>
      </c>
      <c r="B23" s="93">
        <v>15</v>
      </c>
    </row>
    <row r="24" spans="1:12" ht="18" customHeight="1" thickBot="1" thickTop="1">
      <c r="A24" s="94" t="s">
        <v>67</v>
      </c>
      <c r="B24" s="95">
        <v>0.3709356650613224</v>
      </c>
      <c r="E24" s="96"/>
      <c r="F24" s="97"/>
      <c r="G24" s="98" t="s">
        <v>46</v>
      </c>
      <c r="H24" s="97"/>
      <c r="I24" s="97"/>
      <c r="J24" s="97"/>
      <c r="K24" s="97"/>
      <c r="L24" s="99"/>
    </row>
    <row r="25" spans="1:12" ht="18" customHeight="1">
      <c r="A25" s="45" t="s">
        <v>47</v>
      </c>
      <c r="B25" s="46">
        <v>10</v>
      </c>
      <c r="E25" s="100" t="s">
        <v>48</v>
      </c>
      <c r="F25" s="101"/>
      <c r="G25" s="102"/>
      <c r="H25" s="103">
        <v>-2.0879673000000003</v>
      </c>
      <c r="I25" s="101" t="s">
        <v>49</v>
      </c>
      <c r="J25" s="102"/>
      <c r="K25" s="101"/>
      <c r="L25" s="104">
        <v>15.169540140075895</v>
      </c>
    </row>
    <row r="26" spans="1:12" ht="18" customHeight="1" thickBot="1">
      <c r="A26" s="57" t="s">
        <v>50</v>
      </c>
      <c r="B26" s="58" t="s">
        <v>51</v>
      </c>
      <c r="E26" s="105" t="s">
        <v>52</v>
      </c>
      <c r="F26" s="106"/>
      <c r="G26" s="107"/>
      <c r="H26" s="108">
        <v>8.82110935234736</v>
      </c>
      <c r="I26" s="106" t="s">
        <v>53</v>
      </c>
      <c r="J26" s="107"/>
      <c r="K26" s="106"/>
      <c r="L26" s="109">
        <v>0.39044223660487404</v>
      </c>
    </row>
    <row r="27" spans="1:2" ht="15" customHeight="1" thickBot="1" thickTop="1">
      <c r="A27" s="92" t="s">
        <v>54</v>
      </c>
      <c r="B27" s="93">
        <v>80</v>
      </c>
    </row>
    <row r="28" spans="1:14" s="2" customFormat="1" ht="18" customHeight="1" thickBot="1">
      <c r="A28" s="110" t="s">
        <v>55</v>
      </c>
      <c r="B28" s="111"/>
      <c r="C28" s="111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3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HCMQAP093_pos5ap2res</oddHeader>
    <oddFooter>&amp;L&amp;"Times New Roman,bold"CEA/DSM/DAPNIA/STCM &amp;C&amp;D&amp;RLHCQ2 - Mesures Magnétiques à Chaud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5" t="s">
        <v>12</v>
      </c>
      <c r="B1" s="46">
        <v>91</v>
      </c>
      <c r="D1" s="47" t="s">
        <v>13</v>
      </c>
      <c r="E1" s="48"/>
      <c r="F1" s="48"/>
      <c r="G1" s="48"/>
      <c r="H1" s="48"/>
      <c r="I1" s="48"/>
      <c r="J1" s="48"/>
      <c r="K1" s="48"/>
      <c r="L1" s="48"/>
      <c r="M1" s="48"/>
      <c r="N1" s="49"/>
    </row>
    <row r="2" spans="1:14" ht="15" customHeight="1">
      <c r="A2" s="50" t="s">
        <v>14</v>
      </c>
      <c r="B2" s="51" t="s">
        <v>15</v>
      </c>
      <c r="D2" s="52" t="s">
        <v>56</v>
      </c>
      <c r="E2" s="53"/>
      <c r="F2" s="53"/>
      <c r="G2" s="53"/>
      <c r="H2" s="53"/>
      <c r="I2" s="53"/>
      <c r="J2" s="54"/>
      <c r="K2" s="55">
        <v>4.1819917E-05</v>
      </c>
      <c r="L2" s="55">
        <v>1.5335111941543895E-07</v>
      </c>
      <c r="M2" s="55">
        <v>0.00016014845</v>
      </c>
      <c r="N2" s="56">
        <v>1.991867942490899E-07</v>
      </c>
    </row>
    <row r="3" spans="1:14" ht="15" customHeight="1">
      <c r="A3" s="57" t="s">
        <v>16</v>
      </c>
      <c r="B3" s="58">
        <v>2</v>
      </c>
      <c r="D3" s="52" t="s">
        <v>57</v>
      </c>
      <c r="E3" s="53"/>
      <c r="F3" s="53"/>
      <c r="G3" s="53"/>
      <c r="H3" s="53"/>
      <c r="I3" s="53"/>
      <c r="J3" s="54"/>
      <c r="K3" s="55">
        <v>-2.9124255000000002E-05</v>
      </c>
      <c r="L3" s="55">
        <v>1.0324356875803116E-07</v>
      </c>
      <c r="M3" s="55">
        <v>1.0411569999999997E-05</v>
      </c>
      <c r="N3" s="56">
        <v>1.5632547009361461E-07</v>
      </c>
    </row>
    <row r="4" spans="1:14" ht="15" customHeight="1">
      <c r="A4" s="57" t="s">
        <v>17</v>
      </c>
      <c r="B4" s="58">
        <v>2</v>
      </c>
      <c r="D4" s="52" t="s">
        <v>58</v>
      </c>
      <c r="E4" s="53"/>
      <c r="F4" s="53"/>
      <c r="G4" s="53"/>
      <c r="H4" s="53"/>
      <c r="I4" s="53"/>
      <c r="J4" s="54"/>
      <c r="K4" s="55">
        <v>-0.00375749320274047</v>
      </c>
      <c r="L4" s="55">
        <v>-4.623931202403358E-05</v>
      </c>
      <c r="M4" s="55">
        <v>8.499034178250252E-08</v>
      </c>
      <c r="N4" s="56">
        <v>6.1526363</v>
      </c>
    </row>
    <row r="5" spans="1:14" ht="15" customHeight="1" thickBot="1">
      <c r="A5" t="s">
        <v>18</v>
      </c>
      <c r="B5" s="59">
        <v>37890.324016203704</v>
      </c>
      <c r="D5" s="60"/>
      <c r="E5" s="61" t="s">
        <v>59</v>
      </c>
      <c r="F5" s="62"/>
      <c r="G5" s="62"/>
      <c r="H5" s="62"/>
      <c r="I5" s="62"/>
      <c r="J5" s="62"/>
      <c r="K5" s="62"/>
      <c r="L5" s="62"/>
      <c r="M5" s="62"/>
      <c r="N5" s="63"/>
    </row>
    <row r="6" spans="1:14" ht="15" customHeight="1" thickTop="1">
      <c r="A6" s="57" t="s">
        <v>19</v>
      </c>
      <c r="B6" s="58">
        <v>2312</v>
      </c>
      <c r="D6" s="64"/>
      <c r="E6" s="65" t="s">
        <v>20</v>
      </c>
      <c r="F6" s="66"/>
      <c r="G6" s="67"/>
      <c r="H6" s="68" t="s">
        <v>21</v>
      </c>
      <c r="I6" s="69"/>
      <c r="J6" s="66"/>
      <c r="K6" s="70" t="s">
        <v>60</v>
      </c>
      <c r="L6" s="53"/>
      <c r="M6" s="53"/>
      <c r="N6" s="71"/>
    </row>
    <row r="7" spans="1:14" ht="15" customHeight="1" thickBot="1">
      <c r="A7" s="57" t="s">
        <v>22</v>
      </c>
      <c r="B7" s="72" t="s">
        <v>23</v>
      </c>
      <c r="D7" s="73" t="s">
        <v>61</v>
      </c>
      <c r="E7" s="74" t="s">
        <v>62</v>
      </c>
      <c r="F7" s="75" t="s">
        <v>63</v>
      </c>
      <c r="G7" s="74" t="s">
        <v>64</v>
      </c>
      <c r="H7" s="76"/>
      <c r="I7" s="167" t="s">
        <v>24</v>
      </c>
      <c r="J7" s="168"/>
      <c r="K7" s="167" t="s">
        <v>25</v>
      </c>
      <c r="L7" s="168"/>
      <c r="M7" s="167" t="s">
        <v>26</v>
      </c>
      <c r="N7" s="169"/>
    </row>
    <row r="8" spans="1:14" ht="15" customHeight="1">
      <c r="A8" s="57" t="s">
        <v>27</v>
      </c>
      <c r="B8" s="72" t="s">
        <v>28</v>
      </c>
      <c r="D8" s="77">
        <v>-4.0180579000000005</v>
      </c>
      <c r="E8" s="78">
        <v>0.013099602201540547</v>
      </c>
      <c r="F8" s="78">
        <v>3.0034801</v>
      </c>
      <c r="G8" s="78">
        <v>0.011170960000791574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7" t="s">
        <v>29</v>
      </c>
      <c r="B9" s="82">
        <v>0.017</v>
      </c>
      <c r="D9" s="83">
        <v>-0.40959793000000005</v>
      </c>
      <c r="E9" s="80">
        <v>0.012213151775466858</v>
      </c>
      <c r="F9" s="80">
        <v>-0.48757424</v>
      </c>
      <c r="G9" s="80">
        <v>0.050234540711042504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7" t="s">
        <v>30</v>
      </c>
      <c r="B10" s="72" t="s">
        <v>31</v>
      </c>
      <c r="D10" s="83">
        <v>0.6311428</v>
      </c>
      <c r="E10" s="80">
        <v>0.009901769111123117</v>
      </c>
      <c r="F10" s="80">
        <v>-1.4514266</v>
      </c>
      <c r="G10" s="80">
        <v>0.006929131874910413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7" t="s">
        <v>32</v>
      </c>
      <c r="B11" s="58">
        <v>4</v>
      </c>
      <c r="D11" s="77">
        <v>4.8635147</v>
      </c>
      <c r="E11" s="78">
        <v>0.007048958196853475</v>
      </c>
      <c r="F11" s="78">
        <v>-0.44122104</v>
      </c>
      <c r="G11" s="78">
        <v>0.006213644424442296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7" t="s">
        <v>33</v>
      </c>
      <c r="B12" s="84">
        <v>0.7499</v>
      </c>
      <c r="D12" s="83">
        <v>-0.17273218000000004</v>
      </c>
      <c r="E12" s="80">
        <v>0.003405583754158049</v>
      </c>
      <c r="F12" s="80">
        <v>0.057289557000000005</v>
      </c>
      <c r="G12" s="80">
        <v>0.0028978814027778616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7" t="s">
        <v>34</v>
      </c>
      <c r="B13" s="82">
        <v>20.529175</v>
      </c>
      <c r="D13" s="83">
        <v>-0.098773838</v>
      </c>
      <c r="E13" s="80">
        <v>0.0016206514259040053</v>
      </c>
      <c r="F13" s="80">
        <v>-0.14387017000000002</v>
      </c>
      <c r="G13" s="80">
        <v>0.0023777958446002455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50" t="s">
        <v>35</v>
      </c>
      <c r="B14" s="85">
        <v>12.5</v>
      </c>
      <c r="D14" s="83">
        <v>-0.0047897359</v>
      </c>
      <c r="E14" s="80">
        <v>0.0026069637478467822</v>
      </c>
      <c r="F14" s="80">
        <v>-0.042202008</v>
      </c>
      <c r="G14" s="80">
        <v>0.00264198563650447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7" t="s">
        <v>36</v>
      </c>
      <c r="B15" s="82">
        <v>0</v>
      </c>
      <c r="D15" s="77">
        <v>-0.08582083100000001</v>
      </c>
      <c r="E15" s="78">
        <v>0.0018308756102676012</v>
      </c>
      <c r="F15" s="78">
        <v>-0.07883607299999999</v>
      </c>
      <c r="G15" s="78">
        <v>0.0015675126192145146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7" t="s">
        <v>37</v>
      </c>
      <c r="B16" s="82">
        <v>12.506</v>
      </c>
      <c r="D16" s="83">
        <v>-0.00014568144</v>
      </c>
      <c r="E16" s="80">
        <v>0.0021226597942542265</v>
      </c>
      <c r="F16" s="80">
        <v>-0.024823897</v>
      </c>
      <c r="G16" s="80">
        <v>0.0009155238718602082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7" t="s">
        <v>38</v>
      </c>
      <c r="B17" s="82">
        <v>0.3790000081062317</v>
      </c>
      <c r="D17" s="83">
        <v>0.061879079000000003</v>
      </c>
      <c r="E17" s="80">
        <v>0.0011376760435175069</v>
      </c>
      <c r="F17" s="80">
        <v>-0.044076871000000004</v>
      </c>
      <c r="G17" s="80">
        <v>0.0023538120628831764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7" t="s">
        <v>39</v>
      </c>
      <c r="B18" s="82">
        <v>26.957000732421875</v>
      </c>
      <c r="D18" s="83">
        <v>0.013871765099999999</v>
      </c>
      <c r="E18" s="80">
        <v>0.0009538824461491449</v>
      </c>
      <c r="F18" s="80">
        <v>0.11094213000000001</v>
      </c>
      <c r="G18" s="80">
        <v>0.000972110344865231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7" t="s">
        <v>40</v>
      </c>
      <c r="B19" s="82">
        <v>0.10700000077486038</v>
      </c>
      <c r="D19" s="86">
        <v>-0.17190738</v>
      </c>
      <c r="E19" s="80">
        <v>0.0013254201230539235</v>
      </c>
      <c r="F19" s="80">
        <v>-0.008248292700000001</v>
      </c>
      <c r="G19" s="80">
        <v>0.001347564690097598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7" t="s">
        <v>41</v>
      </c>
      <c r="B20" s="87">
        <v>0.18024880000000001</v>
      </c>
      <c r="D20" s="88">
        <v>-0.0031717186000000002</v>
      </c>
      <c r="E20" s="89">
        <v>0.0005496373961958349</v>
      </c>
      <c r="F20" s="89">
        <v>-0.00029777375999999993</v>
      </c>
      <c r="G20" s="89">
        <v>0.0011135111492897368</v>
      </c>
      <c r="H20" s="90">
        <v>15</v>
      </c>
      <c r="I20" s="89">
        <v>0</v>
      </c>
      <c r="J20" s="89">
        <v>0</v>
      </c>
      <c r="K20" s="89">
        <v>0</v>
      </c>
      <c r="L20" s="89">
        <v>0</v>
      </c>
      <c r="M20" s="89">
        <v>0.05</v>
      </c>
      <c r="N20" s="91">
        <v>0.05</v>
      </c>
    </row>
    <row r="21" spans="1:6" ht="15" customHeight="1">
      <c r="A21" s="57" t="s">
        <v>42</v>
      </c>
      <c r="B21" s="87">
        <v>0.7267762</v>
      </c>
      <c r="F21" s="3" t="s">
        <v>65</v>
      </c>
    </row>
    <row r="22" spans="1:6" ht="15" customHeight="1">
      <c r="A22" s="57" t="s">
        <v>43</v>
      </c>
      <c r="B22" s="72" t="s">
        <v>44</v>
      </c>
      <c r="F22" s="3" t="s">
        <v>66</v>
      </c>
    </row>
    <row r="23" spans="1:2" ht="15" customHeight="1" thickBot="1">
      <c r="A23" s="92" t="s">
        <v>45</v>
      </c>
      <c r="B23" s="93">
        <v>15</v>
      </c>
    </row>
    <row r="24" spans="1:12" ht="18" customHeight="1" thickBot="1" thickTop="1">
      <c r="A24" s="94" t="s">
        <v>67</v>
      </c>
      <c r="B24" s="95">
        <v>0.3525203906302223</v>
      </c>
      <c r="E24" s="96"/>
      <c r="F24" s="97"/>
      <c r="G24" s="98" t="s">
        <v>46</v>
      </c>
      <c r="H24" s="97"/>
      <c r="I24" s="97"/>
      <c r="J24" s="97"/>
      <c r="K24" s="97"/>
      <c r="L24" s="99"/>
    </row>
    <row r="25" spans="1:12" ht="18" customHeight="1">
      <c r="A25" s="45" t="s">
        <v>47</v>
      </c>
      <c r="B25" s="46">
        <v>10</v>
      </c>
      <c r="E25" s="100" t="s">
        <v>48</v>
      </c>
      <c r="F25" s="101"/>
      <c r="G25" s="102"/>
      <c r="H25" s="103">
        <v>-3.7577777</v>
      </c>
      <c r="I25" s="101" t="s">
        <v>49</v>
      </c>
      <c r="J25" s="102"/>
      <c r="K25" s="101"/>
      <c r="L25" s="104">
        <v>4.883487610637992</v>
      </c>
    </row>
    <row r="26" spans="1:12" ht="18" customHeight="1" thickBot="1">
      <c r="A26" s="57" t="s">
        <v>50</v>
      </c>
      <c r="B26" s="58" t="s">
        <v>51</v>
      </c>
      <c r="E26" s="105" t="s">
        <v>52</v>
      </c>
      <c r="F26" s="106"/>
      <c r="G26" s="107"/>
      <c r="H26" s="108">
        <v>5.01654083994623</v>
      </c>
      <c r="I26" s="106" t="s">
        <v>53</v>
      </c>
      <c r="J26" s="107"/>
      <c r="K26" s="106"/>
      <c r="L26" s="109">
        <v>0.11653472203421558</v>
      </c>
    </row>
    <row r="27" spans="1:2" ht="15" customHeight="1" thickBot="1" thickTop="1">
      <c r="A27" s="92" t="s">
        <v>54</v>
      </c>
      <c r="B27" s="93">
        <v>80</v>
      </c>
    </row>
    <row r="28" spans="1:14" s="2" customFormat="1" ht="18" customHeight="1" thickBot="1">
      <c r="A28" s="110" t="s">
        <v>55</v>
      </c>
      <c r="B28" s="111"/>
      <c r="C28" s="111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3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HCMQAP093_pos4ap2res</oddHeader>
    <oddFooter>&amp;L&amp;"Times New Roman,bold"CEA/DSM/DAPNIA/STCM &amp;C&amp;D&amp;RLHCQ2 - Mesures Magnétiques à Chaud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35"/>
  <sheetViews>
    <sheetView workbookViewId="0" topLeftCell="A1">
      <selection activeCell="A1" sqref="A1"/>
    </sheetView>
  </sheetViews>
  <sheetFormatPr defaultColWidth="9.33203125" defaultRowHeight="12.75"/>
  <cols>
    <col min="1" max="1" width="17.83203125" style="0" customWidth="1"/>
    <col min="2" max="6" width="12.83203125" style="0" customWidth="1"/>
    <col min="7" max="7" width="14.83203125" style="0" customWidth="1"/>
    <col min="8" max="16384" width="12" style="0" customWidth="1"/>
  </cols>
  <sheetData>
    <row r="1" spans="1:7" ht="13.5" thickTop="1">
      <c r="A1" s="139" t="s">
        <v>120</v>
      </c>
      <c r="B1" s="131" t="s">
        <v>73</v>
      </c>
      <c r="C1" s="121" t="s">
        <v>68</v>
      </c>
      <c r="D1" s="121" t="s">
        <v>76</v>
      </c>
      <c r="E1" s="121" t="s">
        <v>81</v>
      </c>
      <c r="F1" s="128" t="s">
        <v>79</v>
      </c>
      <c r="G1" s="164" t="s">
        <v>121</v>
      </c>
    </row>
    <row r="2" spans="1:7" ht="13.5" thickBot="1">
      <c r="A2" s="140" t="s">
        <v>90</v>
      </c>
      <c r="B2" s="132">
        <v>-2.2577324</v>
      </c>
      <c r="C2" s="123">
        <v>-3.7580731</v>
      </c>
      <c r="D2" s="123">
        <v>-3.7570094999999997</v>
      </c>
      <c r="E2" s="123">
        <v>-3.7577777</v>
      </c>
      <c r="F2" s="129">
        <v>-2.0879673000000003</v>
      </c>
      <c r="G2" s="165">
        <v>3.116961755660185</v>
      </c>
    </row>
    <row r="3" spans="1:7" ht="14.25" thickBot="1" thickTop="1">
      <c r="A3" s="149" t="s">
        <v>89</v>
      </c>
      <c r="B3" s="150" t="s">
        <v>84</v>
      </c>
      <c r="C3" s="151" t="s">
        <v>85</v>
      </c>
      <c r="D3" s="151" t="s">
        <v>86</v>
      </c>
      <c r="E3" s="151" t="s">
        <v>87</v>
      </c>
      <c r="F3" s="152" t="s">
        <v>88</v>
      </c>
      <c r="G3" s="159" t="s">
        <v>122</v>
      </c>
    </row>
    <row r="4" spans="1:7" ht="12.75">
      <c r="A4" s="145" t="s">
        <v>91</v>
      </c>
      <c r="B4" s="146">
        <v>-0.066422063</v>
      </c>
      <c r="C4" s="147">
        <v>-1.9401217</v>
      </c>
      <c r="D4" s="148">
        <v>-7.470045799999999</v>
      </c>
      <c r="E4" s="147">
        <v>-4.0180579000000005</v>
      </c>
      <c r="F4" s="153">
        <v>-1.9715055</v>
      </c>
      <c r="G4" s="160">
        <v>-3.5036215144635796</v>
      </c>
    </row>
    <row r="5" spans="1:7" ht="12.75">
      <c r="A5" s="140" t="s">
        <v>93</v>
      </c>
      <c r="B5" s="134">
        <v>-1.4873851</v>
      </c>
      <c r="C5" s="119">
        <v>-0.42491149000000006</v>
      </c>
      <c r="D5" s="119">
        <v>-0.71320091</v>
      </c>
      <c r="E5" s="119">
        <v>-0.40959793000000005</v>
      </c>
      <c r="F5" s="154">
        <v>-3.2994748</v>
      </c>
      <c r="G5" s="161">
        <v>-1.0284457736929657</v>
      </c>
    </row>
    <row r="6" spans="1:7" ht="12.75">
      <c r="A6" s="140" t="s">
        <v>95</v>
      </c>
      <c r="B6" s="134">
        <v>0.250626697</v>
      </c>
      <c r="C6" s="119">
        <v>0.234752714</v>
      </c>
      <c r="D6" s="119">
        <v>2.2129933</v>
      </c>
      <c r="E6" s="119">
        <v>0.6311428</v>
      </c>
      <c r="F6" s="155">
        <v>2.2451846200000003</v>
      </c>
      <c r="G6" s="161">
        <v>1.0770435388199753</v>
      </c>
    </row>
    <row r="7" spans="1:7" ht="12.75">
      <c r="A7" s="140" t="s">
        <v>97</v>
      </c>
      <c r="B7" s="133">
        <v>3.9709183999999995</v>
      </c>
      <c r="C7" s="117">
        <v>4.4519813</v>
      </c>
      <c r="D7" s="117">
        <v>4.8968167</v>
      </c>
      <c r="E7" s="117">
        <v>4.8635147</v>
      </c>
      <c r="F7" s="156">
        <v>15.035993</v>
      </c>
      <c r="G7" s="161">
        <v>6.003383022931622</v>
      </c>
    </row>
    <row r="8" spans="1:7" ht="12.75">
      <c r="A8" s="140" t="s">
        <v>99</v>
      </c>
      <c r="B8" s="134">
        <v>0.13109550799999997</v>
      </c>
      <c r="C8" s="119">
        <v>0.37064562999999995</v>
      </c>
      <c r="D8" s="119">
        <v>-0.24585642000000002</v>
      </c>
      <c r="E8" s="119">
        <v>-0.17273218000000004</v>
      </c>
      <c r="F8" s="154">
        <v>-0.6480102999999999</v>
      </c>
      <c r="G8" s="161">
        <v>-0.07919465100969322</v>
      </c>
    </row>
    <row r="9" spans="1:7" ht="12.75">
      <c r="A9" s="140" t="s">
        <v>101</v>
      </c>
      <c r="B9" s="134">
        <v>0.16340155000000003</v>
      </c>
      <c r="C9" s="119">
        <v>0.014744163999999999</v>
      </c>
      <c r="D9" s="119">
        <v>0.064754612</v>
      </c>
      <c r="E9" s="119">
        <v>-0.098773838</v>
      </c>
      <c r="F9" s="155">
        <v>-0.27138536</v>
      </c>
      <c r="G9" s="161">
        <v>-0.017300158974330425</v>
      </c>
    </row>
    <row r="10" spans="1:7" ht="12.75">
      <c r="A10" s="140" t="s">
        <v>103</v>
      </c>
      <c r="B10" s="134">
        <v>-0.08211193800000001</v>
      </c>
      <c r="C10" s="119">
        <v>-0.063173355</v>
      </c>
      <c r="D10" s="119">
        <v>0.048213975000000006</v>
      </c>
      <c r="E10" s="119">
        <v>-0.0047897359</v>
      </c>
      <c r="F10" s="155">
        <v>-0.094100882</v>
      </c>
      <c r="G10" s="161">
        <v>-0.029204666376090194</v>
      </c>
    </row>
    <row r="11" spans="1:7" ht="12.75">
      <c r="A11" s="140" t="s">
        <v>105</v>
      </c>
      <c r="B11" s="133">
        <v>-0.48466719999999996</v>
      </c>
      <c r="C11" s="117">
        <v>-0.12385199</v>
      </c>
      <c r="D11" s="117">
        <v>-0.0009633328800000001</v>
      </c>
      <c r="E11" s="117">
        <v>-0.08582083100000001</v>
      </c>
      <c r="F11" s="157">
        <v>-0.36751433999999994</v>
      </c>
      <c r="G11" s="161">
        <v>-0.16987266768305925</v>
      </c>
    </row>
    <row r="12" spans="1:7" ht="12.75">
      <c r="A12" s="140" t="s">
        <v>107</v>
      </c>
      <c r="B12" s="134">
        <v>0.0300065943</v>
      </c>
      <c r="C12" s="119">
        <v>0.025960508</v>
      </c>
      <c r="D12" s="119">
        <v>0.04187265</v>
      </c>
      <c r="E12" s="119">
        <v>-0.00014568144</v>
      </c>
      <c r="F12" s="155">
        <v>-0.013688948399999998</v>
      </c>
      <c r="G12" s="161">
        <v>0.018791410711675845</v>
      </c>
    </row>
    <row r="13" spans="1:7" ht="12.75">
      <c r="A13" s="140" t="s">
        <v>109</v>
      </c>
      <c r="B13" s="135">
        <v>0.16237282</v>
      </c>
      <c r="C13" s="119">
        <v>0.024395766000000003</v>
      </c>
      <c r="D13" s="119">
        <v>0.074599238</v>
      </c>
      <c r="E13" s="119">
        <v>0.061879079000000003</v>
      </c>
      <c r="F13" s="155">
        <v>0.048114192</v>
      </c>
      <c r="G13" s="161">
        <v>0.06860646417693331</v>
      </c>
    </row>
    <row r="14" spans="1:7" ht="12.75">
      <c r="A14" s="140" t="s">
        <v>111</v>
      </c>
      <c r="B14" s="134">
        <v>-0.0004825302</v>
      </c>
      <c r="C14" s="119">
        <v>0.00927512593</v>
      </c>
      <c r="D14" s="119">
        <v>-0.028501624000000003</v>
      </c>
      <c r="E14" s="119">
        <v>0.013871765099999999</v>
      </c>
      <c r="F14" s="155">
        <v>-0.076863571</v>
      </c>
      <c r="G14" s="161">
        <v>-0.011632013975687328</v>
      </c>
    </row>
    <row r="15" spans="1:7" ht="12.75">
      <c r="A15" s="140" t="s">
        <v>113</v>
      </c>
      <c r="B15" s="135">
        <v>-0.17132384</v>
      </c>
      <c r="C15" s="118">
        <v>-0.15854870999999998</v>
      </c>
      <c r="D15" s="118">
        <v>-0.17160092000000002</v>
      </c>
      <c r="E15" s="118">
        <v>-0.17190738</v>
      </c>
      <c r="F15" s="155">
        <v>-0.13439817</v>
      </c>
      <c r="G15" s="161">
        <v>-0.16352058169057354</v>
      </c>
    </row>
    <row r="16" spans="1:7" ht="12.75">
      <c r="A16" s="140" t="s">
        <v>115</v>
      </c>
      <c r="B16" s="134">
        <v>0.00276820845</v>
      </c>
      <c r="C16" s="119">
        <v>-0.004233481799999999</v>
      </c>
      <c r="D16" s="119">
        <v>-0.0108604815</v>
      </c>
      <c r="E16" s="119">
        <v>-0.0031717186000000002</v>
      </c>
      <c r="F16" s="155">
        <v>0.0018380594</v>
      </c>
      <c r="G16" s="161">
        <v>-0.003748335175430555</v>
      </c>
    </row>
    <row r="17" spans="1:7" ht="12.75">
      <c r="A17" s="140" t="s">
        <v>92</v>
      </c>
      <c r="B17" s="133">
        <v>0.79401003</v>
      </c>
      <c r="C17" s="117">
        <v>1.5126019000000004</v>
      </c>
      <c r="D17" s="117">
        <v>1.6005634999999998</v>
      </c>
      <c r="E17" s="117">
        <v>3.0034801</v>
      </c>
      <c r="F17" s="156">
        <v>8.597972799999999</v>
      </c>
      <c r="G17" s="161">
        <v>2.7357937960843586</v>
      </c>
    </row>
    <row r="18" spans="1:7" ht="12.75">
      <c r="A18" s="140" t="s">
        <v>94</v>
      </c>
      <c r="B18" s="135">
        <v>2.7979136</v>
      </c>
      <c r="C18" s="119">
        <v>2.0471884000000005</v>
      </c>
      <c r="D18" s="118">
        <v>-3.674718</v>
      </c>
      <c r="E18" s="119">
        <v>-0.48757424</v>
      </c>
      <c r="F18" s="155">
        <v>0.16692738000000001</v>
      </c>
      <c r="G18" s="161">
        <v>-0.08190148690276763</v>
      </c>
    </row>
    <row r="19" spans="1:7" ht="12.75">
      <c r="A19" s="140" t="s">
        <v>96</v>
      </c>
      <c r="B19" s="135">
        <v>-2.8263472999999997</v>
      </c>
      <c r="C19" s="119">
        <v>-1.03120247</v>
      </c>
      <c r="D19" s="119">
        <v>-2.0856098</v>
      </c>
      <c r="E19" s="119">
        <v>-1.4514266</v>
      </c>
      <c r="F19" s="154">
        <v>-7.669623999999999</v>
      </c>
      <c r="G19" s="162">
        <v>-2.5328960284352844</v>
      </c>
    </row>
    <row r="20" spans="1:7" ht="12.75">
      <c r="A20" s="140" t="s">
        <v>98</v>
      </c>
      <c r="B20" s="133">
        <v>0.39493630999999996</v>
      </c>
      <c r="C20" s="117">
        <v>0.37036147</v>
      </c>
      <c r="D20" s="117">
        <v>0.004456164</v>
      </c>
      <c r="E20" s="117">
        <v>-0.44122104</v>
      </c>
      <c r="F20" s="156">
        <v>2.0084478</v>
      </c>
      <c r="G20" s="161">
        <v>0.30961948966246516</v>
      </c>
    </row>
    <row r="21" spans="1:7" ht="12.75">
      <c r="A21" s="140" t="s">
        <v>100</v>
      </c>
      <c r="B21" s="134">
        <v>-0.27921515</v>
      </c>
      <c r="C21" s="119">
        <v>-0.10185525399999999</v>
      </c>
      <c r="D21" s="119">
        <v>-0.131155848</v>
      </c>
      <c r="E21" s="119">
        <v>0.057289557000000005</v>
      </c>
      <c r="F21" s="155">
        <v>0.2549031</v>
      </c>
      <c r="G21" s="161">
        <v>-0.04855861171499642</v>
      </c>
    </row>
    <row r="22" spans="1:7" ht="12.75">
      <c r="A22" s="140" t="s">
        <v>102</v>
      </c>
      <c r="B22" s="134">
        <v>0.33165714</v>
      </c>
      <c r="C22" s="119">
        <v>0.28006472</v>
      </c>
      <c r="D22" s="118">
        <v>-0.4370992</v>
      </c>
      <c r="E22" s="119">
        <v>-0.14387017000000002</v>
      </c>
      <c r="F22" s="155">
        <v>-0.22689395</v>
      </c>
      <c r="G22" s="161">
        <v>-0.05475974419991832</v>
      </c>
    </row>
    <row r="23" spans="1:7" ht="12.75">
      <c r="A23" s="140" t="s">
        <v>104</v>
      </c>
      <c r="B23" s="135">
        <v>0.41245791</v>
      </c>
      <c r="C23" s="119">
        <v>-0.045145504999999995</v>
      </c>
      <c r="D23" s="119">
        <v>-0.12015138</v>
      </c>
      <c r="E23" s="119">
        <v>-0.042202008</v>
      </c>
      <c r="F23" s="155">
        <v>0.26523112000000004</v>
      </c>
      <c r="G23" s="161">
        <v>0.045161509381371465</v>
      </c>
    </row>
    <row r="24" spans="1:7" ht="12.75">
      <c r="A24" s="140" t="s">
        <v>106</v>
      </c>
      <c r="B24" s="133">
        <v>-0.02740311</v>
      </c>
      <c r="C24" s="117">
        <v>0.030028421</v>
      </c>
      <c r="D24" s="117">
        <v>-0.036563777</v>
      </c>
      <c r="E24" s="117">
        <v>-0.07883607299999999</v>
      </c>
      <c r="F24" s="157">
        <v>0.13182697000000002</v>
      </c>
      <c r="G24" s="161">
        <v>-0.006875690211771209</v>
      </c>
    </row>
    <row r="25" spans="1:7" ht="12.75">
      <c r="A25" s="140" t="s">
        <v>108</v>
      </c>
      <c r="B25" s="134">
        <v>-0.097602053</v>
      </c>
      <c r="C25" s="119">
        <v>-0.00118587164</v>
      </c>
      <c r="D25" s="119">
        <v>0.00086866649</v>
      </c>
      <c r="E25" s="119">
        <v>-0.024823897</v>
      </c>
      <c r="F25" s="155">
        <v>-0.032732129</v>
      </c>
      <c r="G25" s="161">
        <v>-0.024533543617642792</v>
      </c>
    </row>
    <row r="26" spans="1:7" ht="12.75">
      <c r="A26" s="140" t="s">
        <v>110</v>
      </c>
      <c r="B26" s="134">
        <v>0.0376842691</v>
      </c>
      <c r="C26" s="119">
        <v>-0.015248731000000001</v>
      </c>
      <c r="D26" s="119">
        <v>0.01122176578</v>
      </c>
      <c r="E26" s="119">
        <v>-0.044076871000000004</v>
      </c>
      <c r="F26" s="155">
        <v>0.0365737182</v>
      </c>
      <c r="G26" s="161">
        <v>-0.0012376893330226472</v>
      </c>
    </row>
    <row r="27" spans="1:7" ht="12.75">
      <c r="A27" s="140" t="s">
        <v>112</v>
      </c>
      <c r="B27" s="135">
        <v>0.17230884999999999</v>
      </c>
      <c r="C27" s="119">
        <v>0.07268513800000001</v>
      </c>
      <c r="D27" s="119">
        <v>0.12690806</v>
      </c>
      <c r="E27" s="119">
        <v>0.11094213000000001</v>
      </c>
      <c r="F27" s="155">
        <v>0.10229011000000002</v>
      </c>
      <c r="G27" s="162">
        <v>0.11329164719947306</v>
      </c>
    </row>
    <row r="28" spans="1:7" ht="12.75">
      <c r="A28" s="140" t="s">
        <v>114</v>
      </c>
      <c r="B28" s="134">
        <v>0.005020364639999999</v>
      </c>
      <c r="C28" s="119">
        <v>0.007549580400000001</v>
      </c>
      <c r="D28" s="119">
        <v>0.007636948299999999</v>
      </c>
      <c r="E28" s="119">
        <v>-0.008248292700000001</v>
      </c>
      <c r="F28" s="155">
        <v>-0.034785437</v>
      </c>
      <c r="G28" s="161">
        <v>-0.0022554898213512945</v>
      </c>
    </row>
    <row r="29" spans="1:7" ht="13.5" thickBot="1">
      <c r="A29" s="141" t="s">
        <v>116</v>
      </c>
      <c r="B29" s="136">
        <v>0.00233921243</v>
      </c>
      <c r="C29" s="120">
        <v>0.00331104859</v>
      </c>
      <c r="D29" s="120">
        <v>0.000658044127</v>
      </c>
      <c r="E29" s="120">
        <v>-0.00029777375999999993</v>
      </c>
      <c r="F29" s="158">
        <v>-0.00038228436</v>
      </c>
      <c r="G29" s="163">
        <v>0.0011703762402660225</v>
      </c>
    </row>
    <row r="30" spans="1:7" ht="13.5" thickTop="1">
      <c r="A30" s="142" t="s">
        <v>117</v>
      </c>
      <c r="B30" s="137">
        <v>0.13220347658351345</v>
      </c>
      <c r="C30" s="126">
        <v>0.23822697678564037</v>
      </c>
      <c r="D30" s="126">
        <v>0.2901159807613342</v>
      </c>
      <c r="E30" s="126">
        <v>0.3525203906302223</v>
      </c>
      <c r="F30" s="122">
        <v>0.3709356650613224</v>
      </c>
      <c r="G30" s="164" t="s">
        <v>128</v>
      </c>
    </row>
    <row r="31" spans="1:7" ht="13.5" thickBot="1">
      <c r="A31" s="143" t="s">
        <v>118</v>
      </c>
      <c r="B31" s="132">
        <v>20.031739</v>
      </c>
      <c r="C31" s="123">
        <v>20.199586</v>
      </c>
      <c r="D31" s="123">
        <v>20.373536</v>
      </c>
      <c r="E31" s="123">
        <v>20.529175</v>
      </c>
      <c r="F31" s="124">
        <v>20.657349</v>
      </c>
      <c r="G31" s="166">
        <v>-209.9</v>
      </c>
    </row>
    <row r="32" spans="1:7" ht="15.75" thickBot="1" thickTop="1">
      <c r="A32" s="144" t="s">
        <v>119</v>
      </c>
      <c r="B32" s="138">
        <v>-0.31450000405311584</v>
      </c>
      <c r="C32" s="127">
        <v>0.27699999511241913</v>
      </c>
      <c r="D32" s="127">
        <v>-0.28199999779462814</v>
      </c>
      <c r="E32" s="127">
        <v>0.24300000444054604</v>
      </c>
      <c r="F32" s="125">
        <v>-0.28200000524520874</v>
      </c>
      <c r="G32" s="130" t="s">
        <v>127</v>
      </c>
    </row>
    <row r="33" spans="1:7" ht="15" thickTop="1">
      <c r="A33" t="s">
        <v>123</v>
      </c>
      <c r="G33" s="32" t="s">
        <v>124</v>
      </c>
    </row>
    <row r="34" ht="14.25">
      <c r="A34" t="s">
        <v>125</v>
      </c>
    </row>
    <row r="35" spans="1:2" ht="12.75">
      <c r="A35" t="s">
        <v>126</v>
      </c>
      <c r="B35" t="s">
        <v>28</v>
      </c>
    </row>
  </sheetData>
  <printOptions/>
  <pageMargins left="0.708661417322835" right="0.708661417322835" top="0.78740157480315" bottom="0.78740157480315" header="0.511811023622047" footer="0.511811023622047"/>
  <pageSetup horizontalDpi="600" verticalDpi="600" orientation="portrait" paperSize="9" r:id="rId2"/>
  <headerFooter alignWithMargins="0">
    <oddHeader>&amp;C&amp;F : &amp;A</oddHeader>
    <oddFooter>&amp;LCEA/DSM/DAPNIA/STCM&amp;C&amp;D&amp;RLHCQ2 - Mesures Magnétiques à Chaud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33203125" defaultRowHeight="12.75"/>
  <cols>
    <col min="1" max="1" width="49.33203125" style="170" bestFit="1" customWidth="1"/>
    <col min="2" max="2" width="15.66015625" style="170" bestFit="1" customWidth="1"/>
    <col min="3" max="3" width="14.83203125" style="170" bestFit="1" customWidth="1"/>
    <col min="4" max="4" width="16" style="170" bestFit="1" customWidth="1"/>
    <col min="5" max="5" width="21.33203125" style="170" bestFit="1" customWidth="1"/>
    <col min="6" max="6" width="14.83203125" style="170" bestFit="1" customWidth="1"/>
    <col min="7" max="7" width="15.33203125" style="170" bestFit="1" customWidth="1"/>
    <col min="8" max="8" width="14.16015625" style="170" bestFit="1" customWidth="1"/>
    <col min="9" max="9" width="14.83203125" style="170" bestFit="1" customWidth="1"/>
    <col min="10" max="10" width="6.33203125" style="170" bestFit="1" customWidth="1"/>
    <col min="11" max="11" width="15" style="170" bestFit="1" customWidth="1"/>
    <col min="12" max="16384" width="10.66015625" style="170" customWidth="1"/>
  </cols>
  <sheetData>
    <row r="1" spans="1:5" ht="12.75">
      <c r="A1" s="170" t="s">
        <v>129</v>
      </c>
      <c r="B1" s="170" t="s">
        <v>130</v>
      </c>
      <c r="C1" s="170" t="s">
        <v>131</v>
      </c>
      <c r="D1" s="170" t="s">
        <v>132</v>
      </c>
      <c r="E1" s="170" t="s">
        <v>133</v>
      </c>
    </row>
    <row r="3" spans="1:7" ht="12.75">
      <c r="A3" s="170" t="s">
        <v>134</v>
      </c>
      <c r="B3" s="170" t="s">
        <v>84</v>
      </c>
      <c r="C3" s="170" t="s">
        <v>85</v>
      </c>
      <c r="D3" s="170" t="s">
        <v>86</v>
      </c>
      <c r="E3" s="170" t="s">
        <v>87</v>
      </c>
      <c r="F3" s="170" t="s">
        <v>88</v>
      </c>
      <c r="G3" s="170" t="s">
        <v>135</v>
      </c>
    </row>
    <row r="4" spans="1:7" ht="12.75">
      <c r="A4" s="170" t="s">
        <v>136</v>
      </c>
      <c r="B4" s="170">
        <v>0.002257</v>
      </c>
      <c r="C4" s="170">
        <v>0.003756</v>
      </c>
      <c r="D4" s="170">
        <v>0.003755</v>
      </c>
      <c r="E4" s="170">
        <v>0.003756</v>
      </c>
      <c r="F4" s="170">
        <v>0.002087</v>
      </c>
      <c r="G4" s="170">
        <v>0.011706</v>
      </c>
    </row>
    <row r="5" spans="1:7" ht="12.75">
      <c r="A5" s="170" t="s">
        <v>137</v>
      </c>
      <c r="B5" s="170">
        <v>2.590513</v>
      </c>
      <c r="C5" s="170">
        <v>0.990076</v>
      </c>
      <c r="D5" s="170">
        <v>-0.393136</v>
      </c>
      <c r="E5" s="170">
        <v>-1.131454</v>
      </c>
      <c r="F5" s="170">
        <v>-1.791368</v>
      </c>
      <c r="G5" s="170">
        <v>-4.849906</v>
      </c>
    </row>
    <row r="6" spans="1:7" ht="12.75">
      <c r="A6" s="170" t="s">
        <v>138</v>
      </c>
      <c r="B6" s="171">
        <v>84.55557</v>
      </c>
      <c r="C6" s="171">
        <v>-72.60859</v>
      </c>
      <c r="D6" s="171">
        <v>51.20411</v>
      </c>
      <c r="E6" s="171">
        <v>-112.2948</v>
      </c>
      <c r="F6" s="171">
        <v>160.3101</v>
      </c>
      <c r="G6" s="171">
        <v>882.2615</v>
      </c>
    </row>
    <row r="7" spans="1:7" ht="12.75">
      <c r="A7" s="170" t="s">
        <v>139</v>
      </c>
      <c r="B7" s="171">
        <v>10000</v>
      </c>
      <c r="C7" s="171">
        <v>10000</v>
      </c>
      <c r="D7" s="171">
        <v>10000</v>
      </c>
      <c r="E7" s="171">
        <v>10000</v>
      </c>
      <c r="F7" s="171">
        <v>10000</v>
      </c>
      <c r="G7" s="171">
        <v>10000</v>
      </c>
    </row>
    <row r="8" spans="1:7" ht="12.75">
      <c r="A8" s="170" t="s">
        <v>91</v>
      </c>
      <c r="B8" s="171">
        <v>-0.1692763</v>
      </c>
      <c r="C8" s="171">
        <v>-1.883983</v>
      </c>
      <c r="D8" s="171">
        <v>-7.444902</v>
      </c>
      <c r="E8" s="171">
        <v>-4.024607</v>
      </c>
      <c r="F8" s="171">
        <v>-1.763099</v>
      </c>
      <c r="G8" s="171">
        <v>2.740264</v>
      </c>
    </row>
    <row r="9" spans="1:7" ht="12.75">
      <c r="A9" s="170" t="s">
        <v>93</v>
      </c>
      <c r="B9" s="171">
        <v>-1.360195</v>
      </c>
      <c r="C9" s="171">
        <v>-0.4807728</v>
      </c>
      <c r="D9" s="171">
        <v>-0.7610766</v>
      </c>
      <c r="E9" s="171">
        <v>-0.3906516</v>
      </c>
      <c r="F9" s="171">
        <v>-3.293377</v>
      </c>
      <c r="G9" s="171">
        <v>1.029657</v>
      </c>
    </row>
    <row r="10" spans="1:7" ht="12.75">
      <c r="A10" s="170" t="s">
        <v>140</v>
      </c>
      <c r="B10" s="171">
        <v>0.0824</v>
      </c>
      <c r="C10" s="171">
        <v>0.4179433</v>
      </c>
      <c r="D10" s="171">
        <v>2.071509</v>
      </c>
      <c r="E10" s="171">
        <v>0.8764649</v>
      </c>
      <c r="F10" s="171">
        <v>0.8693046</v>
      </c>
      <c r="G10" s="171">
        <v>2.535053</v>
      </c>
    </row>
    <row r="11" spans="1:7" ht="12.75">
      <c r="A11" s="170" t="s">
        <v>97</v>
      </c>
      <c r="B11" s="171">
        <v>3.983439</v>
      </c>
      <c r="C11" s="171">
        <v>4.460474</v>
      </c>
      <c r="D11" s="171">
        <v>4.907273</v>
      </c>
      <c r="E11" s="171">
        <v>4.850722</v>
      </c>
      <c r="F11" s="171">
        <v>15.11571</v>
      </c>
      <c r="G11" s="171">
        <v>6.017412</v>
      </c>
    </row>
    <row r="12" spans="1:7" ht="12.75">
      <c r="A12" s="170" t="s">
        <v>99</v>
      </c>
      <c r="B12" s="171">
        <v>0.09350094</v>
      </c>
      <c r="C12" s="171">
        <v>0.396808</v>
      </c>
      <c r="D12" s="171">
        <v>-0.2441221</v>
      </c>
      <c r="E12" s="171">
        <v>-0.1800915</v>
      </c>
      <c r="F12" s="171">
        <v>-0.6033375</v>
      </c>
      <c r="G12" s="171">
        <v>-0.0403795</v>
      </c>
    </row>
    <row r="13" spans="1:7" ht="12.75">
      <c r="A13" s="170" t="s">
        <v>101</v>
      </c>
      <c r="B13" s="171">
        <v>0.1171023</v>
      </c>
      <c r="C13" s="171">
        <v>0.004973516</v>
      </c>
      <c r="D13" s="171">
        <v>0.06236195</v>
      </c>
      <c r="E13" s="171">
        <v>-0.1013761</v>
      </c>
      <c r="F13" s="171">
        <v>-0.2727109</v>
      </c>
      <c r="G13" s="171">
        <v>0.02772842</v>
      </c>
    </row>
    <row r="14" spans="1:7" ht="12.75">
      <c r="A14" s="170" t="s">
        <v>103</v>
      </c>
      <c r="B14" s="171">
        <v>-0.05127179</v>
      </c>
      <c r="C14" s="171">
        <v>-0.06740074</v>
      </c>
      <c r="D14" s="171">
        <v>0.04791201</v>
      </c>
      <c r="E14" s="171">
        <v>-0.01431755</v>
      </c>
      <c r="F14" s="171">
        <v>-0.04097688</v>
      </c>
      <c r="G14" s="171">
        <v>-0.03290532</v>
      </c>
    </row>
    <row r="15" spans="1:7" ht="12.75">
      <c r="A15" s="170" t="s">
        <v>105</v>
      </c>
      <c r="B15" s="171">
        <v>-0.4735521</v>
      </c>
      <c r="C15" s="171">
        <v>-0.1229551</v>
      </c>
      <c r="D15" s="171">
        <v>-0.003643596</v>
      </c>
      <c r="E15" s="171">
        <v>-0.0870529</v>
      </c>
      <c r="F15" s="171">
        <v>-0.3618553</v>
      </c>
      <c r="G15" s="171">
        <v>-0.1682353</v>
      </c>
    </row>
    <row r="16" spans="1:7" ht="12.75">
      <c r="A16" s="170" t="s">
        <v>107</v>
      </c>
      <c r="B16" s="171">
        <v>0.01053029</v>
      </c>
      <c r="C16" s="171">
        <v>0.02592554</v>
      </c>
      <c r="D16" s="171">
        <v>0.03641149</v>
      </c>
      <c r="E16" s="171">
        <v>0.005643112</v>
      </c>
      <c r="F16" s="171">
        <v>-0.02562486</v>
      </c>
      <c r="G16" s="171">
        <v>-0.02413927</v>
      </c>
    </row>
    <row r="17" spans="1:7" ht="12.75">
      <c r="A17" s="170" t="s">
        <v>109</v>
      </c>
      <c r="B17" s="171">
        <v>0.1301498</v>
      </c>
      <c r="C17" s="171">
        <v>0.03627127</v>
      </c>
      <c r="D17" s="171">
        <v>0.07506043</v>
      </c>
      <c r="E17" s="171">
        <v>0.06494687</v>
      </c>
      <c r="F17" s="171">
        <v>0.05782042</v>
      </c>
      <c r="G17" s="171">
        <v>-0.06895185</v>
      </c>
    </row>
    <row r="18" spans="1:7" ht="12.75">
      <c r="A18" s="170" t="s">
        <v>141</v>
      </c>
      <c r="B18" s="171">
        <v>-0.0003213879</v>
      </c>
      <c r="C18" s="171">
        <v>0.004112315</v>
      </c>
      <c r="D18" s="171">
        <v>-0.02398884</v>
      </c>
      <c r="E18" s="171">
        <v>0.008026183</v>
      </c>
      <c r="F18" s="171">
        <v>-0.06473966</v>
      </c>
      <c r="G18" s="171">
        <v>-0.1137181</v>
      </c>
    </row>
    <row r="19" spans="1:7" ht="12.75">
      <c r="A19" s="170" t="s">
        <v>113</v>
      </c>
      <c r="B19" s="171">
        <v>-0.1714108</v>
      </c>
      <c r="C19" s="171">
        <v>-0.1586472</v>
      </c>
      <c r="D19" s="171">
        <v>-0.1715095</v>
      </c>
      <c r="E19" s="171">
        <v>-0.1719649</v>
      </c>
      <c r="F19" s="171">
        <v>-0.1352102</v>
      </c>
      <c r="G19" s="171">
        <v>-0.1636572</v>
      </c>
    </row>
    <row r="20" spans="1:7" ht="12.75">
      <c r="A20" s="170" t="s">
        <v>115</v>
      </c>
      <c r="B20" s="171">
        <v>0.002623765</v>
      </c>
      <c r="C20" s="171">
        <v>-0.004279534</v>
      </c>
      <c r="D20" s="171">
        <v>-0.01087228</v>
      </c>
      <c r="E20" s="171">
        <v>-0.003190468</v>
      </c>
      <c r="F20" s="171">
        <v>0.001851526</v>
      </c>
      <c r="G20" s="171">
        <v>0.001191882</v>
      </c>
    </row>
    <row r="21" spans="1:7" ht="12.75">
      <c r="A21" s="170" t="s">
        <v>142</v>
      </c>
      <c r="B21" s="171">
        <v>-1042.775</v>
      </c>
      <c r="C21" s="171">
        <v>-762.8865</v>
      </c>
      <c r="D21" s="171">
        <v>-893.2586</v>
      </c>
      <c r="E21" s="171">
        <v>-867.8416</v>
      </c>
      <c r="F21" s="171">
        <v>-929.7227</v>
      </c>
      <c r="G21" s="171">
        <v>1.477282</v>
      </c>
    </row>
    <row r="22" spans="1:7" ht="12.75">
      <c r="A22" s="170" t="s">
        <v>143</v>
      </c>
      <c r="B22" s="171">
        <v>51.81073</v>
      </c>
      <c r="C22" s="171">
        <v>19.80154</v>
      </c>
      <c r="D22" s="171">
        <v>-7.862726</v>
      </c>
      <c r="E22" s="171">
        <v>-22.62911</v>
      </c>
      <c r="F22" s="171">
        <v>-35.82751</v>
      </c>
      <c r="G22" s="171">
        <v>0</v>
      </c>
    </row>
    <row r="23" spans="1:7" ht="12.75">
      <c r="A23" s="170" t="s">
        <v>92</v>
      </c>
      <c r="B23" s="171">
        <v>0.6546484</v>
      </c>
      <c r="C23" s="171">
        <v>1.568846</v>
      </c>
      <c r="D23" s="171">
        <v>1.670689</v>
      </c>
      <c r="E23" s="171">
        <v>3.004765</v>
      </c>
      <c r="F23" s="171">
        <v>8.551502</v>
      </c>
      <c r="G23" s="171">
        <v>3.472596</v>
      </c>
    </row>
    <row r="24" spans="1:7" ht="12.75">
      <c r="A24" s="170" t="s">
        <v>94</v>
      </c>
      <c r="B24" s="171">
        <v>2.891454</v>
      </c>
      <c r="C24" s="171">
        <v>2.000252</v>
      </c>
      <c r="D24" s="171">
        <v>-3.614918</v>
      </c>
      <c r="E24" s="171">
        <v>-0.5495768</v>
      </c>
      <c r="F24" s="171">
        <v>0.7467332</v>
      </c>
      <c r="G24" s="171">
        <v>0.00267473</v>
      </c>
    </row>
    <row r="25" spans="1:7" ht="12.75">
      <c r="A25" s="170" t="s">
        <v>96</v>
      </c>
      <c r="B25" s="171">
        <v>-2.519626</v>
      </c>
      <c r="C25" s="171">
        <v>-1.2832</v>
      </c>
      <c r="D25" s="171">
        <v>-2.062531</v>
      </c>
      <c r="E25" s="171">
        <v>-1.515359</v>
      </c>
      <c r="F25" s="171">
        <v>-7.489846</v>
      </c>
      <c r="G25" s="171">
        <v>0.9377809</v>
      </c>
    </row>
    <row r="26" spans="1:7" ht="12.75">
      <c r="A26" s="170" t="s">
        <v>98</v>
      </c>
      <c r="B26" s="171">
        <v>0.4790107</v>
      </c>
      <c r="C26" s="171">
        <v>0.3664215</v>
      </c>
      <c r="D26" s="171">
        <v>-0.003902348</v>
      </c>
      <c r="E26" s="171">
        <v>-0.4679823</v>
      </c>
      <c r="F26" s="171">
        <v>1.80394</v>
      </c>
      <c r="G26" s="171">
        <v>0.2848128</v>
      </c>
    </row>
    <row r="27" spans="1:7" ht="12.75">
      <c r="A27" s="170" t="s">
        <v>100</v>
      </c>
      <c r="B27" s="171">
        <v>-0.281101</v>
      </c>
      <c r="C27" s="171">
        <v>-0.08802021</v>
      </c>
      <c r="D27" s="171">
        <v>-0.1138795</v>
      </c>
      <c r="E27" s="171">
        <v>0.04733517</v>
      </c>
      <c r="F27" s="171">
        <v>0.2800013</v>
      </c>
      <c r="G27" s="171">
        <v>0.07372198</v>
      </c>
    </row>
    <row r="28" spans="1:7" ht="12.75">
      <c r="A28" s="170" t="s">
        <v>102</v>
      </c>
      <c r="B28" s="171">
        <v>0.2983815</v>
      </c>
      <c r="C28" s="171">
        <v>0.2844251</v>
      </c>
      <c r="D28" s="171">
        <v>-0.4308758</v>
      </c>
      <c r="E28" s="171">
        <v>-0.1462581</v>
      </c>
      <c r="F28" s="171">
        <v>-0.2602719</v>
      </c>
      <c r="G28" s="171">
        <v>0.06206187</v>
      </c>
    </row>
    <row r="29" spans="1:7" ht="12.75">
      <c r="A29" s="170" t="s">
        <v>104</v>
      </c>
      <c r="B29" s="171">
        <v>0.3432254</v>
      </c>
      <c r="C29" s="171">
        <v>-0.03071534</v>
      </c>
      <c r="D29" s="171">
        <v>-0.1187492</v>
      </c>
      <c r="E29" s="171">
        <v>-0.04836167</v>
      </c>
      <c r="F29" s="171">
        <v>0.2309934</v>
      </c>
      <c r="G29" s="171">
        <v>-0.02102501</v>
      </c>
    </row>
    <row r="30" spans="1:7" ht="12.75">
      <c r="A30" s="170" t="s">
        <v>106</v>
      </c>
      <c r="B30" s="171">
        <v>-0.0278879</v>
      </c>
      <c r="C30" s="171">
        <v>0.02512979</v>
      </c>
      <c r="D30" s="171">
        <v>-0.03619567</v>
      </c>
      <c r="E30" s="171">
        <v>-0.08107867</v>
      </c>
      <c r="F30" s="171">
        <v>0.143469</v>
      </c>
      <c r="G30" s="171">
        <v>-0.007007394</v>
      </c>
    </row>
    <row r="31" spans="1:7" ht="12.75">
      <c r="A31" s="170" t="s">
        <v>108</v>
      </c>
      <c r="B31" s="171">
        <v>-0.07630739</v>
      </c>
      <c r="C31" s="171">
        <v>-0.005444301</v>
      </c>
      <c r="D31" s="171">
        <v>0.0008759161</v>
      </c>
      <c r="E31" s="171">
        <v>-0.02998889</v>
      </c>
      <c r="F31" s="171">
        <v>-0.03585467</v>
      </c>
      <c r="G31" s="171">
        <v>-0.01444905</v>
      </c>
    </row>
    <row r="32" spans="1:7" ht="12.75">
      <c r="A32" s="170" t="s">
        <v>110</v>
      </c>
      <c r="B32" s="171">
        <v>0.02415809</v>
      </c>
      <c r="C32" s="171">
        <v>-0.01019655</v>
      </c>
      <c r="D32" s="171">
        <v>0.001276656</v>
      </c>
      <c r="E32" s="171">
        <v>-0.03139684</v>
      </c>
      <c r="F32" s="171">
        <v>0.01034689</v>
      </c>
      <c r="G32" s="171">
        <v>0.004830323</v>
      </c>
    </row>
    <row r="33" spans="1:7" ht="12.75">
      <c r="A33" s="170" t="s">
        <v>112</v>
      </c>
      <c r="B33" s="171">
        <v>0.1612778</v>
      </c>
      <c r="C33" s="171">
        <v>0.08059318</v>
      </c>
      <c r="D33" s="171">
        <v>0.1261126</v>
      </c>
      <c r="E33" s="171">
        <v>0.1114485</v>
      </c>
      <c r="F33" s="171">
        <v>0.1036888</v>
      </c>
      <c r="G33" s="171">
        <v>-0.01154198</v>
      </c>
    </row>
    <row r="34" spans="1:7" ht="12.75">
      <c r="A34" s="170" t="s">
        <v>114</v>
      </c>
      <c r="B34" s="171">
        <v>-0.00115423</v>
      </c>
      <c r="C34" s="171">
        <v>0.005400175</v>
      </c>
      <c r="D34" s="171">
        <v>0.008574568</v>
      </c>
      <c r="E34" s="171">
        <v>-0.005508344</v>
      </c>
      <c r="F34" s="171">
        <v>-0.03140142</v>
      </c>
      <c r="G34" s="171">
        <v>-0.002313633</v>
      </c>
    </row>
    <row r="35" spans="1:7" ht="12.75">
      <c r="A35" s="170" t="s">
        <v>116</v>
      </c>
      <c r="B35" s="171">
        <v>0.002441039</v>
      </c>
      <c r="C35" s="171">
        <v>0.003247608</v>
      </c>
      <c r="D35" s="171">
        <v>0.0007213839</v>
      </c>
      <c r="E35" s="171">
        <v>-0.0002446446</v>
      </c>
      <c r="F35" s="171">
        <v>-0.0004294898</v>
      </c>
      <c r="G35" s="171">
        <v>0.00378571</v>
      </c>
    </row>
    <row r="36" spans="1:6" ht="12.75">
      <c r="A36" s="170" t="s">
        <v>144</v>
      </c>
      <c r="B36" s="171">
        <v>20.65735</v>
      </c>
      <c r="C36" s="171">
        <v>20.6604</v>
      </c>
      <c r="D36" s="171">
        <v>20.6665</v>
      </c>
      <c r="E36" s="171">
        <v>20.66956</v>
      </c>
      <c r="F36" s="171">
        <v>20.68176</v>
      </c>
    </row>
    <row r="37" spans="1:6" ht="12.75">
      <c r="A37" s="170" t="s">
        <v>145</v>
      </c>
      <c r="B37" s="171">
        <v>-0.2624512</v>
      </c>
      <c r="C37" s="171">
        <v>-0.2268473</v>
      </c>
      <c r="D37" s="171">
        <v>-0.2110799</v>
      </c>
      <c r="E37" s="171">
        <v>-0.2044678</v>
      </c>
      <c r="F37" s="171">
        <v>-0.1998901</v>
      </c>
    </row>
    <row r="38" spans="1:7" ht="12.75">
      <c r="A38" s="170" t="s">
        <v>146</v>
      </c>
      <c r="B38" s="171">
        <v>-0.0001345563</v>
      </c>
      <c r="C38" s="171">
        <v>0.0001260022</v>
      </c>
      <c r="D38" s="171">
        <v>-8.824092E-05</v>
      </c>
      <c r="E38" s="171">
        <v>0.0001875617</v>
      </c>
      <c r="F38" s="171">
        <v>-0.0002781862</v>
      </c>
      <c r="G38" s="171">
        <v>0</v>
      </c>
    </row>
    <row r="39" spans="1:7" ht="12.75">
      <c r="A39" s="170" t="s">
        <v>147</v>
      </c>
      <c r="B39" s="171">
        <v>0.001773414</v>
      </c>
      <c r="C39" s="171">
        <v>0.001296658</v>
      </c>
      <c r="D39" s="171">
        <v>0.00151847</v>
      </c>
      <c r="E39" s="171">
        <v>0.001475755</v>
      </c>
      <c r="F39" s="171">
        <v>0.001579532</v>
      </c>
      <c r="G39" s="171">
        <v>0.0007499043</v>
      </c>
    </row>
    <row r="40" spans="2:5" ht="12.75">
      <c r="B40" s="170" t="s">
        <v>148</v>
      </c>
      <c r="C40" s="170">
        <v>0.003756</v>
      </c>
      <c r="D40" s="170" t="s">
        <v>149</v>
      </c>
      <c r="E40" s="170">
        <v>3.116962</v>
      </c>
    </row>
    <row r="42" ht="12.75">
      <c r="A42" s="170" t="s">
        <v>150</v>
      </c>
    </row>
    <row r="50" spans="1:7" ht="12.75">
      <c r="A50" s="170" t="s">
        <v>151</v>
      </c>
      <c r="B50" s="170">
        <f>-0.017/(B7*B7+B22*B22)*(B21*B22+B6*B7)</f>
        <v>-0.00013455627826032155</v>
      </c>
      <c r="C50" s="170">
        <f>-0.017/(C7*C7+C22*C22)*(C21*C22+C6*C7)</f>
        <v>0.00012600218462687694</v>
      </c>
      <c r="D50" s="170">
        <f>-0.017/(D7*D7+D22*D22)*(D21*D22+D6*D7)</f>
        <v>-8.82409185425137E-05</v>
      </c>
      <c r="E50" s="170">
        <f>-0.017/(E7*E7+E22*E22)*(E21*E22+E6*E7)</f>
        <v>0.0001875616574256795</v>
      </c>
      <c r="F50" s="170">
        <f>-0.017/(F7*F7+F22*F22)*(F21*F22+F6*F7)</f>
        <v>-0.00027818623955864623</v>
      </c>
      <c r="G50" s="170">
        <f>(B50*B$4+C50*C$4+D50*D$4+E50*E$4+F50*F$4)/SUM(B$4:F$4)</f>
        <v>-2.4256652597641E-06</v>
      </c>
    </row>
    <row r="51" spans="1:7" ht="12.75">
      <c r="A51" s="170" t="s">
        <v>152</v>
      </c>
      <c r="B51" s="170">
        <f>-0.017/(B7*B7+B22*B22)*(B21*B7-B6*B22)</f>
        <v>0.0017734146459002752</v>
      </c>
      <c r="C51" s="170">
        <f>-0.017/(C7*C7+C22*C22)*(C21*C7-C6*C22)</f>
        <v>0.0012966575462701026</v>
      </c>
      <c r="D51" s="170">
        <f>-0.017/(D7*D7+D22*D22)*(D21*D7-D6*D22)</f>
        <v>0.0015184702385835512</v>
      </c>
      <c r="E51" s="170">
        <f>-0.017/(E7*E7+E22*E22)*(E21*E7-E6*E22)</f>
        <v>0.001475755155337767</v>
      </c>
      <c r="F51" s="170">
        <f>-0.017/(F7*F7+F22*F22)*(F21*F7-F6*F22)</f>
        <v>0.0015795319179720353</v>
      </c>
      <c r="G51" s="170">
        <f>(B51*B$4+C51*C$4+D51*D$4+E51*E$4+F51*F$4)/SUM(B$4:F$4)</f>
        <v>0.0014998474038642596</v>
      </c>
    </row>
    <row r="58" ht="12.75">
      <c r="A58" s="170" t="s">
        <v>154</v>
      </c>
    </row>
    <row r="60" spans="2:6" ht="12.75">
      <c r="B60" s="170" t="s">
        <v>84</v>
      </c>
      <c r="C60" s="170" t="s">
        <v>85</v>
      </c>
      <c r="D60" s="170" t="s">
        <v>86</v>
      </c>
      <c r="E60" s="170" t="s">
        <v>87</v>
      </c>
      <c r="F60" s="170" t="s">
        <v>88</v>
      </c>
    </row>
    <row r="61" spans="1:6" ht="12.75">
      <c r="A61" s="170" t="s">
        <v>156</v>
      </c>
      <c r="B61" s="170">
        <f>B6+(1/0.017)*(B7*B50-B22*B51)</f>
        <v>0</v>
      </c>
      <c r="C61" s="170">
        <f>C6+(1/0.017)*(C7*C50-C22*C51)</f>
        <v>0</v>
      </c>
      <c r="D61" s="170">
        <f>D6+(1/0.017)*(D7*D50-D22*D51)</f>
        <v>0</v>
      </c>
      <c r="E61" s="170">
        <f>E6+(1/0.017)*(E7*E50-E22*E51)</f>
        <v>0</v>
      </c>
      <c r="F61" s="170">
        <f>F6+(1/0.017)*(F7*F50-F22*F51)</f>
        <v>0</v>
      </c>
    </row>
    <row r="62" spans="1:6" ht="12.75">
      <c r="A62" s="170" t="s">
        <v>159</v>
      </c>
      <c r="B62" s="170">
        <f>B7+(2/0.017)*(B8*B50-B23*B51)</f>
        <v>9999.866095779818</v>
      </c>
      <c r="C62" s="170">
        <f>C7+(2/0.017)*(C8*C50-C23*C51)</f>
        <v>9999.732748002514</v>
      </c>
      <c r="D62" s="170">
        <f>D7+(2/0.017)*(D8*D50-D23*D51)</f>
        <v>9999.77882981959</v>
      </c>
      <c r="E62" s="170">
        <f>E7+(2/0.017)*(E8*E50-E23*E51)</f>
        <v>9999.389510658972</v>
      </c>
      <c r="F62" s="170">
        <f>F7+(2/0.017)*(F8*F50-F23*F51)</f>
        <v>9998.468599944139</v>
      </c>
    </row>
    <row r="63" spans="1:6" ht="12.75">
      <c r="A63" s="170" t="s">
        <v>160</v>
      </c>
      <c r="B63" s="170">
        <f>B8+(3/0.017)*(B9*B50-B24*B51)</f>
        <v>-1.0418746696421124</v>
      </c>
      <c r="C63" s="170">
        <f>C8+(3/0.017)*(C9*C50-C24*C51)</f>
        <v>-2.3523748129443023</v>
      </c>
      <c r="D63" s="170">
        <f>D8+(3/0.017)*(D9*D50-D24*D51)</f>
        <v>-6.464377853614379</v>
      </c>
      <c r="E63" s="170">
        <f>E8+(3/0.017)*(E9*E50-E24*E51)</f>
        <v>-3.894412376303169</v>
      </c>
      <c r="F63" s="170">
        <f>F8+(3/0.017)*(F9*F50-F24*F51)</f>
        <v>-1.8095666636230223</v>
      </c>
    </row>
    <row r="64" spans="1:6" ht="12.75">
      <c r="A64" s="170" t="s">
        <v>161</v>
      </c>
      <c r="B64" s="170">
        <f>B9+(4/0.017)*(B10*B50-B25*B51)</f>
        <v>-0.3114293027617705</v>
      </c>
      <c r="C64" s="170">
        <f>C9+(4/0.017)*(C10*C50-C25*C51)</f>
        <v>-0.0768827453590678</v>
      </c>
      <c r="D64" s="170">
        <f>D9+(4/0.017)*(D10*D50-D25*D51)</f>
        <v>-0.06717069818190913</v>
      </c>
      <c r="E64" s="170">
        <f>E9+(4/0.017)*(E10*E50-E25*E51)</f>
        <v>0.17421665076633308</v>
      </c>
      <c r="F64" s="170">
        <f>F9+(4/0.017)*(F10*F50-F25*F51)</f>
        <v>-0.566642355296437</v>
      </c>
    </row>
    <row r="65" spans="1:6" ht="12.75">
      <c r="A65" s="170" t="s">
        <v>162</v>
      </c>
      <c r="B65" s="170">
        <f>B10+(5/0.017)*(B11*B50-B26*B51)</f>
        <v>-0.32509450512939997</v>
      </c>
      <c r="C65" s="170">
        <f>C10+(5/0.017)*(C11*C50-C26*C51)</f>
        <v>0.4435039662884629</v>
      </c>
      <c r="D65" s="170">
        <f>D10+(5/0.017)*(D11*D50-D26*D51)</f>
        <v>1.9458923300705055</v>
      </c>
      <c r="E65" s="170">
        <f>E10+(5/0.017)*(E11*E50-E26*E51)</f>
        <v>1.3471815911361862</v>
      </c>
      <c r="F65" s="170">
        <f>F10+(5/0.017)*(F11*F50-F26*F51)</f>
        <v>-1.2055081444898526</v>
      </c>
    </row>
    <row r="66" spans="1:6" ht="12.75">
      <c r="A66" s="170" t="s">
        <v>163</v>
      </c>
      <c r="B66" s="170">
        <f>B11+(6/0.017)*(B12*B50-B27*B51)</f>
        <v>4.154942820662461</v>
      </c>
      <c r="C66" s="170">
        <f>C11+(6/0.017)*(C12*C50-C27*C51)</f>
        <v>4.518402498022894</v>
      </c>
      <c r="D66" s="170">
        <f>D11+(6/0.017)*(D12*D50-D27*D51)</f>
        <v>4.975907419955989</v>
      </c>
      <c r="E66" s="170">
        <f>E11+(6/0.017)*(E12*E50-E27*E51)</f>
        <v>4.814145512452506</v>
      </c>
      <c r="F66" s="170">
        <f>F11+(6/0.017)*(F12*F50-F27*F51)</f>
        <v>15.018852070548018</v>
      </c>
    </row>
    <row r="67" spans="1:6" ht="12.75">
      <c r="A67" s="170" t="s">
        <v>164</v>
      </c>
      <c r="B67" s="170">
        <f>B12+(7/0.017)*(B13*B50-B28*B51)</f>
        <v>-0.13087416604740684</v>
      </c>
      <c r="C67" s="170">
        <f>C12+(7/0.017)*(C13*C50-C28*C51)</f>
        <v>0.24520641478373748</v>
      </c>
      <c r="D67" s="170">
        <f>D12+(7/0.017)*(D13*D50-D28*D51)</f>
        <v>0.02301816009002544</v>
      </c>
      <c r="E67" s="170">
        <f>E12+(7/0.017)*(E13*E50-E28*E51)</f>
        <v>-0.09904513939888901</v>
      </c>
      <c r="F67" s="170">
        <f>F12+(7/0.017)*(F13*F50-F28*F51)</f>
        <v>-0.4028195381110495</v>
      </c>
    </row>
    <row r="68" spans="1:6" ht="12.75">
      <c r="A68" s="170" t="s">
        <v>165</v>
      </c>
      <c r="B68" s="170">
        <f>B13+(8/0.017)*(B14*B50-B29*B51)</f>
        <v>-0.1660892341001579</v>
      </c>
      <c r="C68" s="170">
        <f>C13+(8/0.017)*(C14*C50-C29*C51)</f>
        <v>0.019719227487898262</v>
      </c>
      <c r="D68" s="170">
        <f>D13+(8/0.017)*(D14*D50-D29*D51)</f>
        <v>0.14522751531011185</v>
      </c>
      <c r="E68" s="170">
        <f>E13+(8/0.017)*(E14*E50-E29*E51)</f>
        <v>-0.06905395392236763</v>
      </c>
      <c r="F68" s="170">
        <f>F13+(8/0.017)*(F14*F50-F29*F51)</f>
        <v>-0.43904607363992265</v>
      </c>
    </row>
    <row r="69" spans="1:6" ht="12.75">
      <c r="A69" s="170" t="s">
        <v>166</v>
      </c>
      <c r="B69" s="170">
        <f>B14+(9/0.017)*(B15*B50-B30*B51)</f>
        <v>0.008645031527991592</v>
      </c>
      <c r="C69" s="170">
        <f>C14+(9/0.017)*(C15*C50-C30*C51)</f>
        <v>-0.09285345102684069</v>
      </c>
      <c r="D69" s="170">
        <f>D14+(9/0.017)*(D15*D50-D30*D51)</f>
        <v>0.07717977807446258</v>
      </c>
      <c r="E69" s="170">
        <f>E14+(9/0.017)*(E15*E50-E30*E51)</f>
        <v>0.040383644782026974</v>
      </c>
      <c r="F69" s="170">
        <f>F14+(9/0.017)*(F15*F50-F30*F51)</f>
        <v>-0.10765666212432218</v>
      </c>
    </row>
    <row r="70" spans="1:6" ht="12.75">
      <c r="A70" s="170" t="s">
        <v>167</v>
      </c>
      <c r="B70" s="170">
        <f>B15+(10/0.017)*(B16*B50-B31*B51)</f>
        <v>-0.39478284918528095</v>
      </c>
      <c r="C70" s="170">
        <f>C15+(10/0.017)*(C16*C50-C31*C51)</f>
        <v>-0.11688094196856039</v>
      </c>
      <c r="D70" s="170">
        <f>D15+(10/0.017)*(D16*D50-D31*D51)</f>
        <v>-0.006315970030851603</v>
      </c>
      <c r="E70" s="170">
        <f>E15+(10/0.017)*(E16*E50-E31*E51)</f>
        <v>-0.06039719972934356</v>
      </c>
      <c r="F70" s="170">
        <f>F15+(10/0.017)*(F16*F50-F31*F51)</f>
        <v>-0.324348194637664</v>
      </c>
    </row>
    <row r="71" spans="1:6" ht="12.75">
      <c r="A71" s="170" t="s">
        <v>168</v>
      </c>
      <c r="B71" s="170">
        <f>B16+(11/0.017)*(B17*B50-B32*B51)</f>
        <v>-0.028522805094136704</v>
      </c>
      <c r="C71" s="170">
        <f>C16+(11/0.017)*(C17*C50-C32*C51)</f>
        <v>0.03743781178757229</v>
      </c>
      <c r="D71" s="170">
        <f>D16+(11/0.017)*(D17*D50-D32*D51)</f>
        <v>0.03087139472156724</v>
      </c>
      <c r="E71" s="170">
        <f>E16+(11/0.017)*(E17*E50-E32*E51)</f>
        <v>0.04350614151790451</v>
      </c>
      <c r="F71" s="170">
        <f>F16+(11/0.017)*(F17*F50-F32*F51)</f>
        <v>-0.0466077406105129</v>
      </c>
    </row>
    <row r="72" spans="1:6" ht="12.75">
      <c r="A72" s="170" t="s">
        <v>169</v>
      </c>
      <c r="B72" s="170">
        <f>B17+(12/0.017)*(B18*B50-B33*B51)</f>
        <v>-0.07171078904861658</v>
      </c>
      <c r="C72" s="170">
        <f>C17+(12/0.017)*(C18*C50-C33*C51)</f>
        <v>-0.037128914247786464</v>
      </c>
      <c r="D72" s="170">
        <f>D17+(12/0.017)*(D18*D50-D33*D51)</f>
        <v>-0.05862058120048651</v>
      </c>
      <c r="E72" s="170">
        <f>E17+(12/0.017)*(E18*E50-E33*E51)</f>
        <v>-0.050087455348267765</v>
      </c>
      <c r="F72" s="170">
        <f>F17+(12/0.017)*(F18*F50-F33*F51)</f>
        <v>-0.04507611169683304</v>
      </c>
    </row>
    <row r="73" spans="1:6" ht="12.75">
      <c r="A73" s="170" t="s">
        <v>170</v>
      </c>
      <c r="B73" s="170">
        <f>B18+(13/0.017)*(B19*B50-B34*B51)</f>
        <v>0.01888139209698255</v>
      </c>
      <c r="C73" s="170">
        <f>C18+(13/0.017)*(C19*C50-C34*C51)</f>
        <v>-0.016528680814603576</v>
      </c>
      <c r="D73" s="170">
        <f>D18+(13/0.017)*(D19*D50-D34*D51)</f>
        <v>-0.02237230567489807</v>
      </c>
      <c r="E73" s="170">
        <f>E18+(13/0.017)*(E19*E50-E34*E51)</f>
        <v>-0.010422388170569171</v>
      </c>
      <c r="F73" s="170">
        <f>F18+(13/0.017)*(F19*F50-F34*F51)</f>
        <v>0.0019527581893548501</v>
      </c>
    </row>
    <row r="74" spans="1:6" ht="12.75">
      <c r="A74" s="170" t="s">
        <v>171</v>
      </c>
      <c r="B74" s="170">
        <f>B19+(14/0.017)*(B20*B50-B35*B51)</f>
        <v>-0.17526657983184754</v>
      </c>
      <c r="C74" s="170">
        <f>C19+(14/0.017)*(C20*C50-C35*C51)</f>
        <v>-0.1625591838089394</v>
      </c>
      <c r="D74" s="170">
        <f>D19+(14/0.017)*(D20*D50-D35*D51)</f>
        <v>-0.17162151647791102</v>
      </c>
      <c r="E74" s="170">
        <f>E19+(14/0.017)*(E20*E50-E35*E51)</f>
        <v>-0.17216038441818546</v>
      </c>
      <c r="F74" s="170">
        <f>F19+(14/0.017)*(F20*F50-F35*F51)</f>
        <v>-0.13507569805351666</v>
      </c>
    </row>
    <row r="75" spans="1:6" ht="12.75">
      <c r="A75" s="170" t="s">
        <v>172</v>
      </c>
      <c r="B75" s="171">
        <f>B20</f>
        <v>0.002623765</v>
      </c>
      <c r="C75" s="171">
        <f>C20</f>
        <v>-0.004279534</v>
      </c>
      <c r="D75" s="171">
        <f>D20</f>
        <v>-0.01087228</v>
      </c>
      <c r="E75" s="171">
        <f>E20</f>
        <v>-0.003190468</v>
      </c>
      <c r="F75" s="171">
        <f>F20</f>
        <v>0.001851526</v>
      </c>
    </row>
    <row r="78" ht="12.75">
      <c r="A78" s="170" t="s">
        <v>154</v>
      </c>
    </row>
    <row r="80" spans="2:6" ht="12.75">
      <c r="B80" s="170" t="s">
        <v>84</v>
      </c>
      <c r="C80" s="170" t="s">
        <v>85</v>
      </c>
      <c r="D80" s="170" t="s">
        <v>86</v>
      </c>
      <c r="E80" s="170" t="s">
        <v>87</v>
      </c>
      <c r="F80" s="170" t="s">
        <v>88</v>
      </c>
    </row>
    <row r="81" spans="1:6" ht="12.75">
      <c r="A81" s="170" t="s">
        <v>173</v>
      </c>
      <c r="B81" s="170">
        <f>B21+(1/0.017)*(B7*B51+B22*B50)</f>
        <v>0</v>
      </c>
      <c r="C81" s="170">
        <f>C21+(1/0.017)*(C7*C51+C22*C50)</f>
        <v>0</v>
      </c>
      <c r="D81" s="170">
        <f>D21+(1/0.017)*(D7*D51+D22*D50)</f>
        <v>0</v>
      </c>
      <c r="E81" s="170">
        <f>E21+(1/0.017)*(E7*E51+E22*E50)</f>
        <v>0</v>
      </c>
      <c r="F81" s="170">
        <f>F21+(1/0.017)*(F7*F51+F22*F50)</f>
        <v>0</v>
      </c>
    </row>
    <row r="82" spans="1:6" ht="12.75">
      <c r="A82" s="170" t="s">
        <v>174</v>
      </c>
      <c r="B82" s="170">
        <f>B22+(2/0.017)*(B8*B51+B23*B50)</f>
        <v>51.765049515070956</v>
      </c>
      <c r="C82" s="170">
        <f>C22+(2/0.017)*(C8*C51+C23*C50)</f>
        <v>19.53739849992336</v>
      </c>
      <c r="D82" s="170">
        <f>D22+(2/0.017)*(D8*D51+D23*D50)</f>
        <v>-9.210053676250592</v>
      </c>
      <c r="E82" s="170">
        <f>E22+(2/0.017)*(E8*E51+E23*E50)</f>
        <v>-23.261551861751034</v>
      </c>
      <c r="F82" s="170">
        <f>F22+(2/0.017)*(F8*F51+F23*F50)</f>
        <v>-36.435013685765036</v>
      </c>
    </row>
    <row r="83" spans="1:6" ht="12.75">
      <c r="A83" s="170" t="s">
        <v>175</v>
      </c>
      <c r="B83" s="170">
        <f>B23+(3/0.017)*(B9*B51+B24*B50)</f>
        <v>0.16030963118566272</v>
      </c>
      <c r="C83" s="170">
        <f>C23+(3/0.017)*(C9*C51+C24*C50)</f>
        <v>1.5033116075252129</v>
      </c>
      <c r="D83" s="170">
        <f>D23+(3/0.017)*(D9*D51+D24*D50)</f>
        <v>1.5230380914812076</v>
      </c>
      <c r="E83" s="170">
        <f>E23+(3/0.017)*(E9*E51+E24*E50)</f>
        <v>2.8848381209179443</v>
      </c>
      <c r="F83" s="170">
        <f>F23+(3/0.017)*(F9*F51+F24*F50)</f>
        <v>7.59684464877472</v>
      </c>
    </row>
    <row r="84" spans="1:6" ht="12.75">
      <c r="A84" s="170" t="s">
        <v>176</v>
      </c>
      <c r="B84" s="170">
        <f>B24+(4/0.017)*(B10*B51+B25*B50)</f>
        <v>3.005609497409441</v>
      </c>
      <c r="C84" s="170">
        <f>C24+(4/0.017)*(C10*C51+C25*C50)</f>
        <v>2.089721018951723</v>
      </c>
      <c r="D84" s="170">
        <f>D24+(4/0.017)*(D10*D51+D25*D50)</f>
        <v>-2.8319710834304983</v>
      </c>
      <c r="E84" s="170">
        <f>E24+(4/0.017)*(E10*E51+E25*E50)</f>
        <v>-0.31211224729113407</v>
      </c>
      <c r="F84" s="170">
        <f>F24+(4/0.017)*(F10*F51+F25*F50)</f>
        <v>1.5600664837066542</v>
      </c>
    </row>
    <row r="85" spans="1:6" ht="12.75">
      <c r="A85" s="170" t="s">
        <v>177</v>
      </c>
      <c r="B85" s="170">
        <f>B25+(5/0.017)*(B11*B51+B26*B50)</f>
        <v>-0.46085095099662476</v>
      </c>
      <c r="C85" s="170">
        <f>C25+(5/0.017)*(C11*C51+C26*C50)</f>
        <v>0.431469759275249</v>
      </c>
      <c r="D85" s="170">
        <f>D25+(5/0.017)*(D11*D51+D26*D50)</f>
        <v>0.12920204408135616</v>
      </c>
      <c r="E85" s="170">
        <f>E25+(5/0.017)*(E11*E51+E26*E50)</f>
        <v>0.5642593714048358</v>
      </c>
      <c r="F85" s="170">
        <f>F25+(5/0.017)*(F11*F51+F26*F50)</f>
        <v>-0.6151650815236325</v>
      </c>
    </row>
    <row r="86" spans="1:6" ht="12.75">
      <c r="A86" s="170" t="s">
        <v>178</v>
      </c>
      <c r="B86" s="170">
        <f>B26+(6/0.017)*(B12*B51+B27*B50)</f>
        <v>0.5508835849800109</v>
      </c>
      <c r="C86" s="170">
        <f>C26+(6/0.017)*(C12*C51+C27*C50)</f>
        <v>0.5441038584243637</v>
      </c>
      <c r="D86" s="170">
        <f>D26+(6/0.017)*(D12*D51+D27*D50)</f>
        <v>-0.1311882227343607</v>
      </c>
      <c r="E86" s="170">
        <f>E26+(6/0.017)*(E12*E51+E27*E50)</f>
        <v>-0.558650310570983</v>
      </c>
      <c r="F86" s="170">
        <f>F26+(6/0.017)*(F12*F51+F27*F50)</f>
        <v>1.44009881860777</v>
      </c>
    </row>
    <row r="87" spans="1:6" ht="12.75">
      <c r="A87" s="170" t="s">
        <v>179</v>
      </c>
      <c r="B87" s="170">
        <f>B27+(7/0.017)*(B13*B51+B28*B50)</f>
        <v>-0.21212142304540413</v>
      </c>
      <c r="C87" s="170">
        <f>C27+(7/0.017)*(C13*C51+C28*C50)</f>
        <v>-0.07060786193474758</v>
      </c>
      <c r="D87" s="170">
        <f>D27+(7/0.017)*(D13*D51+D28*D50)</f>
        <v>-0.059231882926268735</v>
      </c>
      <c r="E87" s="170">
        <f>E27+(7/0.017)*(E13*E51+E28*E50)</f>
        <v>-0.025563123938633782</v>
      </c>
      <c r="F87" s="170">
        <f>F27+(7/0.017)*(F13*F51+F28*F50)</f>
        <v>0.13244479596260758</v>
      </c>
    </row>
    <row r="88" spans="1:6" ht="12.75">
      <c r="A88" s="170" t="s">
        <v>180</v>
      </c>
      <c r="B88" s="170">
        <f>B28+(8/0.017)*(B14*B51+B29*B50)</f>
        <v>0.23385948788897254</v>
      </c>
      <c r="C88" s="170">
        <f>C28+(8/0.017)*(C14*C51+C29*C50)</f>
        <v>0.24147645148858987</v>
      </c>
      <c r="D88" s="170">
        <f>D28+(8/0.017)*(D14*D51+D29*D50)</f>
        <v>-0.3917080354165147</v>
      </c>
      <c r="E88" s="170">
        <f>E28+(8/0.017)*(E14*E51+E29*E50)</f>
        <v>-0.16046986150841414</v>
      </c>
      <c r="F88" s="170">
        <f>F28+(8/0.017)*(F14*F51+F29*F50)</f>
        <v>-0.3209700059613064</v>
      </c>
    </row>
    <row r="89" spans="1:6" ht="12.75">
      <c r="A89" s="170" t="s">
        <v>181</v>
      </c>
      <c r="B89" s="170">
        <f>B29+(9/0.017)*(B15*B51+B30*B50)</f>
        <v>-0.09939022584347179</v>
      </c>
      <c r="C89" s="170">
        <f>C29+(9/0.017)*(C15*C51+C30*C50)</f>
        <v>-0.11344347226197787</v>
      </c>
      <c r="D89" s="170">
        <f>D29+(9/0.017)*(D15*D51+D30*D50)</f>
        <v>-0.1199873633102496</v>
      </c>
      <c r="E89" s="170">
        <f>E29+(9/0.017)*(E15*E51+E30*E50)</f>
        <v>-0.12442544301191502</v>
      </c>
      <c r="F89" s="170">
        <f>F29+(9/0.017)*(F15*F51+F30*F50)</f>
        <v>-0.09272765169207473</v>
      </c>
    </row>
    <row r="90" spans="1:6" ht="12.75">
      <c r="A90" s="170" t="s">
        <v>182</v>
      </c>
      <c r="B90" s="170">
        <f>B30+(10/0.017)*(B16*B51+B31*B50)</f>
        <v>-0.010863071227214069</v>
      </c>
      <c r="C90" s="170">
        <f>C30+(10/0.017)*(C16*C51+C31*C50)</f>
        <v>0.04450070368374182</v>
      </c>
      <c r="D90" s="170">
        <f>D30+(10/0.017)*(D16*D51+D31*D50)</f>
        <v>-0.0037177451374985834</v>
      </c>
      <c r="E90" s="170">
        <f>E30+(10/0.017)*(E16*E51+E31*E50)</f>
        <v>-0.07948861958035763</v>
      </c>
      <c r="F90" s="170">
        <f>F30+(10/0.017)*(F16*F51+F31*F50)</f>
        <v>0.12552723032608903</v>
      </c>
    </row>
    <row r="91" spans="1:6" ht="12.75">
      <c r="A91" s="170" t="s">
        <v>183</v>
      </c>
      <c r="B91" s="170">
        <f>B31+(11/0.017)*(B17*B51+B32*B50)</f>
        <v>0.07093662922399124</v>
      </c>
      <c r="C91" s="170">
        <f>C31+(11/0.017)*(C17*C51+C32*C50)</f>
        <v>0.024156458541710307</v>
      </c>
      <c r="D91" s="170">
        <f>D31+(11/0.017)*(D17*D51+D32*D50)</f>
        <v>0.0745528651161172</v>
      </c>
      <c r="E91" s="170">
        <f>E31+(11/0.017)*(E17*E51+E32*E50)</f>
        <v>0.028218473744085395</v>
      </c>
      <c r="F91" s="170">
        <f>F31+(11/0.017)*(F17*F51+F32*F50)</f>
        <v>0.02137822419314931</v>
      </c>
    </row>
    <row r="92" spans="1:6" ht="12.75">
      <c r="A92" s="170" t="s">
        <v>184</v>
      </c>
      <c r="B92" s="170">
        <f>B32+(12/0.017)*(B18*B51+B33*B50)</f>
        <v>0.008437458557961679</v>
      </c>
      <c r="C92" s="170">
        <f>C32+(12/0.017)*(C18*C51+C33*C50)</f>
        <v>0.0007355777812354334</v>
      </c>
      <c r="D92" s="170">
        <f>D32+(12/0.017)*(D18*D51+D33*D50)</f>
        <v>-0.032291319008419236</v>
      </c>
      <c r="E92" s="170">
        <f>E32+(12/0.017)*(E18*E51+E33*E50)</f>
        <v>-0.008280501422912812</v>
      </c>
      <c r="F92" s="170">
        <f>F32+(12/0.017)*(F18*F51+F33*F50)</f>
        <v>-0.08219651471882777</v>
      </c>
    </row>
    <row r="93" spans="1:6" ht="12.75">
      <c r="A93" s="170" t="s">
        <v>185</v>
      </c>
      <c r="B93" s="170">
        <f>B33+(13/0.017)*(B19*B51+B34*B50)</f>
        <v>-0.07106058151773789</v>
      </c>
      <c r="C93" s="170">
        <f>C33+(13/0.017)*(C19*C51+C34*C50)</f>
        <v>-0.0761949681149595</v>
      </c>
      <c r="D93" s="170">
        <f>D33+(13/0.017)*(D19*D51+D34*D50)</f>
        <v>-0.07361993463706007</v>
      </c>
      <c r="E93" s="170">
        <f>E33+(13/0.017)*(E19*E51+E34*E50)</f>
        <v>-0.0834071555265827</v>
      </c>
      <c r="F93" s="170">
        <f>F33+(13/0.017)*(F19*F51+F34*F50)</f>
        <v>-0.0529484933325971</v>
      </c>
    </row>
    <row r="94" spans="1:6" ht="12.75">
      <c r="A94" s="170" t="s">
        <v>186</v>
      </c>
      <c r="B94" s="170">
        <f>B34+(14/0.017)*(B20*B51+B35*B50)</f>
        <v>0.0024071774221536084</v>
      </c>
      <c r="C94" s="170">
        <f>C34+(14/0.017)*(C20*C51+C35*C50)</f>
        <v>0.0011673290623936145</v>
      </c>
      <c r="D94" s="170">
        <f>D34+(14/0.017)*(D20*D51+D35*D50)</f>
        <v>-0.005073693680533491</v>
      </c>
      <c r="E94" s="170">
        <f>E34+(14/0.017)*(E20*E51+E35*E50)</f>
        <v>-0.009423596802255872</v>
      </c>
      <c r="F94" s="170">
        <f>F34+(14/0.017)*(F20*F51+F35*F50)</f>
        <v>-0.02889457788653868</v>
      </c>
    </row>
    <row r="95" spans="1:6" ht="12.75">
      <c r="A95" s="170" t="s">
        <v>187</v>
      </c>
      <c r="B95" s="171">
        <f>B35</f>
        <v>0.002441039</v>
      </c>
      <c r="C95" s="171">
        <f>C35</f>
        <v>0.003247608</v>
      </c>
      <c r="D95" s="171">
        <f>D35</f>
        <v>0.0007213839</v>
      </c>
      <c r="E95" s="171">
        <f>E35</f>
        <v>-0.0002446446</v>
      </c>
      <c r="F95" s="171">
        <f>F35</f>
        <v>-0.0004294898</v>
      </c>
    </row>
    <row r="98" ht="12.75">
      <c r="A98" s="170" t="s">
        <v>155</v>
      </c>
    </row>
    <row r="100" spans="2:11" ht="12.75">
      <c r="B100" s="170" t="s">
        <v>84</v>
      </c>
      <c r="C100" s="170" t="s">
        <v>85</v>
      </c>
      <c r="D100" s="170" t="s">
        <v>86</v>
      </c>
      <c r="E100" s="170" t="s">
        <v>87</v>
      </c>
      <c r="F100" s="170" t="s">
        <v>88</v>
      </c>
      <c r="G100" s="170" t="s">
        <v>157</v>
      </c>
      <c r="H100" s="170" t="s">
        <v>158</v>
      </c>
      <c r="I100" s="170" t="s">
        <v>153</v>
      </c>
      <c r="K100" s="170" t="s">
        <v>188</v>
      </c>
    </row>
    <row r="101" spans="1:9" ht="12.75">
      <c r="A101" s="170" t="s">
        <v>156</v>
      </c>
      <c r="B101" s="170">
        <f>B61*10000/B62</f>
        <v>0</v>
      </c>
      <c r="C101" s="170">
        <f>C61*10000/C62</f>
        <v>0</v>
      </c>
      <c r="D101" s="170">
        <f>D61*10000/D62</f>
        <v>0</v>
      </c>
      <c r="E101" s="170">
        <f>E61*10000/E62</f>
        <v>0</v>
      </c>
      <c r="F101" s="170">
        <f>F61*10000/F62</f>
        <v>0</v>
      </c>
      <c r="G101" s="170">
        <f>AVERAGE(C101:E101)</f>
        <v>0</v>
      </c>
      <c r="H101" s="170">
        <f>STDEV(C101:E101)</f>
        <v>0</v>
      </c>
      <c r="I101" s="170">
        <f>(B101*B4+C101*C4+D101*D4+E101*E4+F101*F4)/SUM(B4:F4)</f>
        <v>0</v>
      </c>
    </row>
    <row r="102" spans="1:9" ht="12.75">
      <c r="A102" s="170" t="s">
        <v>159</v>
      </c>
      <c r="B102" s="170">
        <f>B62*10000/B62</f>
        <v>10000</v>
      </c>
      <c r="C102" s="170">
        <f>C62*10000/C62</f>
        <v>10000</v>
      </c>
      <c r="D102" s="170">
        <f>D62*10000/D62</f>
        <v>10000</v>
      </c>
      <c r="E102" s="170">
        <f>E62*10000/E62</f>
        <v>10000</v>
      </c>
      <c r="F102" s="170">
        <f>F62*10000/F62</f>
        <v>10000</v>
      </c>
      <c r="G102" s="170">
        <f>AVERAGE(C102:E102)</f>
        <v>10000</v>
      </c>
      <c r="H102" s="170">
        <f>STDEV(C102:E102)</f>
        <v>0</v>
      </c>
      <c r="I102" s="170">
        <f>(B102*B4+C102*C4+D102*D4+E102*E4+F102*F4)/SUM(B4:F4)</f>
        <v>10000.000000000002</v>
      </c>
    </row>
    <row r="103" spans="1:11" ht="12.75">
      <c r="A103" s="170" t="s">
        <v>160</v>
      </c>
      <c r="B103" s="170">
        <f>B63*10000/B62</f>
        <v>-1.041888620970443</v>
      </c>
      <c r="C103" s="170">
        <f>C63*10000/C62</f>
        <v>-2.352437682311258</v>
      </c>
      <c r="D103" s="170">
        <f>D63*10000/D62</f>
        <v>-6.464520829538192</v>
      </c>
      <c r="E103" s="170">
        <f>E63*10000/E62</f>
        <v>-3.8946501405429528</v>
      </c>
      <c r="F103" s="170">
        <f>F63*10000/F62</f>
        <v>-1.8098438231162044</v>
      </c>
      <c r="G103" s="170">
        <f>AVERAGE(C103:E103)</f>
        <v>-4.237202884130801</v>
      </c>
      <c r="H103" s="170">
        <f>STDEV(C103:E103)</f>
        <v>2.077333324007395</v>
      </c>
      <c r="I103" s="170">
        <f>(B103*B4+C103*C4+D103*D4+E103*E4+F103*F4)/SUM(B4:F4)</f>
        <v>-3.4505812730722014</v>
      </c>
      <c r="K103" s="170">
        <f>(LN(H103)+LN(H123))/2-LN(K114*K115^3)</f>
        <v>-3.6295596050986965</v>
      </c>
    </row>
    <row r="104" spans="1:11" ht="12.75">
      <c r="A104" s="170" t="s">
        <v>161</v>
      </c>
      <c r="B104" s="170">
        <f>B64*10000/B62</f>
        <v>-0.31143347298740437</v>
      </c>
      <c r="C104" s="170">
        <f>C64*10000/C62</f>
        <v>-0.07688480012070865</v>
      </c>
      <c r="D104" s="170">
        <f>D64*10000/D62</f>
        <v>-0.06717218383031076</v>
      </c>
      <c r="E104" s="170">
        <f>E64*10000/E62</f>
        <v>0.17422728715650562</v>
      </c>
      <c r="F104" s="170">
        <f>F64*10000/F62</f>
        <v>-0.5667291442007457</v>
      </c>
      <c r="G104" s="170">
        <f>AVERAGE(C104:E104)</f>
        <v>0.010056767735162073</v>
      </c>
      <c r="H104" s="170">
        <f>STDEV(C104:E104)</f>
        <v>0.14225875478896347</v>
      </c>
      <c r="I104" s="170">
        <f>(B104*B4+C104*C4+D104*D4+E104*E4+F104*F4)/SUM(B4:F4)</f>
        <v>-0.11352778434795285</v>
      </c>
      <c r="K104" s="170">
        <f>(LN(H104)+LN(H124))/2-LN(K114*K115^4)</f>
        <v>-3.8119789784906475</v>
      </c>
    </row>
    <row r="105" spans="1:11" ht="12.75">
      <c r="A105" s="170" t="s">
        <v>162</v>
      </c>
      <c r="B105" s="170">
        <f>B65*10000/B62</f>
        <v>-0.32509885834031077</v>
      </c>
      <c r="C105" s="170">
        <f>C65*10000/C62</f>
        <v>0.44351581933732637</v>
      </c>
      <c r="D105" s="170">
        <f>D65*10000/D62</f>
        <v>1.9459353683581542</v>
      </c>
      <c r="E105" s="170">
        <f>E65*10000/E62</f>
        <v>1.3472638401575832</v>
      </c>
      <c r="F105" s="170">
        <f>F65*10000/F62</f>
        <v>-1.2056927842895737</v>
      </c>
      <c r="G105" s="170">
        <f>AVERAGE(C105:E105)</f>
        <v>1.2455716759510214</v>
      </c>
      <c r="H105" s="170">
        <f>STDEV(C105:E105)</f>
        <v>0.7563544787437614</v>
      </c>
      <c r="I105" s="170">
        <f>(B105*B4+C105*C4+D105*D4+E105*E4+F105*F4)/SUM(B4:F4)</f>
        <v>0.6907390138467318</v>
      </c>
      <c r="K105" s="170">
        <f>(LN(H105)+LN(H125))/2-LN(K114*K115^5)</f>
        <v>-3.585890615088206</v>
      </c>
    </row>
    <row r="106" spans="1:11" ht="12.75">
      <c r="A106" s="170" t="s">
        <v>163</v>
      </c>
      <c r="B106" s="170">
        <f>B66*10000/B62</f>
        <v>4.154998457845296</v>
      </c>
      <c r="C106" s="170">
        <f>C66*10000/C62</f>
        <v>4.518523256459491</v>
      </c>
      <c r="D106" s="170">
        <f>D66*10000/D62</f>
        <v>4.976017474624248</v>
      </c>
      <c r="E106" s="170">
        <f>E66*10000/E62</f>
        <v>4.81443942884794</v>
      </c>
      <c r="F106" s="170">
        <f>F66*10000/F62</f>
        <v>15.021152409911982</v>
      </c>
      <c r="G106" s="170">
        <f>AVERAGE(C106:E106)</f>
        <v>4.7696600533105595</v>
      </c>
      <c r="H106" s="170">
        <f>STDEV(C106:E106)</f>
        <v>0.232011064970378</v>
      </c>
      <c r="I106" s="170">
        <f>(B106*B4+C106*C4+D106*D4+E106*E4+F106*F4)/SUM(B4:F4)</f>
        <v>6.051279870736782</v>
      </c>
      <c r="K106" s="170">
        <f>(LN(H106)+LN(H126))/2-LN(K114*K115^6)</f>
        <v>-3.1285701095926877</v>
      </c>
    </row>
    <row r="107" spans="1:11" ht="12.75">
      <c r="A107" s="170" t="s">
        <v>164</v>
      </c>
      <c r="B107" s="170">
        <f>B67*10000/B62</f>
        <v>-0.130875918531188</v>
      </c>
      <c r="C107" s="170">
        <f>C67*10000/C62</f>
        <v>0.2452129681492922</v>
      </c>
      <c r="D107" s="170">
        <f>D67*10000/D62</f>
        <v>0.02301866919434729</v>
      </c>
      <c r="E107" s="170">
        <f>E67*10000/E62</f>
        <v>-0.09905118636823841</v>
      </c>
      <c r="F107" s="170">
        <f>F67*10000/F62</f>
        <v>-0.4028812353456809</v>
      </c>
      <c r="G107" s="170">
        <f>AVERAGE(C107:E107)</f>
        <v>0.056393483658467025</v>
      </c>
      <c r="H107" s="170">
        <f>STDEV(C107:E107)</f>
        <v>0.174541859454411</v>
      </c>
      <c r="I107" s="170">
        <f>(B107*B4+C107*C4+D107*D4+E107*E4+F107*F4)/SUM(B4:F4)</f>
        <v>-0.03207874774818495</v>
      </c>
      <c r="K107" s="170">
        <f>(LN(H107)+LN(H127))/2-LN(K114*K115^7)</f>
        <v>-4.263095293740898</v>
      </c>
    </row>
    <row r="108" spans="1:9" ht="12.75">
      <c r="A108" s="170" t="s">
        <v>165</v>
      </c>
      <c r="B108" s="170">
        <f>B68*10000/B62</f>
        <v>-0.16609145813487594</v>
      </c>
      <c r="C108" s="170">
        <f>C68*10000/C62</f>
        <v>0.01971975450227633</v>
      </c>
      <c r="D108" s="170">
        <f>D68*10000/D62</f>
        <v>0.14523072738072945</v>
      </c>
      <c r="E108" s="170">
        <f>E68*10000/E62</f>
        <v>-0.06905816985002806</v>
      </c>
      <c r="F108" s="170">
        <f>F68*10000/F62</f>
        <v>-0.4391133194561171</v>
      </c>
      <c r="G108" s="170">
        <f>AVERAGE(C108:E108)</f>
        <v>0.031964104010992575</v>
      </c>
      <c r="H108" s="170">
        <f>STDEV(C108:E108)</f>
        <v>0.1076678965163815</v>
      </c>
      <c r="I108" s="170">
        <f>(B108*B4+C108*C4+D108*D4+E108*E4+F108*F4)/SUM(B4:F4)</f>
        <v>-0.0596548347605437</v>
      </c>
    </row>
    <row r="109" spans="1:9" ht="12.75">
      <c r="A109" s="170" t="s">
        <v>166</v>
      </c>
      <c r="B109" s="170">
        <f>B69*10000/B62</f>
        <v>0.008645147290162218</v>
      </c>
      <c r="C109" s="170">
        <f>C69*10000/C62</f>
        <v>-0.0928559326201878</v>
      </c>
      <c r="D109" s="170">
        <f>D69*10000/D62</f>
        <v>0.07718148509876094</v>
      </c>
      <c r="E109" s="170">
        <f>E69*10000/E62</f>
        <v>0.04038611031101402</v>
      </c>
      <c r="F109" s="170">
        <f>F69*10000/F62</f>
        <v>-0.10767315119129708</v>
      </c>
      <c r="G109" s="170">
        <f>AVERAGE(C109:E109)</f>
        <v>0.008237220929862385</v>
      </c>
      <c r="H109" s="170">
        <f>STDEV(C109:E109)</f>
        <v>0.08946141163911515</v>
      </c>
      <c r="I109" s="170">
        <f>(B109*B4+C109*C4+D109*D4+E109*E4+F109*F4)/SUM(B4:F4)</f>
        <v>-0.007204019290868638</v>
      </c>
    </row>
    <row r="110" spans="1:11" ht="12.75">
      <c r="A110" s="170" t="s">
        <v>167</v>
      </c>
      <c r="B110" s="170">
        <f>B70*10000/B62</f>
        <v>-0.3947881355650239</v>
      </c>
      <c r="C110" s="170">
        <f>C70*10000/C62</f>
        <v>-0.11688406571856415</v>
      </c>
      <c r="D110" s="170">
        <f>D70*10000/D62</f>
        <v>-0.006316109724364326</v>
      </c>
      <c r="E110" s="170">
        <f>E70*10000/E62</f>
        <v>-0.06040088713912227</v>
      </c>
      <c r="F110" s="170">
        <f>F70*10000/F62</f>
        <v>-0.3243978729297366</v>
      </c>
      <c r="G110" s="170">
        <f>AVERAGE(C110:E110)</f>
        <v>-0.061200354194016905</v>
      </c>
      <c r="H110" s="170">
        <f>STDEV(C110:E110)</f>
        <v>0.055288313266573116</v>
      </c>
      <c r="I110" s="170">
        <f>(B110*B4+C110*C4+D110*D4+E110*E4+F110*F4)/SUM(B4:F4)</f>
        <v>-0.1446194643343205</v>
      </c>
      <c r="K110" s="170">
        <f>EXP(AVERAGE(K103:K107))</f>
        <v>0.025126833995974727</v>
      </c>
    </row>
    <row r="111" spans="1:9" ht="12.75">
      <c r="A111" s="170" t="s">
        <v>168</v>
      </c>
      <c r="B111" s="170">
        <f>B71*10000/B62</f>
        <v>-0.02852318703164836</v>
      </c>
      <c r="C111" s="170">
        <f>C71*10000/C62</f>
        <v>0.03743881234731062</v>
      </c>
      <c r="D111" s="170">
        <f>D71*10000/D62</f>
        <v>0.030872077519862713</v>
      </c>
      <c r="E111" s="170">
        <f>E71*10000/E62</f>
        <v>0.04350879768362719</v>
      </c>
      <c r="F111" s="170">
        <f>F71*10000/F62</f>
        <v>-0.04661487921337603</v>
      </c>
      <c r="G111" s="170">
        <f>AVERAGE(C111:E111)</f>
        <v>0.037273229183600175</v>
      </c>
      <c r="H111" s="170">
        <f>STDEV(C111:E111)</f>
        <v>0.0063199871409997015</v>
      </c>
      <c r="I111" s="170">
        <f>(B111*B4+C111*C4+D111*D4+E111*E4+F111*F4)/SUM(B4:F4)</f>
        <v>0.016546139793385484</v>
      </c>
    </row>
    <row r="112" spans="1:9" ht="12.75">
      <c r="A112" s="170" t="s">
        <v>169</v>
      </c>
      <c r="B112" s="170">
        <f>B72*10000/B62</f>
        <v>-0.07171174929920336</v>
      </c>
      <c r="C112" s="170">
        <f>C72*10000/C62</f>
        <v>-0.03712990655195571</v>
      </c>
      <c r="D112" s="170">
        <f>D72*10000/D62</f>
        <v>-0.05862187774161411</v>
      </c>
      <c r="E112" s="170">
        <f>E72*10000/E62</f>
        <v>-0.05009051332071466</v>
      </c>
      <c r="F112" s="170">
        <f>F72*10000/F62</f>
        <v>-0.045083015710110724</v>
      </c>
      <c r="G112" s="170">
        <f>AVERAGE(C112:E112)</f>
        <v>-0.048614099204761486</v>
      </c>
      <c r="H112" s="170">
        <f>STDEV(C112:E112)</f>
        <v>0.0108217861458087</v>
      </c>
      <c r="I112" s="170">
        <f>(B112*B4+C112*C4+D112*D4+E112*E4+F112*F4)/SUM(B4:F4)</f>
        <v>-0.05148079686867043</v>
      </c>
    </row>
    <row r="113" spans="1:9" ht="12.75">
      <c r="A113" s="170" t="s">
        <v>170</v>
      </c>
      <c r="B113" s="170">
        <f>B73*10000/B62</f>
        <v>0.018881644930176564</v>
      </c>
      <c r="C113" s="170">
        <f>C73*10000/C62</f>
        <v>-0.016529122558705627</v>
      </c>
      <c r="D113" s="170">
        <f>D73*10000/D62</f>
        <v>-0.022372800494530234</v>
      </c>
      <c r="E113" s="170">
        <f>E73*10000/E62</f>
        <v>-0.010423024485104114</v>
      </c>
      <c r="F113" s="170">
        <f>F73*10000/F62</f>
        <v>0.0019530572805577047</v>
      </c>
      <c r="G113" s="170">
        <f>AVERAGE(C113:E113)</f>
        <v>-0.016441649179446658</v>
      </c>
      <c r="H113" s="170">
        <f>STDEV(C113:E113)</f>
        <v>0.005975368219860861</v>
      </c>
      <c r="I113" s="170">
        <f>(B113*B4+C113*C4+D113*D4+E113*E4+F113*F4)/SUM(B4:F4)</f>
        <v>-0.008875166677443981</v>
      </c>
    </row>
    <row r="114" spans="1:11" ht="12.75">
      <c r="A114" s="170" t="s">
        <v>171</v>
      </c>
      <c r="B114" s="170">
        <f>B74*10000/B62</f>
        <v>-0.1752689267567435</v>
      </c>
      <c r="C114" s="170">
        <f>C74*10000/C62</f>
        <v>-0.16256352835170643</v>
      </c>
      <c r="D114" s="170">
        <f>D74*10000/D62</f>
        <v>-0.17162531231803985</v>
      </c>
      <c r="E114" s="170">
        <f>E74*10000/E62</f>
        <v>-0.17217089526782509</v>
      </c>
      <c r="F114" s="170">
        <f>F74*10000/F62</f>
        <v>-0.13509638671493285</v>
      </c>
      <c r="G114" s="170">
        <f>AVERAGE(C114:E114)</f>
        <v>-0.1687865786458571</v>
      </c>
      <c r="H114" s="170">
        <f>STDEV(C114:E114)</f>
        <v>0.005396219177481737</v>
      </c>
      <c r="I114" s="170">
        <f>(B114*B4+C114*C4+D114*D4+E114*E4+F114*F4)/SUM(B4:F4)</f>
        <v>-0.16521963164648226</v>
      </c>
      <c r="J114" s="170" t="s">
        <v>189</v>
      </c>
      <c r="K114" s="170">
        <v>285</v>
      </c>
    </row>
    <row r="115" spans="1:11" ht="12.75">
      <c r="A115" s="170" t="s">
        <v>172</v>
      </c>
      <c r="B115" s="170">
        <f>B75*10000/B62</f>
        <v>0.002623800133791083</v>
      </c>
      <c r="C115" s="170">
        <f>C75*10000/C62</f>
        <v>-0.004279648374457661</v>
      </c>
      <c r="D115" s="170">
        <f>D75*10000/D62</f>
        <v>-0.010872520467731335</v>
      </c>
      <c r="E115" s="170">
        <f>E75*10000/E62</f>
        <v>-0.0031906627865622016</v>
      </c>
      <c r="F115" s="170">
        <f>F75*10000/F62</f>
        <v>0.0018518095861303646</v>
      </c>
      <c r="G115" s="170">
        <f>AVERAGE(C115:E115)</f>
        <v>-0.006114277209583733</v>
      </c>
      <c r="H115" s="170">
        <f>STDEV(C115:E115)</f>
        <v>0.004156576906595298</v>
      </c>
      <c r="I115" s="170">
        <f>(B115*B4+C115*C4+D115*D4+E115*E4+F115*F4)/SUM(B4:F4)</f>
        <v>-0.003785674176471797</v>
      </c>
      <c r="J115" s="170" t="s">
        <v>190</v>
      </c>
      <c r="K115" s="170">
        <v>0.5536</v>
      </c>
    </row>
    <row r="118" ht="12.75">
      <c r="A118" s="170" t="s">
        <v>155</v>
      </c>
    </row>
    <row r="120" spans="2:9" ht="12.75">
      <c r="B120" s="170" t="s">
        <v>84</v>
      </c>
      <c r="C120" s="170" t="s">
        <v>85</v>
      </c>
      <c r="D120" s="170" t="s">
        <v>86</v>
      </c>
      <c r="E120" s="170" t="s">
        <v>87</v>
      </c>
      <c r="F120" s="170" t="s">
        <v>88</v>
      </c>
      <c r="G120" s="170" t="s">
        <v>157</v>
      </c>
      <c r="H120" s="170" t="s">
        <v>158</v>
      </c>
      <c r="I120" s="170" t="s">
        <v>153</v>
      </c>
    </row>
    <row r="121" spans="1:9" ht="12.75">
      <c r="A121" s="170" t="s">
        <v>173</v>
      </c>
      <c r="B121" s="170">
        <f>B81*10000/B62</f>
        <v>0</v>
      </c>
      <c r="C121" s="170">
        <f>C81*10000/C62</f>
        <v>0</v>
      </c>
      <c r="D121" s="170">
        <f>D81*10000/D62</f>
        <v>0</v>
      </c>
      <c r="E121" s="170">
        <f>E81*10000/E62</f>
        <v>0</v>
      </c>
      <c r="F121" s="170">
        <f>F81*10000/F62</f>
        <v>0</v>
      </c>
      <c r="G121" s="170">
        <f>AVERAGE(C121:E121)</f>
        <v>0</v>
      </c>
      <c r="H121" s="170">
        <f>STDEV(C121:E121)</f>
        <v>0</v>
      </c>
      <c r="I121" s="170">
        <f>(B121*B4+C121*C4+D121*D4+E121*E4+F121*F4)/SUM(B4:F4)</f>
        <v>0</v>
      </c>
    </row>
    <row r="122" spans="1:9" ht="12.75">
      <c r="A122" s="170" t="s">
        <v>174</v>
      </c>
      <c r="B122" s="170">
        <f>B82*10000/B62</f>
        <v>51.76574268021153</v>
      </c>
      <c r="C122" s="170">
        <f>C82*10000/C62</f>
        <v>19.53792065475553</v>
      </c>
      <c r="D122" s="170">
        <f>D82*10000/D62</f>
        <v>-9.21025737967922</v>
      </c>
      <c r="E122" s="170">
        <f>E82*10000/E62</f>
        <v>-23.262972041398225</v>
      </c>
      <c r="F122" s="170">
        <f>F82*10000/F62</f>
        <v>-36.44059419856416</v>
      </c>
      <c r="G122" s="170">
        <f>AVERAGE(C122:E122)</f>
        <v>-4.311769588773971</v>
      </c>
      <c r="H122" s="170">
        <f>STDEV(C122:E122)</f>
        <v>21.81686253509319</v>
      </c>
      <c r="I122" s="170">
        <f>(B122*B4+C122*C4+D122*D4+E122*E4+F122*F4)/SUM(B4:F4)</f>
        <v>-0.49913832118963686</v>
      </c>
    </row>
    <row r="123" spans="1:9" ht="12.75">
      <c r="A123" s="170" t="s">
        <v>175</v>
      </c>
      <c r="B123" s="170">
        <f>B83*10000/B62</f>
        <v>0.1603117778280223</v>
      </c>
      <c r="C123" s="170">
        <f>C83*10000/C62</f>
        <v>1.5033517849019566</v>
      </c>
      <c r="D123" s="170">
        <f>D83*10000/D62</f>
        <v>1.5230717772871836</v>
      </c>
      <c r="E123" s="170">
        <f>E83*10000/E62</f>
        <v>2.885014247962654</v>
      </c>
      <c r="F123" s="170">
        <f>F83*10000/F62</f>
        <v>7.598008207794106</v>
      </c>
      <c r="G123" s="170">
        <f>AVERAGE(C123:E123)</f>
        <v>1.970479270050598</v>
      </c>
      <c r="H123" s="170">
        <f>STDEV(C123:E123)</f>
        <v>0.7920718962905902</v>
      </c>
      <c r="I123" s="170">
        <f>(B123*B4+C123*C4+D123*D4+E123*E4+F123*F4)/SUM(B4:F4)</f>
        <v>2.461130238637947</v>
      </c>
    </row>
    <row r="124" spans="1:9" ht="12.75">
      <c r="A124" s="170" t="s">
        <v>176</v>
      </c>
      <c r="B124" s="170">
        <f>B84*10000/B62</f>
        <v>3.005649744327956</v>
      </c>
      <c r="C124" s="170">
        <f>C84*10000/C62</f>
        <v>2.0897768686559677</v>
      </c>
      <c r="D124" s="170">
        <f>D84*10000/D62</f>
        <v>-2.832033719571367</v>
      </c>
      <c r="E124" s="170">
        <f>E84*10000/E62</f>
        <v>-0.31213130257445637</v>
      </c>
      <c r="F124" s="170">
        <f>F84*10000/F62</f>
        <v>1.5603054288887503</v>
      </c>
      <c r="G124" s="170">
        <f>AVERAGE(C124:E124)</f>
        <v>-0.35146271782995187</v>
      </c>
      <c r="H124" s="170">
        <f>STDEV(C124:E124)</f>
        <v>2.46114101318193</v>
      </c>
      <c r="I124" s="170">
        <f>(B124*B4+C124*C4+D124*D4+E124*E4+F124*F4)/SUM(B4:F4)</f>
        <v>0.3896392948722499</v>
      </c>
    </row>
    <row r="125" spans="1:9" ht="12.75">
      <c r="A125" s="170" t="s">
        <v>177</v>
      </c>
      <c r="B125" s="170">
        <f>B85*10000/B62</f>
        <v>-0.46085712206797935</v>
      </c>
      <c r="C125" s="170">
        <f>C85*10000/C62</f>
        <v>0.4314812906989307</v>
      </c>
      <c r="D125" s="170">
        <f>D85*10000/D62</f>
        <v>0.12920490170849824</v>
      </c>
      <c r="E125" s="170">
        <f>E85*10000/E62</f>
        <v>0.5642938209411251</v>
      </c>
      <c r="F125" s="170">
        <f>F85*10000/F62</f>
        <v>-0.6152593023366292</v>
      </c>
      <c r="G125" s="170">
        <f>AVERAGE(C125:E125)</f>
        <v>0.3749933377828514</v>
      </c>
      <c r="H125" s="170">
        <f>STDEV(C125:E125)</f>
        <v>0.2229770358764343</v>
      </c>
      <c r="I125" s="170">
        <f>(B125*B4+C125*C4+D125*D4+E125*E4+F125*F4)/SUM(B4:F4)</f>
        <v>0.12177919651217001</v>
      </c>
    </row>
    <row r="126" spans="1:9" ht="12.75">
      <c r="A126" s="170" t="s">
        <v>178</v>
      </c>
      <c r="B126" s="170">
        <f>B86*10000/B62</f>
        <v>0.5508909616424733</v>
      </c>
      <c r="C126" s="170">
        <f>C86*10000/C62</f>
        <v>0.5441184000972932</v>
      </c>
      <c r="D126" s="170">
        <f>D86*10000/D62</f>
        <v>-0.13119112429082347</v>
      </c>
      <c r="E126" s="170">
        <f>E86*10000/E62</f>
        <v>-0.558684417659181</v>
      </c>
      <c r="F126" s="170">
        <f>F86*10000/F62</f>
        <v>1.4403193891270665</v>
      </c>
      <c r="G126" s="170">
        <f>AVERAGE(C126:E126)</f>
        <v>-0.048585713950903754</v>
      </c>
      <c r="H126" s="170">
        <f>STDEV(C126:E126)</f>
        <v>0.5560227100361771</v>
      </c>
      <c r="I126" s="170">
        <f>(B126*B4+C126*C4+D126*D4+E126*E4+F126*F4)/SUM(B4:F4)</f>
        <v>0.23713886566272227</v>
      </c>
    </row>
    <row r="127" spans="1:9" ht="12.75">
      <c r="A127" s="170" t="s">
        <v>179</v>
      </c>
      <c r="B127" s="170">
        <f>B87*10000/B62</f>
        <v>-0.21212426347881239</v>
      </c>
      <c r="C127" s="170">
        <f>C87*10000/C62</f>
        <v>-0.07060974899439365</v>
      </c>
      <c r="D127" s="170">
        <f>D87*10000/D62</f>
        <v>-0.059233192987866674</v>
      </c>
      <c r="E127" s="170">
        <f>E87*10000/E62</f>
        <v>-0.025564684635381446</v>
      </c>
      <c r="F127" s="170">
        <f>F87*10000/F62</f>
        <v>0.13246508166595386</v>
      </c>
      <c r="G127" s="170">
        <f>AVERAGE(C127:E127)</f>
        <v>-0.05180254220588059</v>
      </c>
      <c r="H127" s="170">
        <f>STDEV(C127:E127)</f>
        <v>0.023423820868077025</v>
      </c>
      <c r="I127" s="170">
        <f>(B127*B4+C127*C4+D127*D4+E127*E4+F127*F4)/SUM(B4:F4)</f>
        <v>-0.050346656179470144</v>
      </c>
    </row>
    <row r="128" spans="1:9" ht="12.75">
      <c r="A128" s="170" t="s">
        <v>180</v>
      </c>
      <c r="B128" s="170">
        <f>B88*10000/B62</f>
        <v>0.23386261940814068</v>
      </c>
      <c r="C128" s="170">
        <f>C88*10000/C62</f>
        <v>0.24148290516746634</v>
      </c>
      <c r="D128" s="170">
        <f>D88*10000/D62</f>
        <v>-0.39171669902181394</v>
      </c>
      <c r="E128" s="170">
        <f>E88*10000/E62</f>
        <v>-0.1604796586205181</v>
      </c>
      <c r="F128" s="170">
        <f>F88*10000/F62</f>
        <v>-0.3210191668383093</v>
      </c>
      <c r="G128" s="170">
        <f>AVERAGE(C128:E128)</f>
        <v>-0.10357115082495523</v>
      </c>
      <c r="H128" s="170">
        <f>STDEV(C128:E128)</f>
        <v>0.3204128093272857</v>
      </c>
      <c r="I128" s="170">
        <f>(B128*B4+C128*C4+D128*D4+E128*E4+F128*F4)/SUM(B4:F4)</f>
        <v>-0.08383749151136712</v>
      </c>
    </row>
    <row r="129" spans="1:9" ht="12.75">
      <c r="A129" s="170" t="s">
        <v>181</v>
      </c>
      <c r="B129" s="170">
        <f>B89*10000/B62</f>
        <v>-0.09939155673836157</v>
      </c>
      <c r="C129" s="170">
        <f>C89*10000/C62</f>
        <v>-0.11344650414246187</v>
      </c>
      <c r="D129" s="170">
        <f>D89*10000/D62</f>
        <v>-0.11999001713162324</v>
      </c>
      <c r="E129" s="170">
        <f>E89*10000/E62</f>
        <v>-0.12443303951634466</v>
      </c>
      <c r="F129" s="170">
        <f>F89*10000/F62</f>
        <v>-0.09274185418014193</v>
      </c>
      <c r="G129" s="170">
        <f>AVERAGE(C129:E129)</f>
        <v>-0.11928985359680992</v>
      </c>
      <c r="H129" s="170">
        <f>STDEV(C129:E129)</f>
        <v>0.005526632031536539</v>
      </c>
      <c r="I129" s="170">
        <f>(B129*B4+C129*C4+D129*D4+E129*E4+F129*F4)/SUM(B4:F4)</f>
        <v>-0.1128638186883711</v>
      </c>
    </row>
    <row r="130" spans="1:9" ht="12.75">
      <c r="A130" s="170" t="s">
        <v>182</v>
      </c>
      <c r="B130" s="170">
        <f>B90*10000/B62</f>
        <v>-0.010863216690270025</v>
      </c>
      <c r="C130" s="170">
        <f>C90*10000/C62</f>
        <v>0.04450189300572159</v>
      </c>
      <c r="D130" s="170">
        <f>D90*10000/D62</f>
        <v>-0.003717827364753483</v>
      </c>
      <c r="E130" s="170">
        <f>E90*10000/E62</f>
        <v>-0.0794934725721263</v>
      </c>
      <c r="F130" s="170">
        <f>F90*10000/F62</f>
        <v>0.12554645651114046</v>
      </c>
      <c r="G130" s="170">
        <f>AVERAGE(C130:E130)</f>
        <v>-0.012903135643719399</v>
      </c>
      <c r="H130" s="170">
        <f>STDEV(C130:E130)</f>
        <v>0.06250592041823531</v>
      </c>
      <c r="I130" s="170">
        <f>(B130*B4+C130*C4+D130*D4+E130*E4+F130*F4)/SUM(B4:F4)</f>
        <v>0.005900221642607473</v>
      </c>
    </row>
    <row r="131" spans="1:9" ht="12.75">
      <c r="A131" s="170" t="s">
        <v>183</v>
      </c>
      <c r="B131" s="170">
        <f>B91*10000/B62</f>
        <v>0.07093757910811245</v>
      </c>
      <c r="C131" s="170">
        <f>C91*10000/C62</f>
        <v>0.024157104145143934</v>
      </c>
      <c r="D131" s="170">
        <f>D91*10000/D62</f>
        <v>0.07455451403964924</v>
      </c>
      <c r="E131" s="170">
        <f>E91*10000/E62</f>
        <v>0.028220196557005372</v>
      </c>
      <c r="F131" s="170">
        <f>F91*10000/F62</f>
        <v>0.02138149855595761</v>
      </c>
      <c r="G131" s="170">
        <f>AVERAGE(C131:E131)</f>
        <v>0.04231060491393285</v>
      </c>
      <c r="H131" s="170">
        <f>STDEV(C131:E131)</f>
        <v>0.027997847002357603</v>
      </c>
      <c r="I131" s="170">
        <f>(B131*B4+C131*C4+D131*D4+E131*E4+F131*F4)/SUM(B4:F4)</f>
        <v>0.04364939114659208</v>
      </c>
    </row>
    <row r="132" spans="1:9" ht="12.75">
      <c r="A132" s="170" t="s">
        <v>184</v>
      </c>
      <c r="B132" s="170">
        <f>B92*10000/B62</f>
        <v>0.008437571540605416</v>
      </c>
      <c r="C132" s="170">
        <f>C92*10000/C62</f>
        <v>0.0007355974402239579</v>
      </c>
      <c r="D132" s="170">
        <f>D92*10000/D62</f>
        <v>-0.03229203321190036</v>
      </c>
      <c r="E132" s="170">
        <f>E92*10000/E62</f>
        <v>-0.008281006969561602</v>
      </c>
      <c r="F132" s="170">
        <f>F92*10000/F62</f>
        <v>-0.08220910422150748</v>
      </c>
      <c r="G132" s="170">
        <f>AVERAGE(C132:E132)</f>
        <v>-0.013279147580412667</v>
      </c>
      <c r="H132" s="170">
        <f>STDEV(C132:E132)</f>
        <v>0.017071676947437373</v>
      </c>
      <c r="I132" s="170">
        <f>(B132*B4+C132*C4+D132*D4+E132*E4+F132*F4)/SUM(B4:F4)</f>
        <v>-0.01935327297713265</v>
      </c>
    </row>
    <row r="133" spans="1:9" ht="12.75">
      <c r="A133" s="170" t="s">
        <v>185</v>
      </c>
      <c r="B133" s="170">
        <f>B93*10000/B62</f>
        <v>-0.07106153306165484</v>
      </c>
      <c r="C133" s="170">
        <f>C93*10000/C62</f>
        <v>-0.07619700449512487</v>
      </c>
      <c r="D133" s="170">
        <f>D93*10000/D62</f>
        <v>-0.07362156292649552</v>
      </c>
      <c r="E133" s="170">
        <f>E93*10000/E62</f>
        <v>-0.0834122477553993</v>
      </c>
      <c r="F133" s="170">
        <f>F93*10000/F62</f>
        <v>-0.05295660310709274</v>
      </c>
      <c r="G133" s="170">
        <f>AVERAGE(C133:E133)</f>
        <v>-0.07774360505900656</v>
      </c>
      <c r="H133" s="170">
        <f>STDEV(C133:E133)</f>
        <v>0.005075269188218594</v>
      </c>
      <c r="I133" s="170">
        <f>(B133*B4+C133*C4+D133*D4+E133*E4+F133*F4)/SUM(B4:F4)</f>
        <v>-0.07346407219567083</v>
      </c>
    </row>
    <row r="134" spans="1:9" ht="12.75">
      <c r="A134" s="170" t="s">
        <v>186</v>
      </c>
      <c r="B134" s="170">
        <f>B94*10000/B62</f>
        <v>0.0024072096557067844</v>
      </c>
      <c r="C134" s="170">
        <f>C94*10000/C62</f>
        <v>0.0011673602603297505</v>
      </c>
      <c r="D134" s="170">
        <f>D94*10000/D62</f>
        <v>-0.005073805897990074</v>
      </c>
      <c r="E134" s="170">
        <f>E94*10000/E62</f>
        <v>-0.009424172137919695</v>
      </c>
      <c r="F134" s="170">
        <f>F94*10000/F62</f>
        <v>-0.02889900348009305</v>
      </c>
      <c r="G134" s="170">
        <f>AVERAGE(C134:E134)</f>
        <v>-0.004443539258526673</v>
      </c>
      <c r="H134" s="170">
        <f>STDEV(C134:E134)</f>
        <v>0.005323820682874967</v>
      </c>
      <c r="I134" s="170">
        <f>(B134*B4+C134*C4+D134*D4+E134*E4+F134*F4)/SUM(B4:F4)</f>
        <v>-0.006722431274691214</v>
      </c>
    </row>
    <row r="135" spans="1:9" ht="12.75">
      <c r="A135" s="170" t="s">
        <v>187</v>
      </c>
      <c r="B135" s="170">
        <f>B95*10000/B62</f>
        <v>0.0024410716869800652</v>
      </c>
      <c r="C135" s="170">
        <f>C95*10000/C62</f>
        <v>0.003247694795292126</v>
      </c>
      <c r="D135" s="170">
        <f>D95*10000/D62</f>
        <v>0.0007213998552136126</v>
      </c>
      <c r="E135" s="170">
        <f>E95*10000/E62</f>
        <v>-0.00024465953620390337</v>
      </c>
      <c r="F135" s="170">
        <f>F95*10000/F62</f>
        <v>-0.0004295555821442491</v>
      </c>
      <c r="G135" s="170">
        <f>AVERAGE(C135:E135)</f>
        <v>0.0012414783714339453</v>
      </c>
      <c r="H135" s="170">
        <f>STDEV(C135:E135)</f>
        <v>0.0018033291273240242</v>
      </c>
      <c r="I135" s="170">
        <f>(B135*B4+C135*C4+D135*D4+E135*E4+F135*F4)/SUM(B4:F4)</f>
        <v>0.0011915491119749819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DAPNIA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Nice user</dc:creator>
  <cp:keywords/>
  <dc:description/>
  <cp:lastModifiedBy>hagen</cp:lastModifiedBy>
  <cp:lastPrinted>2003-07-03T13:57:32Z</cp:lastPrinted>
  <dcterms:created xsi:type="dcterms:W3CDTF">1999-06-17T15:15:05Z</dcterms:created>
  <dcterms:modified xsi:type="dcterms:W3CDTF">2003-09-30T16:34:33Z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592345185</vt:i4>
  </property>
  <property fmtid="{D5CDD505-2E9C-101B-9397-08002B2CF9AE}" pid="3" name="_EmailSubject">
    <vt:lpwstr>WFM result of aperture 93, 95 and 98_OV and ap89</vt:lpwstr>
  </property>
  <property fmtid="{D5CDD505-2E9C-101B-9397-08002B2CF9AE}" pid="4" name="_AuthorEmail">
    <vt:lpwstr>SIMONF@DAPNIA.CEA.FR</vt:lpwstr>
  </property>
  <property fmtid="{D5CDD505-2E9C-101B-9397-08002B2CF9AE}" pid="5" name="_AuthorEmailDisplayName">
    <vt:lpwstr>SIMON Fabrice          DAPNIA</vt:lpwstr>
  </property>
  <property fmtid="{D5CDD505-2E9C-101B-9397-08002B2CF9AE}" pid="6" name="_PreviousAdHocReviewCycleID">
    <vt:i4>1421584721</vt:i4>
  </property>
  <property fmtid="{D5CDD505-2E9C-101B-9397-08002B2CF9AE}" pid="7" name="_ReviewingToolsShownOnce">
    <vt:lpwstr/>
  </property>
</Properties>
</file>