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94_pos5ap2" sheetId="2" r:id="rId2"/>
    <sheet name="HCMQAP094_pos1ap2" sheetId="3" r:id="rId3"/>
    <sheet name="HCMQAP094_pos2ap2" sheetId="4" r:id="rId4"/>
    <sheet name="HCMQAP094_pos3ap2" sheetId="5" r:id="rId5"/>
    <sheet name="HCMQAP094_pos4ap2" sheetId="6" r:id="rId6"/>
    <sheet name="Lmag_hcmqap" sheetId="7" r:id="rId7"/>
    <sheet name="Result_HCMQAP" sheetId="8" r:id="rId8"/>
  </sheets>
  <definedNames>
    <definedName name="_xlnm.Print_Area" localSheetId="2">'HCMQAP094_pos1ap2'!$A$1:$N$28</definedName>
    <definedName name="_xlnm.Print_Area" localSheetId="3">'HCMQAP094_pos2ap2'!$A$1:$N$28</definedName>
    <definedName name="_xlnm.Print_Area" localSheetId="4">'HCMQAP094_pos3ap2'!$A$1:$N$28</definedName>
    <definedName name="_xlnm.Print_Area" localSheetId="5">'HCMQAP094_pos4ap2'!$A$1:$N$28</definedName>
    <definedName name="_xlnm.Print_Area" localSheetId="1">'HCMQAP094_pos5ap2'!$A$1:$N$28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<sst xmlns="http://schemas.openxmlformats.org/spreadsheetml/2006/main" count="505" uniqueCount="188">
  <si>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</si>
  <si>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</si>
  <si>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</si>
  <si>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</si>
  <si>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</si>
  <si>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</si>
  <si>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</si>
  <si>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</si>
  <si>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</si>
  <si>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</si>
  <si>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</si>
  <si>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</si>
  <si>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</si>
  <si>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</si>
  <si>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</si>
  <si>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hcmqap094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</si>
  <si>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</si>
  <si>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</si>
  <si>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</si>
  <si>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</si>
  <si>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</si>
  <si>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</si>
  <si>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</si>
  <si>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</si>
  <si>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</si>
  <si>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</si>
  <si>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</si>
  <si>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</si>
  <si>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</si>
  <si>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</si>
  <si>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</si>
  <si>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</si>
  <si>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</si>
  <si>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</si>
  <si>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</si>
  <si>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</si>
  <si>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</si>
  <si>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</si>
  <si>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</si>
  <si>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</si>
  <si>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</si>
  <si>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</si>
  <si>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</si>
  <si>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</si>
  <si>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</si>
  <si>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</si>
  <si>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</si>
  <si>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</si>
  <si>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</si>
  <si>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</si>
  <si>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</si>
  <si>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</si>
  <si>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</si>
  <si>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</si>
  <si>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</si>
  <si>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-2.081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</si>
  <si>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</si>
  <si>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</si>
  <si>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</si>
  <si>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</si>
  <si>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</si>
  <si>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</si>
  <si>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</si>
  <si>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</si>
  <si>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</si>
  <si>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</si>
  <si>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</si>
  <si>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</si>
  <si>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HCMQAP094_pos5ap2</t>
  </si>
  <si>
    <t>±12.5</t>
  </si>
  <si>
    <t>THCMQAP094_pos5ap2.xls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</si>
  <si>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-2.256 mT)</t>
    </r>
  </si>
  <si>
    <t>HCMQAP094_pos1ap2</t>
  </si>
  <si>
    <t>THCMQAP094_pos1ap2.xls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</si>
  <si>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-3.751 mT)</t>
    </r>
  </si>
  <si>
    <t>HCMQAP094_pos2ap2</t>
  </si>
  <si>
    <t>THCMQAP094_pos2ap2.xls</t>
  </si>
  <si>
    <t>HCMQAP094_pos3ap2</t>
  </si>
  <si>
    <t>THCMQAP094_pos3ap2.xls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</si>
  <si>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-3.752 mT)</t>
    </r>
  </si>
  <si>
    <t>HCMQAP094_pos4ap2</t>
  </si>
  <si>
    <t>THCMQAP094_pos4ap2.xls</t>
  </si>
  <si>
    <t>Sommaire : Valeurs intégrales calculées avec les fichiers: HCMQAP094_pos5ap2+HCMQAP094_pos1ap2+HCMQAP094_pos2ap2+HCMQAP094_pos3ap2+HCMQAP094_pos4ap2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</si>
  <si>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</si>
  <si>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</si>
  <si>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</si>
  <si>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</si>
  <si>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</si>
  <si>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</si>
  <si>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</si>
  <si>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</si>
  <si>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</si>
  <si>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</si>
  <si>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</si>
  <si>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</si>
  <si>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</si>
  <si>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</si>
  <si>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</si>
  <si>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</si>
  <si>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</si>
  <si>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</si>
  <si>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</si>
  <si>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</si>
  <si>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</si>
  <si>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</si>
  <si>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</si>
  <si>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</si>
  <si>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</si>
  <si>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</si>
  <si>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</si>
  <si>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</si>
  <si>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</si>
  <si>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</si>
  <si>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</si>
  <si>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</si>
  <si>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</si>
  <si>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</si>
  <si>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</si>
  <si>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</si>
  <si>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</si>
  <si>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</si>
  <si>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</si>
  <si>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</si>
  <si>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</si>
  <si>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</si>
  <si>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</si>
  <si>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=-3.752</t>
    </r>
  </si>
  <si>
    <t>Gradient (T/m)</t>
  </si>
  <si>
    <t xml:space="preserve"> Wed 05/11/2003       15:27:15</t>
  </si>
  <si>
    <t>SIEGMUND</t>
  </si>
  <si>
    <t>HCMQAP094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</si>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</sst>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9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Lmag_hcmqap!$A$5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Lmag_hcmqap!$A$18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8105651"/>
        <c:axId val="53188812"/>
      </c:lineChart>
      <c:catAx>
        <c:axId val="581056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188812"/>
        <c:crosses val="autoZero"/>
        <c:auto val="1"/>
        <c:lblOffset val="100"/>
        <c:noMultiLvlLbl val="0"/>
      </c:catAx>
      <c:valAx>
        <c:axId val="5318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81056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35</xdr:row>
      <xdr:rowOff>95250</xdr:rowOff>
    </xdr:from>
    <xdr:to>
      <xdr:col>6</xdr:col>
      <xdr:colOff>790575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152400" y="5915025"/>
        <a:ext cx="5324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37752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2553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37752</v>
      </c>
      <c r="B3" s="24">
        <v>80</v>
      </c>
      <c r="C3" s="24" t="s">
        <v>69</v>
      </c>
      <c r="D3" s="25">
        <v>5</v>
      </c>
      <c r="E3" s="25">
        <v>1</v>
      </c>
      <c r="F3" s="26"/>
      <c r="G3" s="26" t="s">
        <v>72</v>
      </c>
      <c r="H3" s="25">
        <v>2553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37752</v>
      </c>
      <c r="B4" s="24">
        <v>80</v>
      </c>
      <c r="C4" s="24" t="s">
        <v>69</v>
      </c>
      <c r="D4" s="25">
        <v>5</v>
      </c>
      <c r="E4" s="25">
        <v>2</v>
      </c>
      <c r="F4" s="26"/>
      <c r="G4" s="26" t="s">
        <v>75</v>
      </c>
      <c r="H4" s="25">
        <v>2553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37752</v>
      </c>
      <c r="B5" s="24">
        <v>80</v>
      </c>
      <c r="C5" s="24" t="s">
        <v>69</v>
      </c>
      <c r="D5" s="25">
        <v>5</v>
      </c>
      <c r="E5" s="25">
        <v>3</v>
      </c>
      <c r="F5" s="26"/>
      <c r="G5" s="26" t="s">
        <v>77</v>
      </c>
      <c r="H5" s="25">
        <v>2553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37752</v>
      </c>
      <c r="B6" s="24">
        <v>80</v>
      </c>
      <c r="C6" s="24" t="s">
        <v>69</v>
      </c>
      <c r="D6" s="25">
        <v>5</v>
      </c>
      <c r="E6" s="25">
        <v>4</v>
      </c>
      <c r="F6" s="26"/>
      <c r="G6" s="26" t="s">
        <v>80</v>
      </c>
      <c r="H6" s="25">
        <v>2553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5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3.44957297E-05</v>
      </c>
      <c r="L2" s="54">
        <v>1.4904314557362478E-07</v>
      </c>
      <c r="M2" s="54">
        <v>5.1492237E-05</v>
      </c>
      <c r="N2" s="55">
        <v>1.0451359760916847E-07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-3.133927229999999E-05</v>
      </c>
      <c r="L3" s="54">
        <v>1.1404873067108686E-07</v>
      </c>
      <c r="M3" s="54">
        <v>1.0605885000000002E-05</v>
      </c>
      <c r="N3" s="55">
        <v>1.7788649985313475E-07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-0.0020805645294639896</v>
      </c>
      <c r="L4" s="54">
        <v>-5.24363600121797E-05</v>
      </c>
      <c r="M4" s="54">
        <v>5.5404516163176215E-08</v>
      </c>
      <c r="N4" s="55">
        <v>12.598807</v>
      </c>
    </row>
    <row r="5" spans="1:14" ht="15" customHeight="1" thickBot="1">
      <c r="A5" t="s">
        <v>18</v>
      </c>
      <c r="B5" s="58">
        <v>37930.64042824074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2553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6" t="s">
        <v>27</v>
      </c>
      <c r="B8" s="71" t="s">
        <v>28</v>
      </c>
      <c r="D8" s="76">
        <v>-2.0642192</v>
      </c>
      <c r="E8" s="77">
        <v>0.022795853830455428</v>
      </c>
      <c r="F8" s="78">
        <v>6.129665</v>
      </c>
      <c r="G8" s="77">
        <v>0.01125144973308843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-1.2196945000000001</v>
      </c>
      <c r="E9" s="80">
        <v>0.023285736984251</v>
      </c>
      <c r="F9" s="80">
        <v>0.21045477299999998</v>
      </c>
      <c r="G9" s="80">
        <v>0.01426343139721453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-1.090866553</v>
      </c>
      <c r="E10" s="80">
        <v>0.007444372177490158</v>
      </c>
      <c r="F10" s="80">
        <v>-1.05849495</v>
      </c>
      <c r="G10" s="80">
        <v>0.015883817379864603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4">
        <v>13.768439</v>
      </c>
      <c r="E11" s="77">
        <v>0.006787034994749515</v>
      </c>
      <c r="F11" s="77">
        <v>1.02436524</v>
      </c>
      <c r="G11" s="77">
        <v>0.010904846662403742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3">
        <v>-0.18507409</v>
      </c>
      <c r="E12" s="80">
        <v>0.004492458022998029</v>
      </c>
      <c r="F12" s="80">
        <v>0.5602246799999999</v>
      </c>
      <c r="G12" s="80">
        <v>0.011698315693108866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22.106934</v>
      </c>
      <c r="D13" s="83">
        <v>-0.141182632</v>
      </c>
      <c r="E13" s="80">
        <v>0.0053581613318190715</v>
      </c>
      <c r="F13" s="80">
        <v>0.31638384</v>
      </c>
      <c r="G13" s="80">
        <v>0.004132264433378584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6">
        <v>12.5</v>
      </c>
      <c r="D14" s="83">
        <v>0.005891665</v>
      </c>
      <c r="E14" s="80">
        <v>0.004791154078437679</v>
      </c>
      <c r="F14" s="80">
        <v>-0.0064552640000000005</v>
      </c>
      <c r="G14" s="80">
        <v>0.00525095928631179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-0.28015372000000005</v>
      </c>
      <c r="E15" s="77">
        <v>0.003410784801123028</v>
      </c>
      <c r="F15" s="77">
        <v>0.25124169999999996</v>
      </c>
      <c r="G15" s="77">
        <v>0.0047260218686552505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12.5061</v>
      </c>
      <c r="D16" s="83">
        <v>-0.00828057775</v>
      </c>
      <c r="E16" s="80">
        <v>0.004096059408186246</v>
      </c>
      <c r="F16" s="80">
        <v>0.055159466000000004</v>
      </c>
      <c r="G16" s="80">
        <v>0.003220397707565604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-0.3720000088214874</v>
      </c>
      <c r="D17" s="83">
        <v>0.010122450799999998</v>
      </c>
      <c r="E17" s="80">
        <v>0.001714311196796615</v>
      </c>
      <c r="F17" s="80">
        <v>0.073840053</v>
      </c>
      <c r="G17" s="80">
        <v>0.002847855231712866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30.51799964904785</v>
      </c>
      <c r="D18" s="83">
        <v>0.0034447833000000004</v>
      </c>
      <c r="E18" s="80">
        <v>0.0008060546025227787</v>
      </c>
      <c r="F18" s="80">
        <v>0.035128162000000004</v>
      </c>
      <c r="G18" s="80">
        <v>0.001480257253339937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-0.42899999022483826</v>
      </c>
      <c r="D19" s="83">
        <v>-0.13396473</v>
      </c>
      <c r="E19" s="80">
        <v>0.0008730488237204604</v>
      </c>
      <c r="F19" s="80">
        <v>-0.0172553497</v>
      </c>
      <c r="G19" s="80">
        <v>0.0019323493686488021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7">
        <v>0.27106699999999995</v>
      </c>
      <c r="D20" s="88">
        <v>0.0013005628030000002</v>
      </c>
      <c r="E20" s="89">
        <v>0.0014236563961646433</v>
      </c>
      <c r="F20" s="89">
        <v>0.001489745823</v>
      </c>
      <c r="G20" s="89">
        <v>0.001422020811770214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0.42756170000000004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0.7218590777281568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-2.0812252</v>
      </c>
      <c r="I25" s="101" t="s">
        <v>65</v>
      </c>
      <c r="J25" s="102"/>
      <c r="K25" s="101"/>
      <c r="L25" s="104">
        <v>13.806492553926985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6.467904909464396</v>
      </c>
      <c r="I26" s="106" t="s">
        <v>67</v>
      </c>
      <c r="J26" s="107"/>
      <c r="K26" s="106"/>
      <c r="L26" s="109">
        <v>0.3763090467271926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HCMQAP094_pos5ap2res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2.96185754E-05</v>
      </c>
      <c r="L2" s="54">
        <v>7.902097214156687E-08</v>
      </c>
      <c r="M2" s="54">
        <v>7.364938499999999E-05</v>
      </c>
      <c r="N2" s="55">
        <v>1.5176877205055048E-07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-3.0915064599999996E-05</v>
      </c>
      <c r="L3" s="54">
        <v>1.178276371756156E-07</v>
      </c>
      <c r="M3" s="54">
        <v>1.1995431E-05</v>
      </c>
      <c r="N3" s="55">
        <v>1.664686498233252E-07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-0.002255574778263473</v>
      </c>
      <c r="L4" s="54">
        <v>1.1040825373300907E-05</v>
      </c>
      <c r="M4" s="54">
        <v>8.475176789284157E-08</v>
      </c>
      <c r="N4" s="55">
        <v>-2.4474332</v>
      </c>
    </row>
    <row r="5" spans="1:14" ht="15" customHeight="1" thickBot="1">
      <c r="A5" t="s">
        <v>18</v>
      </c>
      <c r="B5" s="58">
        <v>37930.622465277775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2553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6" t="s">
        <v>27</v>
      </c>
      <c r="B8" s="71" t="s">
        <v>28</v>
      </c>
      <c r="D8" s="76">
        <v>0.51094182</v>
      </c>
      <c r="E8" s="77">
        <v>0.024517903185970764</v>
      </c>
      <c r="F8" s="77">
        <v>2.8122553999999997</v>
      </c>
      <c r="G8" s="77">
        <v>0.01729699655841848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-0.175405226</v>
      </c>
      <c r="E9" s="80">
        <v>0.014370585933054899</v>
      </c>
      <c r="F9" s="80">
        <v>-1.6667774999999998</v>
      </c>
      <c r="G9" s="80">
        <v>0.01367230926730205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0.14649565</v>
      </c>
      <c r="E10" s="80">
        <v>0.013966038538976306</v>
      </c>
      <c r="F10" s="80">
        <v>0.18644606200000002</v>
      </c>
      <c r="G10" s="80">
        <v>0.008673245288002639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3.9450105</v>
      </c>
      <c r="E11" s="77">
        <v>0.0018974254930056072</v>
      </c>
      <c r="F11" s="77">
        <v>0.73621386</v>
      </c>
      <c r="G11" s="77">
        <v>0.004467027458774668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3">
        <v>0.058885282000000004</v>
      </c>
      <c r="E12" s="80">
        <v>0.006874698201053993</v>
      </c>
      <c r="F12" s="80">
        <v>0.39535449</v>
      </c>
      <c r="G12" s="80">
        <v>0.005644531419120254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21.841431</v>
      </c>
      <c r="D13" s="83">
        <v>0.06119933200000001</v>
      </c>
      <c r="E13" s="80">
        <v>0.006844411829280587</v>
      </c>
      <c r="F13" s="80">
        <v>-0.016913429999999997</v>
      </c>
      <c r="G13" s="80">
        <v>0.0050488537332349075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6">
        <v>12.5</v>
      </c>
      <c r="D14" s="83">
        <v>-0.067250769</v>
      </c>
      <c r="E14" s="80">
        <v>0.005039379453614764</v>
      </c>
      <c r="F14" s="80">
        <v>0.047131611000000004</v>
      </c>
      <c r="G14" s="80">
        <v>0.0025154099683777076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-0.29304047000000005</v>
      </c>
      <c r="E15" s="77">
        <v>0.0024628768626509374</v>
      </c>
      <c r="F15" s="77">
        <v>0.16416872</v>
      </c>
      <c r="G15" s="77">
        <v>0.003071294410929372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0.0082983373</v>
      </c>
      <c r="E16" s="80">
        <v>0.0035950047438745134</v>
      </c>
      <c r="F16" s="80">
        <v>0.0022205570000000006</v>
      </c>
      <c r="G16" s="80">
        <v>0.002981579973099163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-0.27900001406669617</v>
      </c>
      <c r="D17" s="83">
        <v>0.00012360099999999982</v>
      </c>
      <c r="E17" s="80">
        <v>0.00311101460141035</v>
      </c>
      <c r="F17" s="80">
        <v>0.013952379</v>
      </c>
      <c r="G17" s="80">
        <v>0.0030279115471334374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68.15599822998047</v>
      </c>
      <c r="D18" s="83">
        <v>0.022710436299999998</v>
      </c>
      <c r="E18" s="80">
        <v>0.0019771300668105234</v>
      </c>
      <c r="F18" s="80">
        <v>0.066758682</v>
      </c>
      <c r="G18" s="80">
        <v>0.001679761154511435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-0.46399998664855957</v>
      </c>
      <c r="D19" s="114">
        <v>-0.18894871000000002</v>
      </c>
      <c r="E19" s="80">
        <v>0.000404371097375519</v>
      </c>
      <c r="F19" s="80">
        <v>0.023536580999999997</v>
      </c>
      <c r="G19" s="80">
        <v>0.0014082677113759728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7">
        <v>0.2259385</v>
      </c>
      <c r="D20" s="88">
        <v>-0.00291799674</v>
      </c>
      <c r="E20" s="89">
        <v>0.0006579575112601012</v>
      </c>
      <c r="F20" s="89">
        <v>0.0019046693599999998</v>
      </c>
      <c r="G20" s="89">
        <v>0.0010929750504019473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0.5539799000000001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-0.14022771144547824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-2.2556017999999995</v>
      </c>
      <c r="I25" s="101" t="s">
        <v>65</v>
      </c>
      <c r="J25" s="102"/>
      <c r="K25" s="101"/>
      <c r="L25" s="104">
        <v>4.013118325288497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2.85829354305223</v>
      </c>
      <c r="I26" s="106" t="s">
        <v>67</v>
      </c>
      <c r="J26" s="107"/>
      <c r="K26" s="106"/>
      <c r="L26" s="109">
        <v>0.3358929676016742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HCMQAP094_pos1ap2res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4.00768E-05</v>
      </c>
      <c r="L2" s="54">
        <v>9.027356960768186E-08</v>
      </c>
      <c r="M2" s="54">
        <v>5.7085735000000004E-05</v>
      </c>
      <c r="N2" s="55">
        <v>2.803271761518729E-07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-2.8416252E-05</v>
      </c>
      <c r="L3" s="54">
        <v>2.2717828484690925E-07</v>
      </c>
      <c r="M3" s="54">
        <v>1.1156069E-05</v>
      </c>
      <c r="N3" s="55">
        <v>1.4923736225897754E-07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-0.0037510414279643836</v>
      </c>
      <c r="L4" s="54">
        <v>-2.0854600818002846E-05</v>
      </c>
      <c r="M4" s="54">
        <v>3.51886527213469E-08</v>
      </c>
      <c r="N4" s="55">
        <v>2.7798127999999998</v>
      </c>
    </row>
    <row r="5" spans="1:14" ht="15" customHeight="1" thickBot="1">
      <c r="A5" t="s">
        <v>18</v>
      </c>
      <c r="B5" s="58">
        <v>37930.62671296296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2553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6" t="s">
        <v>27</v>
      </c>
      <c r="B8" s="71" t="s">
        <v>28</v>
      </c>
      <c r="D8" s="76">
        <v>-1.6921627000000001</v>
      </c>
      <c r="E8" s="77">
        <v>0.012180528775859598</v>
      </c>
      <c r="F8" s="77">
        <v>0.87238474</v>
      </c>
      <c r="G8" s="77">
        <v>0.00833386466696447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0.01004577</v>
      </c>
      <c r="E9" s="80">
        <v>0.015860633302412615</v>
      </c>
      <c r="F9" s="80">
        <v>-2.2271533999999997</v>
      </c>
      <c r="G9" s="80">
        <v>0.006366222022674726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0.60811936</v>
      </c>
      <c r="E10" s="80">
        <v>0.004871802604518229</v>
      </c>
      <c r="F10" s="80">
        <v>0.874312</v>
      </c>
      <c r="G10" s="80">
        <v>0.009906956108562476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2.7182252</v>
      </c>
      <c r="E11" s="77">
        <v>0.0038622761503168796</v>
      </c>
      <c r="F11" s="77">
        <v>0.1879007</v>
      </c>
      <c r="G11" s="77">
        <v>0.003406824143245149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3">
        <v>-0.089723559</v>
      </c>
      <c r="E12" s="80">
        <v>0.0026243603465463216</v>
      </c>
      <c r="F12" s="80">
        <v>-0.088736592</v>
      </c>
      <c r="G12" s="80">
        <v>0.0023286959201419496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21.887208</v>
      </c>
      <c r="D13" s="83">
        <v>0.0179119532</v>
      </c>
      <c r="E13" s="80">
        <v>0.0017509816390485046</v>
      </c>
      <c r="F13" s="80">
        <v>0.052973000000000006</v>
      </c>
      <c r="G13" s="80">
        <v>0.0027404129694261945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6">
        <v>12.5</v>
      </c>
      <c r="D14" s="83">
        <v>0.0102764191</v>
      </c>
      <c r="E14" s="80">
        <v>0.0015425792095322068</v>
      </c>
      <c r="F14" s="80">
        <v>0.067335919</v>
      </c>
      <c r="G14" s="80">
        <v>0.0011267522434518231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-0.12219975999999999</v>
      </c>
      <c r="E15" s="77">
        <v>0.0021609138234559167</v>
      </c>
      <c r="F15" s="77">
        <v>0.09888237999999999</v>
      </c>
      <c r="G15" s="77">
        <v>0.00215465211649851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0.007345879599999999</v>
      </c>
      <c r="E16" s="80">
        <v>0.0018018140267208927</v>
      </c>
      <c r="F16" s="80">
        <v>-0.025120596560000003</v>
      </c>
      <c r="G16" s="80">
        <v>0.0009968833263636438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0.32100000977516174</v>
      </c>
      <c r="D17" s="83">
        <v>-0.0016268089200000002</v>
      </c>
      <c r="E17" s="80">
        <v>0.0018573982917492885</v>
      </c>
      <c r="F17" s="80">
        <v>0.040673895</v>
      </c>
      <c r="G17" s="80">
        <v>0.0016512753953929643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2.0350000858306885</v>
      </c>
      <c r="D18" s="83">
        <v>0.020236863</v>
      </c>
      <c r="E18" s="80">
        <v>0.0014487149127885219</v>
      </c>
      <c r="F18" s="80">
        <v>0.014253870699999999</v>
      </c>
      <c r="G18" s="80">
        <v>0.0011864546417209984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0.25600001215934753</v>
      </c>
      <c r="D19" s="114">
        <v>-0.16255724</v>
      </c>
      <c r="E19" s="80">
        <v>0.0006247242682992142</v>
      </c>
      <c r="F19" s="80">
        <v>0.017634706</v>
      </c>
      <c r="G19" s="80">
        <v>0.0009209636581450977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7">
        <v>0.1801858</v>
      </c>
      <c r="D20" s="88">
        <v>-0.0009563087499999997</v>
      </c>
      <c r="E20" s="89">
        <v>0.0008949939287213629</v>
      </c>
      <c r="F20" s="89">
        <v>0.0002904491</v>
      </c>
      <c r="G20" s="89">
        <v>0.0008767305674942218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0.2597135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0.15927167580747328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-3.7510994</v>
      </c>
      <c r="I25" s="101" t="s">
        <v>65</v>
      </c>
      <c r="J25" s="102"/>
      <c r="K25" s="101"/>
      <c r="L25" s="104">
        <v>2.7247118950405618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1.9038040177119486</v>
      </c>
      <c r="I26" s="106" t="s">
        <v>67</v>
      </c>
      <c r="J26" s="107"/>
      <c r="K26" s="106"/>
      <c r="L26" s="109">
        <v>0.157195758271405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HCMQAP094_pos2ap2res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1.9879235400000003E-05</v>
      </c>
      <c r="L2" s="54">
        <v>7.044963558457478E-08</v>
      </c>
      <c r="M2" s="54">
        <v>4.3822947999999995E-05</v>
      </c>
      <c r="N2" s="55">
        <v>1.661644167259953E-07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-2.76466486E-05</v>
      </c>
      <c r="L3" s="54">
        <v>8.716060197898124E-08</v>
      </c>
      <c r="M3" s="54">
        <v>1.0282883999999999E-05</v>
      </c>
      <c r="N3" s="55">
        <v>1.534186116936917E-07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-0.0037509887128808856</v>
      </c>
      <c r="L4" s="54">
        <v>-4.7763450168922935E-05</v>
      </c>
      <c r="M4" s="54">
        <v>6.117564794104913E-08</v>
      </c>
      <c r="N4" s="55">
        <v>6.366437299999999</v>
      </c>
    </row>
    <row r="5" spans="1:14" ht="15" customHeight="1" thickBot="1">
      <c r="A5" t="s">
        <v>18</v>
      </c>
      <c r="B5" s="58">
        <v>37930.63125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2553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6" t="s">
        <v>27</v>
      </c>
      <c r="B8" s="71" t="s">
        <v>28</v>
      </c>
      <c r="D8" s="76">
        <v>-2.268676</v>
      </c>
      <c r="E8" s="77">
        <v>0.0072353901206096095</v>
      </c>
      <c r="F8" s="77">
        <v>0.7661647</v>
      </c>
      <c r="G8" s="77">
        <v>0.01616188723178516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0.1042708</v>
      </c>
      <c r="E9" s="80">
        <v>0.005630301668561158</v>
      </c>
      <c r="F9" s="80">
        <v>-2.3424911999999996</v>
      </c>
      <c r="G9" s="80">
        <v>0.014894524489244934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0.8978389100000002</v>
      </c>
      <c r="E10" s="80">
        <v>0.005448663933234672</v>
      </c>
      <c r="F10" s="80">
        <v>0.5733745899999999</v>
      </c>
      <c r="G10" s="80">
        <v>0.005165397869134906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2.610228</v>
      </c>
      <c r="E11" s="77">
        <v>0.003960379615643688</v>
      </c>
      <c r="F11" s="77">
        <v>-0.12207731299999999</v>
      </c>
      <c r="G11" s="77">
        <v>0.0064291923383243115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3">
        <v>-0.08309535400000001</v>
      </c>
      <c r="E12" s="80">
        <v>0.002847774401219816</v>
      </c>
      <c r="F12" s="80">
        <v>0.08030950290000001</v>
      </c>
      <c r="G12" s="80">
        <v>0.00438812526924446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21.942139</v>
      </c>
      <c r="D13" s="83">
        <v>-0.077268177</v>
      </c>
      <c r="E13" s="80">
        <v>0.0021493016869546045</v>
      </c>
      <c r="F13" s="80">
        <v>-0.04294779</v>
      </c>
      <c r="G13" s="80">
        <v>0.00319030650947526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6">
        <v>12.5</v>
      </c>
      <c r="D14" s="83">
        <v>-0.0092385106</v>
      </c>
      <c r="E14" s="80">
        <v>0.00406770916214243</v>
      </c>
      <c r="F14" s="80">
        <v>0.100039736</v>
      </c>
      <c r="G14" s="80">
        <v>0.002072439934558617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-0.061851497</v>
      </c>
      <c r="E15" s="77">
        <v>0.0014905603845521889</v>
      </c>
      <c r="F15" s="77">
        <v>0.016952514</v>
      </c>
      <c r="G15" s="77">
        <v>0.001990931482386757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0.033620134</v>
      </c>
      <c r="E16" s="80">
        <v>0.0013558577057988543</v>
      </c>
      <c r="F16" s="80">
        <v>0.002985875</v>
      </c>
      <c r="G16" s="80">
        <v>0.0011692749710525752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-0.32600000500679016</v>
      </c>
      <c r="D17" s="83">
        <v>0.0018288472069999998</v>
      </c>
      <c r="E17" s="80">
        <v>0.00125743696051879</v>
      </c>
      <c r="F17" s="80">
        <v>0.029191954</v>
      </c>
      <c r="G17" s="80">
        <v>0.0008381667175414506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22.88800048828125</v>
      </c>
      <c r="D18" s="83">
        <v>0.0024513003</v>
      </c>
      <c r="E18" s="80">
        <v>0.0006348223533412009</v>
      </c>
      <c r="F18" s="80">
        <v>0.0170030166</v>
      </c>
      <c r="G18" s="80">
        <v>0.0006715199496815468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-0.36899998784065247</v>
      </c>
      <c r="D19" s="114">
        <v>-0.16752568</v>
      </c>
      <c r="E19" s="80">
        <v>0.0011705241507949738</v>
      </c>
      <c r="F19" s="80">
        <v>0.012860399</v>
      </c>
      <c r="G19" s="80">
        <v>0.001125942029863873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7">
        <v>0.0875491</v>
      </c>
      <c r="D20" s="88">
        <v>-0.00135652628</v>
      </c>
      <c r="E20" s="89">
        <v>0.000874431431107729</v>
      </c>
      <c r="F20" s="89">
        <v>0.0011211854</v>
      </c>
      <c r="G20" s="89">
        <v>0.0007481307420509737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0.19972289999999998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0.3647702959329511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-3.7512928</v>
      </c>
      <c r="I25" s="101" t="s">
        <v>65</v>
      </c>
      <c r="J25" s="102"/>
      <c r="K25" s="101"/>
      <c r="L25" s="104">
        <v>2.613081147292082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2.394556146867743</v>
      </c>
      <c r="I26" s="106" t="s">
        <v>67</v>
      </c>
      <c r="J26" s="107"/>
      <c r="K26" s="106"/>
      <c r="L26" s="109">
        <v>0.06413263921016508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HCMQAP094_pos3ap2res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3.4317931E-05</v>
      </c>
      <c r="L2" s="54">
        <v>8.875401578155279E-08</v>
      </c>
      <c r="M2" s="54">
        <v>8.366953199999999E-05</v>
      </c>
      <c r="N2" s="55">
        <v>1.9140328039696222E-07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-2.8832857000000002E-05</v>
      </c>
      <c r="L3" s="54">
        <v>1.0095754770731377E-07</v>
      </c>
      <c r="M3" s="54">
        <v>1.0699254E-05</v>
      </c>
      <c r="N3" s="55">
        <v>1.2093356727554477E-07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-0.003751534614015273</v>
      </c>
      <c r="L4" s="54">
        <v>-7.225139502712193E-05</v>
      </c>
      <c r="M4" s="54">
        <v>7.220914254267047E-08</v>
      </c>
      <c r="N4" s="55">
        <v>9.6283883</v>
      </c>
    </row>
    <row r="5" spans="1:14" ht="15" customHeight="1" thickBot="1">
      <c r="A5" t="s">
        <v>18</v>
      </c>
      <c r="B5" s="58">
        <v>37930.635925925926</v>
      </c>
      <c r="D5" s="59"/>
      <c r="E5" s="60" t="s">
        <v>79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2553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6" t="s">
        <v>27</v>
      </c>
      <c r="B8" s="71" t="s">
        <v>28</v>
      </c>
      <c r="D8" s="76">
        <v>-2.8261635</v>
      </c>
      <c r="E8" s="77">
        <v>0.015090873987306977</v>
      </c>
      <c r="F8" s="77">
        <v>0.29925006</v>
      </c>
      <c r="G8" s="77">
        <v>0.02286555310012065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0.166448026</v>
      </c>
      <c r="E9" s="80">
        <v>0.01012856166716767</v>
      </c>
      <c r="F9" s="80">
        <v>-2.0936578000000003</v>
      </c>
      <c r="G9" s="80">
        <v>0.017116095631278107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1.4380796</v>
      </c>
      <c r="E10" s="80">
        <v>0.0027077513069057656</v>
      </c>
      <c r="F10" s="80">
        <v>0.82879892</v>
      </c>
      <c r="G10" s="80">
        <v>0.008309902406504284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2.5381053000000002</v>
      </c>
      <c r="E11" s="77">
        <v>0.004742057618716153</v>
      </c>
      <c r="F11" s="77">
        <v>-0.009051468999999998</v>
      </c>
      <c r="G11" s="77">
        <v>0.005461772159276145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3">
        <v>0.003351854</v>
      </c>
      <c r="E12" s="80">
        <v>0.003301770554126074</v>
      </c>
      <c r="F12" s="80">
        <v>-0.31571340999999997</v>
      </c>
      <c r="G12" s="80">
        <v>0.005325151388965135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22.018433</v>
      </c>
      <c r="D13" s="83">
        <v>-0.053802681000000005</v>
      </c>
      <c r="E13" s="80">
        <v>0.002638479408436409</v>
      </c>
      <c r="F13" s="80">
        <v>0.13332379</v>
      </c>
      <c r="G13" s="80">
        <v>0.005895200566087949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6">
        <v>12.5</v>
      </c>
      <c r="D14" s="83">
        <v>0.06945686</v>
      </c>
      <c r="E14" s="80">
        <v>0.0018756130153553773</v>
      </c>
      <c r="F14" s="80">
        <v>0.11889287</v>
      </c>
      <c r="G14" s="80">
        <v>0.0020595663399368487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-0.062818443</v>
      </c>
      <c r="E15" s="77">
        <v>0.0016672622013123304</v>
      </c>
      <c r="F15" s="77">
        <v>0.038588974</v>
      </c>
      <c r="G15" s="77">
        <v>0.0030627795972864532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0.031117968999999995</v>
      </c>
      <c r="E16" s="80">
        <v>0.0006563184195223432</v>
      </c>
      <c r="F16" s="80">
        <v>-0.0072494112999999995</v>
      </c>
      <c r="G16" s="80">
        <v>0.001691647098895205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0.48399999737739563</v>
      </c>
      <c r="D17" s="83">
        <v>-0.0014911309600000003</v>
      </c>
      <c r="E17" s="80">
        <v>0.0017145421802335658</v>
      </c>
      <c r="F17" s="80">
        <v>0.042814742</v>
      </c>
      <c r="G17" s="80">
        <v>0.001458685758964512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3.052000045776367</v>
      </c>
      <c r="D18" s="83">
        <v>0.007126509921</v>
      </c>
      <c r="E18" s="80">
        <v>0.0006257942537575656</v>
      </c>
      <c r="F18" s="80">
        <v>0.026448818000000002</v>
      </c>
      <c r="G18" s="80">
        <v>0.0015243392598815037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0.4020000100135803</v>
      </c>
      <c r="D19" s="114">
        <v>-0.17255442000000001</v>
      </c>
      <c r="E19" s="80">
        <v>0.001173649311589547</v>
      </c>
      <c r="F19" s="80">
        <v>0.017308944</v>
      </c>
      <c r="G19" s="80">
        <v>0.0007983952035514882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7">
        <v>0.1481537</v>
      </c>
      <c r="D20" s="88">
        <v>-0.00354890093</v>
      </c>
      <c r="E20" s="89">
        <v>0.000511438895046348</v>
      </c>
      <c r="F20" s="89">
        <v>0.0043945666</v>
      </c>
      <c r="G20" s="89">
        <v>0.0009133858629981515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0.38199060000000007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0.551666479075882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-3.7522303000000004</v>
      </c>
      <c r="I25" s="101" t="s">
        <v>65</v>
      </c>
      <c r="J25" s="102"/>
      <c r="K25" s="101"/>
      <c r="L25" s="104">
        <v>2.5381214397619254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2.841962478137643</v>
      </c>
      <c r="I26" s="106" t="s">
        <v>67</v>
      </c>
      <c r="J26" s="107"/>
      <c r="K26" s="106"/>
      <c r="L26" s="109">
        <v>0.07372425445751843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HCMQAP094_pos4ap2res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119</v>
      </c>
      <c r="B1" s="130" t="s">
        <v>72</v>
      </c>
      <c r="C1" s="120" t="s">
        <v>75</v>
      </c>
      <c r="D1" s="120" t="s">
        <v>77</v>
      </c>
      <c r="E1" s="120" t="s">
        <v>80</v>
      </c>
      <c r="F1" s="127" t="s">
        <v>68</v>
      </c>
      <c r="G1" s="160" t="s">
        <v>120</v>
      </c>
    </row>
    <row r="2" spans="1:7" ht="13.5" thickBot="1">
      <c r="A2" s="139" t="s">
        <v>89</v>
      </c>
      <c r="B2" s="131">
        <v>-2.2556017999999995</v>
      </c>
      <c r="C2" s="122">
        <v>-3.7510994</v>
      </c>
      <c r="D2" s="122">
        <v>-3.7512928</v>
      </c>
      <c r="E2" s="122">
        <v>-3.7522303000000004</v>
      </c>
      <c r="F2" s="128">
        <v>-2.0812252</v>
      </c>
      <c r="G2" s="161">
        <v>3.116593554350668</v>
      </c>
    </row>
    <row r="3" spans="1:7" ht="14.25" thickBot="1" thickTop="1">
      <c r="A3" s="147" t="s">
        <v>88</v>
      </c>
      <c r="B3" s="148" t="s">
        <v>83</v>
      </c>
      <c r="C3" s="149" t="s">
        <v>84</v>
      </c>
      <c r="D3" s="149" t="s">
        <v>85</v>
      </c>
      <c r="E3" s="149" t="s">
        <v>86</v>
      </c>
      <c r="F3" s="150" t="s">
        <v>87</v>
      </c>
      <c r="G3" s="156" t="s">
        <v>121</v>
      </c>
    </row>
    <row r="4" spans="1:7" ht="12.75">
      <c r="A4" s="144" t="s">
        <v>90</v>
      </c>
      <c r="B4" s="145">
        <v>0.51094182</v>
      </c>
      <c r="C4" s="146">
        <v>-1.6921627000000001</v>
      </c>
      <c r="D4" s="146">
        <v>-2.268676</v>
      </c>
      <c r="E4" s="146">
        <v>-2.8261635</v>
      </c>
      <c r="F4" s="151">
        <v>-2.0642192</v>
      </c>
      <c r="G4" s="157">
        <v>-1.8347221968641079</v>
      </c>
    </row>
    <row r="5" spans="1:7" ht="12.75">
      <c r="A5" s="139" t="s">
        <v>92</v>
      </c>
      <c r="B5" s="133">
        <v>-0.175405226</v>
      </c>
      <c r="C5" s="117">
        <v>0.01004577</v>
      </c>
      <c r="D5" s="117">
        <v>0.1042708</v>
      </c>
      <c r="E5" s="117">
        <v>0.166448026</v>
      </c>
      <c r="F5" s="152">
        <v>-1.2196945000000001</v>
      </c>
      <c r="G5" s="158">
        <v>-0.1206250235780991</v>
      </c>
    </row>
    <row r="6" spans="1:7" ht="12.75">
      <c r="A6" s="139" t="s">
        <v>94</v>
      </c>
      <c r="B6" s="133">
        <v>0.14649565</v>
      </c>
      <c r="C6" s="117">
        <v>0.60811936</v>
      </c>
      <c r="D6" s="117">
        <v>0.8978389100000002</v>
      </c>
      <c r="E6" s="117">
        <v>1.4380796</v>
      </c>
      <c r="F6" s="152">
        <v>-1.090866553</v>
      </c>
      <c r="G6" s="158">
        <v>0.5839916003890817</v>
      </c>
    </row>
    <row r="7" spans="1:7" ht="12.75">
      <c r="A7" s="139" t="s">
        <v>96</v>
      </c>
      <c r="B7" s="132">
        <v>3.9450105</v>
      </c>
      <c r="C7" s="116">
        <v>2.7182252</v>
      </c>
      <c r="D7" s="116">
        <v>2.610228</v>
      </c>
      <c r="E7" s="116">
        <v>2.5381053000000002</v>
      </c>
      <c r="F7" s="153">
        <v>13.768439</v>
      </c>
      <c r="G7" s="158">
        <v>4.30140975841121</v>
      </c>
    </row>
    <row r="8" spans="1:7" ht="12.75">
      <c r="A8" s="139" t="s">
        <v>98</v>
      </c>
      <c r="B8" s="133">
        <v>0.058885282000000004</v>
      </c>
      <c r="C8" s="117">
        <v>-0.089723559</v>
      </c>
      <c r="D8" s="117">
        <v>-0.08309535400000001</v>
      </c>
      <c r="E8" s="117">
        <v>0.003351854</v>
      </c>
      <c r="F8" s="152">
        <v>-0.18507409</v>
      </c>
      <c r="G8" s="158">
        <v>-0.056958089449399826</v>
      </c>
    </row>
    <row r="9" spans="1:7" ht="12.75">
      <c r="A9" s="139" t="s">
        <v>100</v>
      </c>
      <c r="B9" s="133">
        <v>0.06119933200000001</v>
      </c>
      <c r="C9" s="117">
        <v>0.0179119532</v>
      </c>
      <c r="D9" s="117">
        <v>-0.077268177</v>
      </c>
      <c r="E9" s="117">
        <v>-0.053802681000000005</v>
      </c>
      <c r="F9" s="152">
        <v>-0.141182632</v>
      </c>
      <c r="G9" s="158">
        <v>-0.03722153075761434</v>
      </c>
    </row>
    <row r="10" spans="1:7" ht="12.75">
      <c r="A10" s="139" t="s">
        <v>102</v>
      </c>
      <c r="B10" s="133">
        <v>-0.067250769</v>
      </c>
      <c r="C10" s="117">
        <v>0.0102764191</v>
      </c>
      <c r="D10" s="117">
        <v>-0.0092385106</v>
      </c>
      <c r="E10" s="117">
        <v>0.06945686</v>
      </c>
      <c r="F10" s="152">
        <v>0.005891665</v>
      </c>
      <c r="G10" s="158">
        <v>0.008022382519257538</v>
      </c>
    </row>
    <row r="11" spans="1:7" ht="12.75">
      <c r="A11" s="139" t="s">
        <v>104</v>
      </c>
      <c r="B11" s="132">
        <v>-0.29304047000000005</v>
      </c>
      <c r="C11" s="116">
        <v>-0.12219975999999999</v>
      </c>
      <c r="D11" s="116">
        <v>-0.061851497</v>
      </c>
      <c r="E11" s="116">
        <v>-0.062818443</v>
      </c>
      <c r="F11" s="154">
        <v>-0.28015372000000005</v>
      </c>
      <c r="G11" s="158">
        <v>-0.13918919985903033</v>
      </c>
    </row>
    <row r="12" spans="1:7" ht="12.75">
      <c r="A12" s="139" t="s">
        <v>106</v>
      </c>
      <c r="B12" s="133">
        <v>0.0082983373</v>
      </c>
      <c r="C12" s="117">
        <v>0.007345879599999999</v>
      </c>
      <c r="D12" s="117">
        <v>0.033620134</v>
      </c>
      <c r="E12" s="117">
        <v>0.031117968999999995</v>
      </c>
      <c r="F12" s="152">
        <v>-0.00828057775</v>
      </c>
      <c r="G12" s="158">
        <v>0.01744032040077839</v>
      </c>
    </row>
    <row r="13" spans="1:7" ht="12.75">
      <c r="A13" s="139" t="s">
        <v>108</v>
      </c>
      <c r="B13" s="133">
        <v>0.00012360099999999982</v>
      </c>
      <c r="C13" s="117">
        <v>-0.0016268089200000002</v>
      </c>
      <c r="D13" s="117">
        <v>0.0018288472069999998</v>
      </c>
      <c r="E13" s="117">
        <v>-0.0014911309600000003</v>
      </c>
      <c r="F13" s="152">
        <v>0.010122450799999998</v>
      </c>
      <c r="G13" s="158">
        <v>0.0010588526073611326</v>
      </c>
    </row>
    <row r="14" spans="1:7" ht="12.75">
      <c r="A14" s="139" t="s">
        <v>110</v>
      </c>
      <c r="B14" s="133">
        <v>0.022710436299999998</v>
      </c>
      <c r="C14" s="117">
        <v>0.020236863</v>
      </c>
      <c r="D14" s="117">
        <v>0.0024513003</v>
      </c>
      <c r="E14" s="117">
        <v>0.007126509921</v>
      </c>
      <c r="F14" s="152">
        <v>0.0034447833000000004</v>
      </c>
      <c r="G14" s="158">
        <v>0.010918895455589382</v>
      </c>
    </row>
    <row r="15" spans="1:7" ht="12.75">
      <c r="A15" s="139" t="s">
        <v>112</v>
      </c>
      <c r="B15" s="134">
        <v>-0.18894871000000002</v>
      </c>
      <c r="C15" s="119">
        <v>-0.16255724</v>
      </c>
      <c r="D15" s="119">
        <v>-0.16752568</v>
      </c>
      <c r="E15" s="119">
        <v>-0.17255442000000001</v>
      </c>
      <c r="F15" s="152">
        <v>-0.13396473</v>
      </c>
      <c r="G15" s="158">
        <v>-0.16615991913532863</v>
      </c>
    </row>
    <row r="16" spans="1:7" ht="12.75">
      <c r="A16" s="139" t="s">
        <v>114</v>
      </c>
      <c r="B16" s="133">
        <v>-0.00291799674</v>
      </c>
      <c r="C16" s="117">
        <v>-0.0009563087499999997</v>
      </c>
      <c r="D16" s="117">
        <v>-0.00135652628</v>
      </c>
      <c r="E16" s="117">
        <v>-0.00354890093</v>
      </c>
      <c r="F16" s="152">
        <v>0.0013005628030000002</v>
      </c>
      <c r="G16" s="158">
        <v>-0.0016590699066248206</v>
      </c>
    </row>
    <row r="17" spans="1:7" ht="12.75">
      <c r="A17" s="139" t="s">
        <v>91</v>
      </c>
      <c r="B17" s="132">
        <v>2.8122553999999997</v>
      </c>
      <c r="C17" s="116">
        <v>0.87238474</v>
      </c>
      <c r="D17" s="116">
        <v>0.7661647</v>
      </c>
      <c r="E17" s="116">
        <v>0.29925006</v>
      </c>
      <c r="F17" s="153">
        <v>6.129665</v>
      </c>
      <c r="G17" s="158">
        <v>1.691305657487064</v>
      </c>
    </row>
    <row r="18" spans="1:7" ht="12.75">
      <c r="A18" s="139" t="s">
        <v>93</v>
      </c>
      <c r="B18" s="133">
        <v>-1.6667774999999998</v>
      </c>
      <c r="C18" s="117">
        <v>-2.2271533999999997</v>
      </c>
      <c r="D18" s="117">
        <v>-2.3424911999999996</v>
      </c>
      <c r="E18" s="117">
        <v>-2.0936578000000003</v>
      </c>
      <c r="F18" s="152">
        <v>0.21045477299999998</v>
      </c>
      <c r="G18" s="158">
        <v>-1.8163232958060942</v>
      </c>
    </row>
    <row r="19" spans="1:7" ht="12.75">
      <c r="A19" s="139" t="s">
        <v>95</v>
      </c>
      <c r="B19" s="133">
        <v>0.18644606200000002</v>
      </c>
      <c r="C19" s="117">
        <v>0.874312</v>
      </c>
      <c r="D19" s="117">
        <v>0.5733745899999999</v>
      </c>
      <c r="E19" s="117">
        <v>0.82879892</v>
      </c>
      <c r="F19" s="152">
        <v>-1.05849495</v>
      </c>
      <c r="G19" s="158">
        <v>0.4334397080304432</v>
      </c>
    </row>
    <row r="20" spans="1:7" ht="12.75">
      <c r="A20" s="139" t="s">
        <v>97</v>
      </c>
      <c r="B20" s="132">
        <v>0.73621386</v>
      </c>
      <c r="C20" s="116">
        <v>0.1879007</v>
      </c>
      <c r="D20" s="116">
        <v>-0.12207731299999999</v>
      </c>
      <c r="E20" s="116">
        <v>-0.009051468999999998</v>
      </c>
      <c r="F20" s="154">
        <v>1.02436524</v>
      </c>
      <c r="G20" s="158">
        <v>0.256901279177476</v>
      </c>
    </row>
    <row r="21" spans="1:7" ht="12.75">
      <c r="A21" s="139" t="s">
        <v>99</v>
      </c>
      <c r="B21" s="133">
        <v>0.39535449</v>
      </c>
      <c r="C21" s="117">
        <v>-0.088736592</v>
      </c>
      <c r="D21" s="117">
        <v>0.08030950290000001</v>
      </c>
      <c r="E21" s="117">
        <v>-0.31571340999999997</v>
      </c>
      <c r="F21" s="152">
        <v>0.5602246799999999</v>
      </c>
      <c r="G21" s="158">
        <v>0.053971330942180776</v>
      </c>
    </row>
    <row r="22" spans="1:7" ht="12.75">
      <c r="A22" s="139" t="s">
        <v>101</v>
      </c>
      <c r="B22" s="133">
        <v>-0.016913429999999997</v>
      </c>
      <c r="C22" s="117">
        <v>0.052973000000000006</v>
      </c>
      <c r="D22" s="117">
        <v>-0.04294779</v>
      </c>
      <c r="E22" s="117">
        <v>0.13332379</v>
      </c>
      <c r="F22" s="152">
        <v>0.31638384</v>
      </c>
      <c r="G22" s="158">
        <v>0.07428269419021749</v>
      </c>
    </row>
    <row r="23" spans="1:7" ht="12.75">
      <c r="A23" s="139" t="s">
        <v>103</v>
      </c>
      <c r="B23" s="133">
        <v>0.047131611000000004</v>
      </c>
      <c r="C23" s="117">
        <v>0.067335919</v>
      </c>
      <c r="D23" s="117">
        <v>0.100039736</v>
      </c>
      <c r="E23" s="117">
        <v>0.11889287</v>
      </c>
      <c r="F23" s="152">
        <v>-0.0064552640000000005</v>
      </c>
      <c r="G23" s="158">
        <v>0.07483914721957426</v>
      </c>
    </row>
    <row r="24" spans="1:7" ht="12.75">
      <c r="A24" s="139" t="s">
        <v>105</v>
      </c>
      <c r="B24" s="132">
        <v>0.16416872</v>
      </c>
      <c r="C24" s="116">
        <v>0.09888237999999999</v>
      </c>
      <c r="D24" s="116">
        <v>0.016952514</v>
      </c>
      <c r="E24" s="116">
        <v>0.038588974</v>
      </c>
      <c r="F24" s="154">
        <v>0.25124169999999996</v>
      </c>
      <c r="G24" s="158">
        <v>0.09444253500317075</v>
      </c>
    </row>
    <row r="25" spans="1:7" ht="12.75">
      <c r="A25" s="139" t="s">
        <v>107</v>
      </c>
      <c r="B25" s="133">
        <v>0.0022205570000000006</v>
      </c>
      <c r="C25" s="117">
        <v>-0.025120596560000003</v>
      </c>
      <c r="D25" s="117">
        <v>0.002985875</v>
      </c>
      <c r="E25" s="117">
        <v>-0.0072494112999999995</v>
      </c>
      <c r="F25" s="152">
        <v>0.055159466000000004</v>
      </c>
      <c r="G25" s="158">
        <v>0.0006142815003996468</v>
      </c>
    </row>
    <row r="26" spans="1:7" ht="12.75">
      <c r="A26" s="139" t="s">
        <v>109</v>
      </c>
      <c r="B26" s="133">
        <v>0.013952379</v>
      </c>
      <c r="C26" s="117">
        <v>0.040673895</v>
      </c>
      <c r="D26" s="117">
        <v>0.029191954</v>
      </c>
      <c r="E26" s="117">
        <v>0.042814742</v>
      </c>
      <c r="F26" s="152">
        <v>0.073840053</v>
      </c>
      <c r="G26" s="158">
        <v>0.038987969172910746</v>
      </c>
    </row>
    <row r="27" spans="1:7" ht="12.75">
      <c r="A27" s="139" t="s">
        <v>111</v>
      </c>
      <c r="B27" s="133">
        <v>0.066758682</v>
      </c>
      <c r="C27" s="117">
        <v>0.014253870699999999</v>
      </c>
      <c r="D27" s="117">
        <v>0.0170030166</v>
      </c>
      <c r="E27" s="117">
        <v>0.026448818000000002</v>
      </c>
      <c r="F27" s="152">
        <v>0.035128162000000004</v>
      </c>
      <c r="G27" s="158">
        <v>0.028232375389344238</v>
      </c>
    </row>
    <row r="28" spans="1:7" ht="12.75">
      <c r="A28" s="139" t="s">
        <v>113</v>
      </c>
      <c r="B28" s="133">
        <v>0.023536580999999997</v>
      </c>
      <c r="C28" s="117">
        <v>0.017634706</v>
      </c>
      <c r="D28" s="117">
        <v>0.012860399</v>
      </c>
      <c r="E28" s="117">
        <v>0.017308944</v>
      </c>
      <c r="F28" s="152">
        <v>-0.0172553497</v>
      </c>
      <c r="G28" s="158">
        <v>0.01260413197928776</v>
      </c>
    </row>
    <row r="29" spans="1:7" ht="13.5" thickBot="1">
      <c r="A29" s="140" t="s">
        <v>115</v>
      </c>
      <c r="B29" s="135">
        <v>0.0019046693599999998</v>
      </c>
      <c r="C29" s="118">
        <v>0.0002904491</v>
      </c>
      <c r="D29" s="118">
        <v>0.0011211854</v>
      </c>
      <c r="E29" s="118">
        <v>0.0043945666</v>
      </c>
      <c r="F29" s="155">
        <v>0.001489745823</v>
      </c>
      <c r="G29" s="159">
        <v>0.0018716345969216543</v>
      </c>
    </row>
    <row r="30" spans="1:7" ht="13.5" thickTop="1">
      <c r="A30" s="141" t="s">
        <v>116</v>
      </c>
      <c r="B30" s="136">
        <v>-0.14022771144547824</v>
      </c>
      <c r="C30" s="125">
        <v>0.15927167580747328</v>
      </c>
      <c r="D30" s="125">
        <v>0.3647702959329511</v>
      </c>
      <c r="E30" s="125">
        <v>0.551666479075882</v>
      </c>
      <c r="F30" s="121">
        <v>0.7218590777281568</v>
      </c>
      <c r="G30" s="160" t="s">
        <v>127</v>
      </c>
    </row>
    <row r="31" spans="1:7" ht="13.5" thickBot="1">
      <c r="A31" s="142" t="s">
        <v>117</v>
      </c>
      <c r="B31" s="131">
        <v>21.841431</v>
      </c>
      <c r="C31" s="122">
        <v>21.887208</v>
      </c>
      <c r="D31" s="122">
        <v>21.942139</v>
      </c>
      <c r="E31" s="122">
        <v>22.018433</v>
      </c>
      <c r="F31" s="123">
        <v>22.106934</v>
      </c>
      <c r="G31" s="162">
        <v>-209.56</v>
      </c>
    </row>
    <row r="32" spans="1:7" ht="15.75" thickBot="1" thickTop="1">
      <c r="A32" s="143" t="s">
        <v>118</v>
      </c>
      <c r="B32" s="137">
        <v>-0.37150000035762787</v>
      </c>
      <c r="C32" s="126">
        <v>0.28850001096725464</v>
      </c>
      <c r="D32" s="126">
        <v>-0.3474999964237213</v>
      </c>
      <c r="E32" s="126">
        <v>0.443000003695488</v>
      </c>
      <c r="F32" s="124">
        <v>-0.40049999952316284</v>
      </c>
      <c r="G32" s="129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3" bestFit="1" customWidth="1"/>
    <col min="2" max="2" width="15.66015625" style="163" bestFit="1" customWidth="1"/>
    <col min="3" max="3" width="15.33203125" style="163" bestFit="1" customWidth="1"/>
    <col min="4" max="4" width="16" style="163" bestFit="1" customWidth="1"/>
    <col min="5" max="5" width="22.16015625" style="163" bestFit="1" customWidth="1"/>
    <col min="6" max="6" width="14.83203125" style="163" bestFit="1" customWidth="1"/>
    <col min="7" max="7" width="15.33203125" style="163" bestFit="1" customWidth="1"/>
    <col min="8" max="8" width="14.16015625" style="163" bestFit="1" customWidth="1"/>
    <col min="9" max="9" width="14.83203125" style="163" bestFit="1" customWidth="1"/>
    <col min="10" max="10" width="6.33203125" style="163" bestFit="1" customWidth="1"/>
    <col min="11" max="11" width="15" style="163" bestFit="1" customWidth="1"/>
    <col min="12" max="16384" width="10.66015625" style="163" customWidth="1"/>
  </cols>
  <sheetData>
    <row r="1" spans="1:5" ht="12.75">
      <c r="A1" s="163" t="s">
        <v>128</v>
      </c>
      <c r="B1" s="163" t="s">
        <v>129</v>
      </c>
      <c r="C1" s="163" t="s">
        <v>130</v>
      </c>
      <c r="D1" s="163" t="s">
        <v>131</v>
      </c>
      <c r="E1" s="163" t="s">
        <v>28</v>
      </c>
    </row>
    <row r="3" spans="1:7" ht="12.75">
      <c r="A3" s="163" t="s">
        <v>132</v>
      </c>
      <c r="B3" s="163" t="s">
        <v>83</v>
      </c>
      <c r="C3" s="163" t="s">
        <v>84</v>
      </c>
      <c r="D3" s="163" t="s">
        <v>85</v>
      </c>
      <c r="E3" s="163" t="s">
        <v>86</v>
      </c>
      <c r="F3" s="163" t="s">
        <v>87</v>
      </c>
      <c r="G3" s="163" t="s">
        <v>133</v>
      </c>
    </row>
    <row r="4" spans="1:7" ht="12.75">
      <c r="A4" s="163" t="s">
        <v>134</v>
      </c>
      <c r="B4" s="163">
        <f>0.002254*1.0033</f>
        <v>0.0022614382000000002</v>
      </c>
      <c r="C4" s="163">
        <f>0.003749*1.0033</f>
        <v>0.0037613717000000006</v>
      </c>
      <c r="D4" s="163">
        <f>0.003749*1.0033</f>
        <v>0.0037613717000000006</v>
      </c>
      <c r="E4" s="163">
        <f>0.00375*1.0033</f>
        <v>0.003762375</v>
      </c>
      <c r="F4" s="163">
        <f>0.00208*1.0033</f>
        <v>0.002086864</v>
      </c>
      <c r="G4" s="163">
        <f>0.011685*1.0033</f>
        <v>0.0117235605</v>
      </c>
    </row>
    <row r="5" spans="1:7" ht="12.75">
      <c r="A5" s="163" t="s">
        <v>135</v>
      </c>
      <c r="B5" s="163">
        <v>8.446745</v>
      </c>
      <c r="C5" s="163">
        <v>3.317562</v>
      </c>
      <c r="D5" s="163">
        <v>-0.861612</v>
      </c>
      <c r="E5" s="163">
        <v>-3.519732</v>
      </c>
      <c r="F5" s="163">
        <v>-7.240843</v>
      </c>
      <c r="G5" s="163">
        <v>5.774122</v>
      </c>
    </row>
    <row r="6" spans="1:7" ht="12.75">
      <c r="A6" s="163" t="s">
        <v>136</v>
      </c>
      <c r="B6" s="164">
        <v>-32.31434</v>
      </c>
      <c r="C6" s="164">
        <v>-6.810689</v>
      </c>
      <c r="D6" s="164">
        <v>48.41814</v>
      </c>
      <c r="E6" s="164">
        <v>11.72684</v>
      </c>
      <c r="F6" s="164">
        <v>-61.13198</v>
      </c>
      <c r="G6" s="164">
        <v>-0.0004596312</v>
      </c>
    </row>
    <row r="7" spans="1:7" ht="12.75">
      <c r="A7" s="163" t="s">
        <v>137</v>
      </c>
      <c r="B7" s="164">
        <v>10000</v>
      </c>
      <c r="C7" s="164">
        <v>10000</v>
      </c>
      <c r="D7" s="164">
        <v>10000</v>
      </c>
      <c r="E7" s="164">
        <v>10000</v>
      </c>
      <c r="F7" s="164">
        <v>10000</v>
      </c>
      <c r="G7" s="164">
        <v>10000</v>
      </c>
    </row>
    <row r="8" spans="1:7" ht="12.75">
      <c r="A8" s="163" t="s">
        <v>90</v>
      </c>
      <c r="B8" s="164">
        <v>0.3760317</v>
      </c>
      <c r="C8" s="164">
        <v>-1.669298</v>
      </c>
      <c r="D8" s="164">
        <v>-2.208812</v>
      </c>
      <c r="E8" s="164">
        <v>-2.837553</v>
      </c>
      <c r="F8" s="164">
        <v>-1.89921</v>
      </c>
      <c r="G8" s="164">
        <v>-1.815093</v>
      </c>
    </row>
    <row r="9" spans="1:7" ht="12.75">
      <c r="A9" s="163" t="s">
        <v>92</v>
      </c>
      <c r="B9" s="164">
        <v>-0.1195541</v>
      </c>
      <c r="C9" s="164">
        <v>0.02284881</v>
      </c>
      <c r="D9" s="164">
        <v>0.09645532</v>
      </c>
      <c r="E9" s="164">
        <v>0.1546035</v>
      </c>
      <c r="F9" s="164">
        <v>-1.232899</v>
      </c>
      <c r="G9" s="164">
        <v>-0.1159363</v>
      </c>
    </row>
    <row r="10" spans="1:7" ht="12.75">
      <c r="A10" s="163" t="s">
        <v>94</v>
      </c>
      <c r="B10" s="164">
        <v>0.1347699</v>
      </c>
      <c r="C10" s="164">
        <v>0.582657</v>
      </c>
      <c r="D10" s="164">
        <v>0.9721308</v>
      </c>
      <c r="E10" s="164">
        <v>1.470127</v>
      </c>
      <c r="F10" s="164">
        <v>-1.530791</v>
      </c>
      <c r="G10" s="164">
        <v>0.5430691</v>
      </c>
    </row>
    <row r="11" spans="1:7" ht="12.75">
      <c r="A11" s="163" t="s">
        <v>96</v>
      </c>
      <c r="B11" s="164">
        <v>3.932367</v>
      </c>
      <c r="C11" s="164">
        <v>2.717441</v>
      </c>
      <c r="D11" s="164">
        <v>2.605311</v>
      </c>
      <c r="E11" s="164">
        <v>2.53227</v>
      </c>
      <c r="F11" s="164">
        <v>13.82384</v>
      </c>
      <c r="G11" s="164">
        <v>4.304066</v>
      </c>
    </row>
    <row r="12" spans="1:7" ht="12.75">
      <c r="A12" s="163" t="s">
        <v>98</v>
      </c>
      <c r="B12" s="164">
        <v>0.02258098</v>
      </c>
      <c r="C12" s="164">
        <v>-0.09672502</v>
      </c>
      <c r="D12" s="164">
        <v>-0.0897847</v>
      </c>
      <c r="E12" s="164">
        <v>-0.01015334</v>
      </c>
      <c r="F12" s="164">
        <v>-0.1511561</v>
      </c>
      <c r="G12" s="164">
        <v>-0.06422738</v>
      </c>
    </row>
    <row r="13" spans="1:7" ht="12.75">
      <c r="A13" s="163" t="s">
        <v>100</v>
      </c>
      <c r="B13" s="164">
        <v>0.0695641</v>
      </c>
      <c r="C13" s="164">
        <v>0.01342043</v>
      </c>
      <c r="D13" s="164">
        <v>-0.08571558</v>
      </c>
      <c r="E13" s="164">
        <v>-0.04807149</v>
      </c>
      <c r="F13" s="164">
        <v>-0.1232453</v>
      </c>
      <c r="G13" s="164">
        <v>-0.03535216</v>
      </c>
    </row>
    <row r="14" spans="1:7" ht="12.75">
      <c r="A14" s="163" t="s">
        <v>102</v>
      </c>
      <c r="B14" s="164">
        <v>-0.04589031</v>
      </c>
      <c r="C14" s="164">
        <v>0.004277099</v>
      </c>
      <c r="D14" s="164">
        <v>-0.01342172</v>
      </c>
      <c r="E14" s="164">
        <v>0.07306873</v>
      </c>
      <c r="F14" s="164">
        <v>0.0335624</v>
      </c>
      <c r="G14" s="164">
        <v>0.01322569</v>
      </c>
    </row>
    <row r="15" spans="1:7" ht="12.75">
      <c r="A15" s="163" t="s">
        <v>104</v>
      </c>
      <c r="B15" s="164">
        <v>-0.3068328</v>
      </c>
      <c r="C15" s="164">
        <v>-0.1255418</v>
      </c>
      <c r="D15" s="164">
        <v>-0.06234124</v>
      </c>
      <c r="E15" s="164">
        <v>-0.061689</v>
      </c>
      <c r="F15" s="164">
        <v>-0.2597107</v>
      </c>
      <c r="G15" s="164">
        <v>-0.1391015</v>
      </c>
    </row>
    <row r="16" spans="1:7" ht="12.75">
      <c r="A16" s="163" t="s">
        <v>106</v>
      </c>
      <c r="B16" s="164">
        <v>0.01139041</v>
      </c>
      <c r="C16" s="164">
        <v>0.009046178</v>
      </c>
      <c r="D16" s="164">
        <v>0.03425422</v>
      </c>
      <c r="E16" s="164">
        <v>0.03485733</v>
      </c>
      <c r="F16" s="164">
        <v>0.0005144469</v>
      </c>
      <c r="G16" s="164">
        <v>0.02052362</v>
      </c>
    </row>
    <row r="17" spans="1:7" ht="12.75">
      <c r="A17" s="163" t="s">
        <v>108</v>
      </c>
      <c r="B17" s="164">
        <v>0.01066362</v>
      </c>
      <c r="C17" s="164">
        <v>-0.004088993</v>
      </c>
      <c r="D17" s="164">
        <v>0.001124499</v>
      </c>
      <c r="E17" s="164">
        <v>0.001453217</v>
      </c>
      <c r="F17" s="164">
        <v>0.01876309</v>
      </c>
      <c r="G17" s="164">
        <v>0.003683126</v>
      </c>
    </row>
    <row r="18" spans="1:7" ht="12.75">
      <c r="A18" s="163" t="s">
        <v>110</v>
      </c>
      <c r="B18" s="164">
        <v>0.01831682</v>
      </c>
      <c r="C18" s="164">
        <v>0.02007983</v>
      </c>
      <c r="D18" s="164">
        <v>-0.0009345496</v>
      </c>
      <c r="E18" s="164">
        <v>0.007908445</v>
      </c>
      <c r="F18" s="164">
        <v>0.0102181</v>
      </c>
      <c r="G18" s="164">
        <v>0.01052271</v>
      </c>
    </row>
    <row r="19" spans="1:7" ht="12.75">
      <c r="A19" s="163" t="s">
        <v>112</v>
      </c>
      <c r="B19" s="164">
        <v>-0.1904334</v>
      </c>
      <c r="C19" s="164">
        <v>-0.1631986</v>
      </c>
      <c r="D19" s="164">
        <v>-0.1673475</v>
      </c>
      <c r="E19" s="164">
        <v>-0.1715108</v>
      </c>
      <c r="F19" s="164">
        <v>-0.1350698</v>
      </c>
      <c r="G19" s="164">
        <v>-0.1663827</v>
      </c>
    </row>
    <row r="20" spans="1:7" ht="12.75">
      <c r="A20" s="163" t="s">
        <v>114</v>
      </c>
      <c r="B20" s="164">
        <v>-0.003121889</v>
      </c>
      <c r="C20" s="164">
        <v>-0.0009634161</v>
      </c>
      <c r="D20" s="164">
        <v>-0.001338726</v>
      </c>
      <c r="E20" s="164">
        <v>-0.003309621</v>
      </c>
      <c r="F20" s="164">
        <v>0.00144958</v>
      </c>
      <c r="G20" s="164">
        <v>-0.001608552</v>
      </c>
    </row>
    <row r="21" spans="1:7" ht="12.75">
      <c r="A21" s="163" t="s">
        <v>138</v>
      </c>
      <c r="B21" s="164">
        <v>-126.4043</v>
      </c>
      <c r="C21" s="164">
        <v>47.07702</v>
      </c>
      <c r="D21" s="164">
        <v>81.96215</v>
      </c>
      <c r="E21" s="164">
        <v>-25.00728</v>
      </c>
      <c r="F21" s="164">
        <v>-50.53583</v>
      </c>
      <c r="G21" s="164">
        <v>-0.001303488</v>
      </c>
    </row>
    <row r="22" spans="1:7" ht="12.75">
      <c r="A22" s="163" t="s">
        <v>139</v>
      </c>
      <c r="B22" s="164">
        <v>168.951</v>
      </c>
      <c r="C22" s="164">
        <v>66.35221</v>
      </c>
      <c r="D22" s="164">
        <v>-17.23226</v>
      </c>
      <c r="E22" s="164">
        <v>-70.3958</v>
      </c>
      <c r="F22" s="164">
        <v>-144.827</v>
      </c>
      <c r="G22" s="164">
        <v>0</v>
      </c>
    </row>
    <row r="23" spans="1:7" ht="12.75">
      <c r="A23" s="163" t="s">
        <v>91</v>
      </c>
      <c r="B23" s="164">
        <v>2.871059</v>
      </c>
      <c r="C23" s="164">
        <v>0.8774605</v>
      </c>
      <c r="D23" s="164">
        <v>0.7579125</v>
      </c>
      <c r="E23" s="164">
        <v>0.3373478</v>
      </c>
      <c r="F23" s="164">
        <v>6.199891</v>
      </c>
      <c r="G23" s="164">
        <v>1.7175</v>
      </c>
    </row>
    <row r="24" spans="1:7" ht="12.75">
      <c r="A24" s="163" t="s">
        <v>140</v>
      </c>
      <c r="B24" s="164">
        <v>-1.673666</v>
      </c>
      <c r="C24" s="164">
        <v>-2.217857</v>
      </c>
      <c r="D24" s="164">
        <v>-2.299725</v>
      </c>
      <c r="E24" s="164">
        <v>-2.105393</v>
      </c>
      <c r="F24" s="164">
        <v>0.3227147</v>
      </c>
      <c r="G24" s="164">
        <v>-1.792667</v>
      </c>
    </row>
    <row r="25" spans="1:7" ht="12.75">
      <c r="A25" s="163" t="s">
        <v>95</v>
      </c>
      <c r="B25" s="164">
        <v>-0.06983437</v>
      </c>
      <c r="C25" s="164">
        <v>0.9483328</v>
      </c>
      <c r="D25" s="164">
        <v>0.6746059</v>
      </c>
      <c r="E25" s="164">
        <v>0.7728553</v>
      </c>
      <c r="F25" s="164">
        <v>-1.387624</v>
      </c>
      <c r="G25" s="164">
        <v>0.3811672</v>
      </c>
    </row>
    <row r="26" spans="1:7" ht="12.75">
      <c r="A26" s="163" t="s">
        <v>97</v>
      </c>
      <c r="B26" s="164">
        <v>0.9288402</v>
      </c>
      <c r="C26" s="164">
        <v>0.2430183</v>
      </c>
      <c r="D26" s="164">
        <v>-0.1353965</v>
      </c>
      <c r="E26" s="164">
        <v>-0.06206571</v>
      </c>
      <c r="F26" s="164">
        <v>0.406394</v>
      </c>
      <c r="G26" s="164">
        <v>0.1995785</v>
      </c>
    </row>
    <row r="27" spans="1:7" ht="12.75">
      <c r="A27" s="163" t="s">
        <v>99</v>
      </c>
      <c r="B27" s="164">
        <v>0.3661519</v>
      </c>
      <c r="C27" s="164">
        <v>-0.1097722</v>
      </c>
      <c r="D27" s="164">
        <v>0.05510602</v>
      </c>
      <c r="E27" s="164">
        <v>-0.3316588</v>
      </c>
      <c r="F27" s="164">
        <v>0.5467818</v>
      </c>
      <c r="G27" s="164">
        <v>0.03297687</v>
      </c>
    </row>
    <row r="28" spans="1:7" ht="12.75">
      <c r="A28" s="163" t="s">
        <v>101</v>
      </c>
      <c r="B28" s="164">
        <v>-0.008149766</v>
      </c>
      <c r="C28" s="164">
        <v>0.05513343</v>
      </c>
      <c r="D28" s="164">
        <v>-0.03722965</v>
      </c>
      <c r="E28" s="164">
        <v>0.135483</v>
      </c>
      <c r="F28" s="164">
        <v>0.3211414</v>
      </c>
      <c r="G28" s="164">
        <v>0.07859812</v>
      </c>
    </row>
    <row r="29" spans="1:7" ht="12.75">
      <c r="A29" s="163" t="s">
        <v>103</v>
      </c>
      <c r="B29" s="164">
        <v>0.07146763</v>
      </c>
      <c r="C29" s="164">
        <v>0.06174548</v>
      </c>
      <c r="D29" s="164">
        <v>0.09600752</v>
      </c>
      <c r="E29" s="164">
        <v>0.1182641</v>
      </c>
      <c r="F29" s="164">
        <v>-0.01159799</v>
      </c>
      <c r="G29" s="164">
        <v>0.07520833</v>
      </c>
    </row>
    <row r="30" spans="1:7" ht="12.75">
      <c r="A30" s="163" t="s">
        <v>105</v>
      </c>
      <c r="B30" s="164">
        <v>0.1351357</v>
      </c>
      <c r="C30" s="164">
        <v>0.09370716</v>
      </c>
      <c r="D30" s="164">
        <v>0.01950014</v>
      </c>
      <c r="E30" s="164">
        <v>0.03868732</v>
      </c>
      <c r="F30" s="164">
        <v>0.2663126</v>
      </c>
      <c r="G30" s="164">
        <v>0.09164104</v>
      </c>
    </row>
    <row r="31" spans="1:7" ht="12.75">
      <c r="A31" s="163" t="s">
        <v>107</v>
      </c>
      <c r="B31" s="164">
        <v>0.01265264</v>
      </c>
      <c r="C31" s="164">
        <v>-0.01719367</v>
      </c>
      <c r="D31" s="164">
        <v>0.0126067</v>
      </c>
      <c r="E31" s="164">
        <v>-0.0005681249</v>
      </c>
      <c r="F31" s="164">
        <v>0.05645664</v>
      </c>
      <c r="G31" s="164">
        <v>0.008125872</v>
      </c>
    </row>
    <row r="32" spans="1:7" ht="12.75">
      <c r="A32" s="163" t="s">
        <v>109</v>
      </c>
      <c r="B32" s="164">
        <v>0.007809876</v>
      </c>
      <c r="C32" s="164">
        <v>0.04101015</v>
      </c>
      <c r="D32" s="164">
        <v>0.02919173</v>
      </c>
      <c r="E32" s="164">
        <v>0.04264947</v>
      </c>
      <c r="F32" s="164">
        <v>0.0689298</v>
      </c>
      <c r="G32" s="164">
        <v>0.03748504</v>
      </c>
    </row>
    <row r="33" spans="1:7" ht="12.75">
      <c r="A33" s="163" t="s">
        <v>111</v>
      </c>
      <c r="B33" s="164">
        <v>0.07834058</v>
      </c>
      <c r="C33" s="164">
        <v>0.01187655</v>
      </c>
      <c r="D33" s="164">
        <v>0.01162946</v>
      </c>
      <c r="E33" s="164">
        <v>0.02790015</v>
      </c>
      <c r="F33" s="164">
        <v>0.0375491</v>
      </c>
      <c r="G33" s="164">
        <v>0.02871455</v>
      </c>
    </row>
    <row r="34" spans="1:7" ht="12.75">
      <c r="A34" s="163" t="s">
        <v>113</v>
      </c>
      <c r="B34" s="164">
        <v>0.001126152</v>
      </c>
      <c r="C34" s="164">
        <v>0.01009794</v>
      </c>
      <c r="D34" s="164">
        <v>0.01489573</v>
      </c>
      <c r="E34" s="164">
        <v>0.0258207</v>
      </c>
      <c r="F34" s="164">
        <v>-0.003632521</v>
      </c>
      <c r="G34" s="164">
        <v>0.011904</v>
      </c>
    </row>
    <row r="35" spans="1:7" ht="12.75">
      <c r="A35" s="163" t="s">
        <v>115</v>
      </c>
      <c r="B35" s="164">
        <v>0.00152225</v>
      </c>
      <c r="C35" s="164">
        <v>0.0002432434</v>
      </c>
      <c r="D35" s="164">
        <v>0.001138207</v>
      </c>
      <c r="E35" s="164">
        <v>0.004577237</v>
      </c>
      <c r="F35" s="164">
        <v>0.001340626</v>
      </c>
      <c r="G35" s="164">
        <v>0.001833093</v>
      </c>
    </row>
    <row r="36" spans="1:6" ht="12.75">
      <c r="A36" s="163" t="s">
        <v>141</v>
      </c>
      <c r="B36" s="164">
        <v>22.10693</v>
      </c>
      <c r="C36" s="164">
        <v>22.11304</v>
      </c>
      <c r="D36" s="164">
        <v>22.11914</v>
      </c>
      <c r="E36" s="164">
        <v>22.12524</v>
      </c>
      <c r="F36" s="164">
        <v>22.13745</v>
      </c>
    </row>
    <row r="37" spans="1:6" ht="12.75">
      <c r="A37" s="163" t="s">
        <v>142</v>
      </c>
      <c r="B37" s="164">
        <v>-0.398763</v>
      </c>
      <c r="C37" s="164">
        <v>-0.3936768</v>
      </c>
      <c r="D37" s="164">
        <v>-0.3911336</v>
      </c>
      <c r="E37" s="164">
        <v>-0.3875733</v>
      </c>
      <c r="F37" s="164">
        <v>-0.3840129</v>
      </c>
    </row>
    <row r="38" spans="1:7" ht="12.75">
      <c r="A38" s="163" t="s">
        <v>143</v>
      </c>
      <c r="B38" s="164">
        <v>5.854821E-05</v>
      </c>
      <c r="C38" s="164">
        <v>1.104666E-05</v>
      </c>
      <c r="D38" s="164">
        <v>-8.207049E-05</v>
      </c>
      <c r="E38" s="164">
        <v>-2.023389E-05</v>
      </c>
      <c r="F38" s="164">
        <v>0.0001026586</v>
      </c>
      <c r="G38" s="164">
        <v>0.0001687721</v>
      </c>
    </row>
    <row r="39" spans="1:7" ht="12.75">
      <c r="A39" s="163" t="s">
        <v>144</v>
      </c>
      <c r="B39" s="164">
        <v>0.0002138982</v>
      </c>
      <c r="C39" s="164">
        <v>-8.010424E-05</v>
      </c>
      <c r="D39" s="164">
        <v>-0.0001394771</v>
      </c>
      <c r="E39" s="164">
        <v>4.236994E-05</v>
      </c>
      <c r="F39" s="164">
        <v>8.739768E-05</v>
      </c>
      <c r="G39" s="164">
        <v>0.0003396956</v>
      </c>
    </row>
    <row r="40" spans="2:5" ht="12.75">
      <c r="B40" s="163" t="s">
        <v>145</v>
      </c>
      <c r="C40" s="163">
        <v>0.00375</v>
      </c>
      <c r="D40" s="163" t="s">
        <v>146</v>
      </c>
      <c r="E40" s="163">
        <v>3.116593</v>
      </c>
    </row>
    <row r="42" ht="12.75">
      <c r="A42" s="163" t="s">
        <v>147</v>
      </c>
    </row>
    <row r="50" spans="1:7" ht="12.75">
      <c r="A50" s="163" t="s">
        <v>148</v>
      </c>
      <c r="B50" s="163">
        <f>-0.017/(B7*B7+B22*B22)*(B21*B22+B6*B7)</f>
        <v>5.8548208332747615E-05</v>
      </c>
      <c r="C50" s="163">
        <f>-0.017/(C7*C7+C22*C22)*(C21*C22+C6*C7)</f>
        <v>1.104666202398905E-05</v>
      </c>
      <c r="D50" s="163">
        <f>-0.017/(D7*D7+D22*D22)*(D21*D22+D6*D7)</f>
        <v>-8.207048746762043E-05</v>
      </c>
      <c r="E50" s="163">
        <f>-0.017/(E7*E7+E22*E22)*(E21*E22+E6*E7)</f>
        <v>-2.0233894567304683E-05</v>
      </c>
      <c r="F50" s="163">
        <f>-0.017/(F7*F7+F22*F22)*(F21*F22+F6*F7)</f>
        <v>0.00010265861154928279</v>
      </c>
      <c r="G50" s="163">
        <f>(B50*B$4+C50*C$4+D50*D$4+E50*E$4+F50*F$4)/SUM(B$4:F$4)</f>
        <v>2.1512946919231523E-07</v>
      </c>
    </row>
    <row r="51" spans="1:7" ht="12.75">
      <c r="A51" s="163" t="s">
        <v>149</v>
      </c>
      <c r="B51" s="163">
        <f>-0.017/(B7*B7+B22*B22)*(B21*B7-B6*B22)</f>
        <v>0.00021389813216539743</v>
      </c>
      <c r="C51" s="163">
        <f>-0.017/(C7*C7+C22*C22)*(C21*C7-C6*C22)</f>
        <v>-8.010423104384147E-05</v>
      </c>
      <c r="D51" s="163">
        <f>-0.017/(D7*D7+D22*D22)*(D21*D7-D6*D22)</f>
        <v>-0.00013947708099783688</v>
      </c>
      <c r="E51" s="163">
        <f>-0.017/(E7*E7+E22*E22)*(E21*E7-E6*E22)</f>
        <v>4.23699378804819E-05</v>
      </c>
      <c r="F51" s="163">
        <f>-0.017/(F7*F7+F22*F22)*(F21*F7-F6*F22)</f>
        <v>8.73976848734848E-05</v>
      </c>
      <c r="G51" s="163">
        <f>(B51*B$4+C51*C$4+D51*D$4+E51*E$4+F51*F$4)/SUM(B$4:F$4)</f>
        <v>-2.6280153689572762E-08</v>
      </c>
    </row>
    <row r="58" ht="12.75">
      <c r="A58" s="163" t="s">
        <v>151</v>
      </c>
    </row>
    <row r="60" spans="2:6" ht="12.75">
      <c r="B60" s="163" t="s">
        <v>83</v>
      </c>
      <c r="C60" s="163" t="s">
        <v>84</v>
      </c>
      <c r="D60" s="163" t="s">
        <v>85</v>
      </c>
      <c r="E60" s="163" t="s">
        <v>86</v>
      </c>
      <c r="F60" s="163" t="s">
        <v>87</v>
      </c>
    </row>
    <row r="61" spans="1:6" ht="12.75">
      <c r="A61" s="163" t="s">
        <v>153</v>
      </c>
      <c r="B61" s="163">
        <f>B6+(1/0.017)*(B7*B50-B22*B51)</f>
        <v>0</v>
      </c>
      <c r="C61" s="163">
        <f>C6+(1/0.017)*(C7*C50-C22*C51)</f>
        <v>0</v>
      </c>
      <c r="D61" s="163">
        <f>D6+(1/0.017)*(D7*D50-D22*D51)</f>
        <v>0</v>
      </c>
      <c r="E61" s="163">
        <f>E6+(1/0.017)*(E7*E50-E22*E51)</f>
        <v>0</v>
      </c>
      <c r="F61" s="163">
        <f>F6+(1/0.017)*(F7*F50-F22*F51)</f>
        <v>0</v>
      </c>
    </row>
    <row r="62" spans="1:6" ht="12.75">
      <c r="A62" s="163" t="s">
        <v>156</v>
      </c>
      <c r="B62" s="163">
        <f>B7+(2/0.017)*(B8*B50-B23*B51)</f>
        <v>9999.930341391162</v>
      </c>
      <c r="C62" s="163">
        <f>C7+(2/0.017)*(C8*C50-C23*C51)</f>
        <v>10000.00609977974</v>
      </c>
      <c r="D62" s="163">
        <f>D7+(2/0.017)*(D8*D50-D23*D51)</f>
        <v>10000.033763494203</v>
      </c>
      <c r="E62" s="163">
        <f>E7+(2/0.017)*(E8*E50-E23*E51)</f>
        <v>10000.005073099164</v>
      </c>
      <c r="F62" s="163">
        <f>F7+(2/0.017)*(F8*F50-F23*F51)</f>
        <v>9999.913314543352</v>
      </c>
    </row>
    <row r="63" spans="1:6" ht="12.75">
      <c r="A63" s="163" t="s">
        <v>157</v>
      </c>
      <c r="B63" s="163">
        <f>B8+(3/0.017)*(B9*B50-B24*B51)</f>
        <v>0.4379718799261585</v>
      </c>
      <c r="C63" s="163">
        <f>C8+(3/0.017)*(C9*C50-C24*C51)</f>
        <v>-1.7006051752591436</v>
      </c>
      <c r="D63" s="163">
        <f>D8+(3/0.017)*(D9*D50-D24*D51)</f>
        <v>-2.2668134820992347</v>
      </c>
      <c r="E63" s="163">
        <f>E8+(3/0.017)*(E9*E50-E24*E51)</f>
        <v>-2.8223629165226005</v>
      </c>
      <c r="F63" s="163">
        <f>F8+(3/0.017)*(F9*F50-F24*F51)</f>
        <v>-1.9265227442073778</v>
      </c>
    </row>
    <row r="64" spans="1:6" ht="12.75">
      <c r="A64" s="163" t="s">
        <v>158</v>
      </c>
      <c r="B64" s="163">
        <f>B9+(4/0.017)*(B10*B50-B25*B51)</f>
        <v>-0.11418281117973392</v>
      </c>
      <c r="C64" s="163">
        <f>C9+(4/0.017)*(C10*C50-C25*C51)</f>
        <v>0.042237488746485766</v>
      </c>
      <c r="D64" s="163">
        <f>D9+(4/0.017)*(D10*D50-D25*D51)</f>
        <v>0.0998220995570896</v>
      </c>
      <c r="E64" s="163">
        <f>E9+(4/0.017)*(E10*E50-E25*E51)</f>
        <v>0.13989944687761197</v>
      </c>
      <c r="F64" s="163">
        <f>F9+(4/0.017)*(F10*F50-F25*F51)</f>
        <v>-1.241339883189942</v>
      </c>
    </row>
    <row r="65" spans="1:6" ht="12.75">
      <c r="A65" s="163" t="s">
        <v>159</v>
      </c>
      <c r="B65" s="163">
        <f>B10+(5/0.017)*(B11*B50-B26*B51)</f>
        <v>0.14405103485196694</v>
      </c>
      <c r="C65" s="163">
        <f>C10+(5/0.017)*(C11*C50-C26*C51)</f>
        <v>0.5972115430435919</v>
      </c>
      <c r="D65" s="163">
        <f>D10+(5/0.017)*(D11*D50-D26*D51)</f>
        <v>0.9036884904788007</v>
      </c>
      <c r="E65" s="163">
        <f>E10+(5/0.017)*(E11*E50-E26*E51)</f>
        <v>1.4558305400238998</v>
      </c>
      <c r="F65" s="163">
        <f>F10+(5/0.017)*(F11*F50-F26*F51)</f>
        <v>-1.1238444335491287</v>
      </c>
    </row>
    <row r="66" spans="1:6" ht="12.75">
      <c r="A66" s="163" t="s">
        <v>160</v>
      </c>
      <c r="B66" s="163">
        <f>B11+(6/0.017)*(B12*B50-B27*B51)</f>
        <v>3.905191541796207</v>
      </c>
      <c r="C66" s="163">
        <f>C11+(6/0.017)*(C12*C50-C27*C51)</f>
        <v>2.7139603977848727</v>
      </c>
      <c r="D66" s="163">
        <f>D11+(6/0.017)*(D12*D50-D27*D51)</f>
        <v>2.6106244238509912</v>
      </c>
      <c r="E66" s="163">
        <f>E11+(6/0.017)*(E12*E50-E27*E51)</f>
        <v>2.537302166246323</v>
      </c>
      <c r="F66" s="163">
        <f>F11+(6/0.017)*(F12*F50-F27*F51)</f>
        <v>13.801497080422061</v>
      </c>
    </row>
    <row r="67" spans="1:6" ht="12.75">
      <c r="A67" s="163" t="s">
        <v>161</v>
      </c>
      <c r="B67" s="163">
        <f>B12+(7/0.017)*(B13*B50-B28*B51)</f>
        <v>0.02497583364763859</v>
      </c>
      <c r="C67" s="163">
        <f>C12+(7/0.017)*(C13*C50-C28*C51)</f>
        <v>-0.09484544918907632</v>
      </c>
      <c r="D67" s="163">
        <f>D12+(7/0.017)*(D13*D50-D28*D51)</f>
        <v>-0.0890262143718123</v>
      </c>
      <c r="E67" s="163">
        <f>E12+(7/0.017)*(E13*E50-E28*E51)</f>
        <v>-0.012116524107915095</v>
      </c>
      <c r="F67" s="163">
        <f>F12+(7/0.017)*(F13*F50-F28*F51)</f>
        <v>-0.1679228319873548</v>
      </c>
    </row>
    <row r="68" spans="1:6" ht="12.75">
      <c r="A68" s="163" t="s">
        <v>162</v>
      </c>
      <c r="B68" s="163">
        <f>B13+(8/0.017)*(B14*B50-B29*B51)</f>
        <v>0.06110594094229549</v>
      </c>
      <c r="C68" s="163">
        <f>C13+(8/0.017)*(C14*C50-C29*C51)</f>
        <v>0.01577022852373131</v>
      </c>
      <c r="D68" s="163">
        <f>D13+(8/0.017)*(D14*D50-D29*D51)</f>
        <v>-0.07889563847223748</v>
      </c>
      <c r="E68" s="163">
        <f>E13+(8/0.017)*(E14*E50-E29*E51)</f>
        <v>-0.051125281787989627</v>
      </c>
      <c r="F68" s="163">
        <f>F13+(8/0.017)*(F14*F50-F29*F51)</f>
        <v>-0.12114689677202473</v>
      </c>
    </row>
    <row r="69" spans="1:6" ht="12.75">
      <c r="A69" s="163" t="s">
        <v>163</v>
      </c>
      <c r="B69" s="163">
        <f>B14+(9/0.017)*(B15*B50-B30*B51)</f>
        <v>-0.07070372533230905</v>
      </c>
      <c r="C69" s="163">
        <f>C14+(9/0.017)*(C15*C50-C30*C51)</f>
        <v>0.007516846026210054</v>
      </c>
      <c r="D69" s="163">
        <f>D14+(9/0.017)*(D15*D50-D30*D51)</f>
        <v>-0.009273144290502019</v>
      </c>
      <c r="E69" s="163">
        <f>E14+(9/0.017)*(E15*E50-E30*E51)</f>
        <v>0.0728617455524236</v>
      </c>
      <c r="F69" s="163">
        <f>F14+(9/0.017)*(F15*F50-F30*F51)</f>
        <v>0.007125352880460203</v>
      </c>
    </row>
    <row r="70" spans="1:6" ht="12.75">
      <c r="A70" s="163" t="s">
        <v>164</v>
      </c>
      <c r="B70" s="163">
        <f>B15+(10/0.017)*(B16*B50-B31*B51)</f>
        <v>-0.3080324988031093</v>
      </c>
      <c r="C70" s="163">
        <f>C15+(10/0.017)*(C16*C50-C31*C51)</f>
        <v>-0.12629318567246867</v>
      </c>
      <c r="D70" s="163">
        <f>D15+(10/0.017)*(D16*D50-D31*D51)</f>
        <v>-0.06296060165659276</v>
      </c>
      <c r="E70" s="163">
        <f>E15+(10/0.017)*(E16*E50-E31*E51)</f>
        <v>-0.06208972242552729</v>
      </c>
      <c r="F70" s="163">
        <f>F15+(10/0.017)*(F16*F50-F31*F51)</f>
        <v>-0.26258209248662706</v>
      </c>
    </row>
    <row r="71" spans="1:6" ht="12.75">
      <c r="A71" s="163" t="s">
        <v>165</v>
      </c>
      <c r="B71" s="163">
        <f>B16+(11/0.017)*(B17*B50-B32*B51)</f>
        <v>0.010713468677733928</v>
      </c>
      <c r="C71" s="163">
        <f>C16+(11/0.017)*(C17*C50-C32*C51)</f>
        <v>0.01114259475750497</v>
      </c>
      <c r="D71" s="163">
        <f>D16+(11/0.017)*(D17*D50-D32*D51)</f>
        <v>0.036829054129087734</v>
      </c>
      <c r="E71" s="163">
        <f>E16+(11/0.017)*(E17*E50-E32*E51)</f>
        <v>0.03366903258970201</v>
      </c>
      <c r="F71" s="163">
        <f>F16+(11/0.017)*(F17*F50-F32*F51)</f>
        <v>-0.002137272740070535</v>
      </c>
    </row>
    <row r="72" spans="1:6" ht="12.75">
      <c r="A72" s="163" t="s">
        <v>166</v>
      </c>
      <c r="B72" s="163">
        <f>B17+(12/0.017)*(B18*B50-B33*B51)</f>
        <v>-0.00040778240569443874</v>
      </c>
      <c r="C72" s="163">
        <f>C17+(12/0.017)*(C18*C50-C33*C51)</f>
        <v>-0.0032608680583203122</v>
      </c>
      <c r="D72" s="163">
        <f>D17+(12/0.017)*(D18*D50-D33*D51)</f>
        <v>0.00232361105337584</v>
      </c>
      <c r="E72" s="163">
        <f>E17+(12/0.017)*(E18*E50-E33*E51)</f>
        <v>0.000505819636698267</v>
      </c>
      <c r="F72" s="163">
        <f>F17+(12/0.017)*(F18*F50-F33*F51)</f>
        <v>0.017187046387945007</v>
      </c>
    </row>
    <row r="73" spans="1:6" ht="12.75">
      <c r="A73" s="163" t="s">
        <v>167</v>
      </c>
      <c r="B73" s="163">
        <f>B18+(13/0.017)*(B19*B50-B34*B51)</f>
        <v>0.009606501740081106</v>
      </c>
      <c r="C73" s="163">
        <f>C18+(13/0.017)*(C19*C50-C34*C51)</f>
        <v>0.01931977960258251</v>
      </c>
      <c r="D73" s="163">
        <f>D18+(13/0.017)*(D19*D50-D34*D51)</f>
        <v>0.01115690627857963</v>
      </c>
      <c r="E73" s="163">
        <f>E18+(13/0.017)*(E19*E50-E34*E51)</f>
        <v>0.009725623227129752</v>
      </c>
      <c r="F73" s="163">
        <f>F18+(13/0.017)*(F19*F50-F34*F51)</f>
        <v>-0.00014259733291793926</v>
      </c>
    </row>
    <row r="74" spans="1:6" ht="12.75">
      <c r="A74" s="163" t="s">
        <v>168</v>
      </c>
      <c r="B74" s="163">
        <f>B19+(14/0.017)*(B20*B50-B35*B51)</f>
        <v>-0.19085207200879617</v>
      </c>
      <c r="C74" s="163">
        <f>C19+(14/0.017)*(C20*C50-C35*C51)</f>
        <v>-0.1631913181112614</v>
      </c>
      <c r="D74" s="163">
        <f>D19+(14/0.017)*(D20*D50-D35*D51)</f>
        <v>-0.16712628049442846</v>
      </c>
      <c r="E74" s="163">
        <f>E19+(14/0.017)*(E20*E50-E35*E51)</f>
        <v>-0.17161536412645617</v>
      </c>
      <c r="F74" s="163">
        <f>F19+(14/0.017)*(F20*F50-F35*F51)</f>
        <v>-0.13504374001998365</v>
      </c>
    </row>
    <row r="75" spans="1:6" ht="12.75">
      <c r="A75" s="163" t="s">
        <v>169</v>
      </c>
      <c r="B75" s="164">
        <f>B20</f>
        <v>-0.003121889</v>
      </c>
      <c r="C75" s="164">
        <f>C20</f>
        <v>-0.0009634161</v>
      </c>
      <c r="D75" s="164">
        <f>D20</f>
        <v>-0.001338726</v>
      </c>
      <c r="E75" s="164">
        <f>E20</f>
        <v>-0.003309621</v>
      </c>
      <c r="F75" s="164">
        <f>F20</f>
        <v>0.00144958</v>
      </c>
    </row>
    <row r="78" ht="12.75">
      <c r="A78" s="163" t="s">
        <v>151</v>
      </c>
    </row>
    <row r="80" spans="2:6" ht="12.75">
      <c r="B80" s="163" t="s">
        <v>83</v>
      </c>
      <c r="C80" s="163" t="s">
        <v>84</v>
      </c>
      <c r="D80" s="163" t="s">
        <v>85</v>
      </c>
      <c r="E80" s="163" t="s">
        <v>86</v>
      </c>
      <c r="F80" s="163" t="s">
        <v>87</v>
      </c>
    </row>
    <row r="81" spans="1:6" ht="12.75">
      <c r="A81" s="163" t="s">
        <v>170</v>
      </c>
      <c r="B81" s="163">
        <f>B21+(1/0.017)*(B7*B51+B22*B50)</f>
        <v>0</v>
      </c>
      <c r="C81" s="163">
        <f>C21+(1/0.017)*(C7*C51+C22*C50)</f>
        <v>0</v>
      </c>
      <c r="D81" s="163">
        <f>D21+(1/0.017)*(D7*D51+D22*D50)</f>
        <v>0</v>
      </c>
      <c r="E81" s="163">
        <f>E21+(1/0.017)*(E7*E51+E22*E50)</f>
        <v>0</v>
      </c>
      <c r="F81" s="163">
        <f>F21+(1/0.017)*(F7*F51+F22*F50)</f>
        <v>0</v>
      </c>
    </row>
    <row r="82" spans="1:6" ht="12.75">
      <c r="A82" s="163" t="s">
        <v>171</v>
      </c>
      <c r="B82" s="163">
        <f>B22+(2/0.017)*(B8*B51+B23*B50)</f>
        <v>168.98023856926264</v>
      </c>
      <c r="C82" s="163">
        <f>C22+(2/0.017)*(C8*C51+C23*C50)</f>
        <v>66.36908186379482</v>
      </c>
      <c r="D82" s="163">
        <f>D22+(2/0.017)*(D8*D51+D23*D50)</f>
        <v>-17.20333336448233</v>
      </c>
      <c r="E82" s="163">
        <f>E22+(2/0.017)*(E8*E51+E23*E50)</f>
        <v>-70.41074738872473</v>
      </c>
      <c r="F82" s="163">
        <f>F22+(2/0.017)*(F8*F51+F23*F50)</f>
        <v>-144.77164874767902</v>
      </c>
    </row>
    <row r="83" spans="1:6" ht="12.75">
      <c r="A83" s="163" t="s">
        <v>172</v>
      </c>
      <c r="B83" s="163">
        <f>B23+(3/0.017)*(B9*B51+B24*B50)</f>
        <v>2.8492538451182083</v>
      </c>
      <c r="C83" s="163">
        <f>C23+(3/0.017)*(C9*C51+C24*C50)</f>
        <v>0.8728139935790844</v>
      </c>
      <c r="D83" s="163">
        <f>D23+(3/0.017)*(D9*D51+D24*D50)</f>
        <v>0.7888453668196167</v>
      </c>
      <c r="E83" s="163">
        <f>E23+(3/0.017)*(E9*E51+E24*E50)</f>
        <v>0.3460214777663258</v>
      </c>
      <c r="F83" s="163">
        <f>F23+(3/0.017)*(F9*F51+F24*F50)</f>
        <v>6.186722222013949</v>
      </c>
    </row>
    <row r="84" spans="1:6" ht="12.75">
      <c r="A84" s="163" t="s">
        <v>173</v>
      </c>
      <c r="B84" s="163">
        <f>B24+(4/0.017)*(B10*B51+B25*B50)</f>
        <v>-1.6678452111438657</v>
      </c>
      <c r="C84" s="163">
        <f>C24+(4/0.017)*(C10*C51+C25*C50)</f>
        <v>-2.2263740303575172</v>
      </c>
      <c r="D84" s="163">
        <f>D24+(4/0.017)*(D10*D51+D25*D50)</f>
        <v>-2.344655635622029</v>
      </c>
      <c r="E84" s="163">
        <f>E24+(4/0.017)*(E10*E51+E25*E50)</f>
        <v>-2.094416219526956</v>
      </c>
      <c r="F84" s="163">
        <f>F24+(4/0.017)*(F10*F51+F25*F50)</f>
        <v>0.25771725467820505</v>
      </c>
    </row>
    <row r="85" spans="1:6" ht="12.75">
      <c r="A85" s="163" t="s">
        <v>174</v>
      </c>
      <c r="B85" s="163">
        <f>B25+(5/0.017)*(B11*B51+B26*B50)</f>
        <v>0.19355030230184658</v>
      </c>
      <c r="C85" s="163">
        <f>C25+(5/0.017)*(C11*C51+C26*C50)</f>
        <v>0.8850992762687461</v>
      </c>
      <c r="D85" s="163">
        <f>D25+(5/0.017)*(D11*D51+D26*D50)</f>
        <v>0.570997336289663</v>
      </c>
      <c r="E85" s="163">
        <f>E25+(5/0.017)*(E11*E51+E26*E50)</f>
        <v>0.8047811687144096</v>
      </c>
      <c r="F85" s="163">
        <f>F25+(5/0.017)*(F11*F51+F26*F50)</f>
        <v>-1.020008865928402</v>
      </c>
    </row>
    <row r="86" spans="1:6" ht="12.75">
      <c r="A86" s="163" t="s">
        <v>175</v>
      </c>
      <c r="B86" s="163">
        <f>B26+(6/0.017)*(B12*B51+B27*B50)</f>
        <v>0.938111106058975</v>
      </c>
      <c r="C86" s="163">
        <f>C26+(6/0.017)*(C12*C51+C27*C50)</f>
        <v>0.2453249353965072</v>
      </c>
      <c r="D86" s="163">
        <f>D26+(6/0.017)*(D12*D51+D27*D50)</f>
        <v>-0.13257285413512965</v>
      </c>
      <c r="E86" s="163">
        <f>E26+(6/0.017)*(E12*E51+E27*E50)</f>
        <v>-0.059849044303609635</v>
      </c>
      <c r="F86" s="163">
        <f>F26+(6/0.017)*(F12*F51+F27*F50)</f>
        <v>0.42154264725196916</v>
      </c>
    </row>
    <row r="87" spans="1:6" ht="12.75">
      <c r="A87" s="163" t="s">
        <v>176</v>
      </c>
      <c r="B87" s="163">
        <f>B27+(7/0.017)*(B13*B51+B28*B50)</f>
        <v>0.3720823316474676</v>
      </c>
      <c r="C87" s="163">
        <f>C27+(7/0.017)*(C13*C51+C28*C50)</f>
        <v>-0.10996407941211536</v>
      </c>
      <c r="D87" s="163">
        <f>D27+(7/0.017)*(D13*D51+D28*D50)</f>
        <v>0.06128694358395872</v>
      </c>
      <c r="E87" s="163">
        <f>E27+(7/0.017)*(E13*E51+E28*E50)</f>
        <v>-0.3336262672634994</v>
      </c>
      <c r="F87" s="163">
        <f>F27+(7/0.017)*(F13*F51+F28*F50)</f>
        <v>0.5559215667296579</v>
      </c>
    </row>
    <row r="88" spans="1:6" ht="12.75">
      <c r="A88" s="163" t="s">
        <v>177</v>
      </c>
      <c r="B88" s="163">
        <f>B28+(8/0.017)*(B14*B51+B29*B50)</f>
        <v>-0.010799907130919216</v>
      </c>
      <c r="C88" s="163">
        <f>C28+(8/0.017)*(C14*C51+C29*C50)</f>
        <v>0.055293179516506155</v>
      </c>
      <c r="D88" s="163">
        <f>D28+(8/0.017)*(D14*D51+D29*D50)</f>
        <v>-0.040056643712652724</v>
      </c>
      <c r="E88" s="163">
        <f>E28+(8/0.017)*(E14*E51+E29*E50)</f>
        <v>0.13581381139793341</v>
      </c>
      <c r="F88" s="163">
        <f>F28+(8/0.017)*(F14*F51+F29*F50)</f>
        <v>0.32196146706288725</v>
      </c>
    </row>
    <row r="89" spans="1:6" ht="12.75">
      <c r="A89" s="163" t="s">
        <v>178</v>
      </c>
      <c r="B89" s="163">
        <f>B29+(9/0.017)*(B15*B51+B30*B50)</f>
        <v>0.04091050722278909</v>
      </c>
      <c r="C89" s="163">
        <f>C29+(9/0.017)*(C15*C51+C30*C50)</f>
        <v>0.06761749330043931</v>
      </c>
      <c r="D89" s="163">
        <f>D29+(9/0.017)*(D15*D51+D30*D50)</f>
        <v>0.09976358433349933</v>
      </c>
      <c r="E89" s="163">
        <f>E29+(9/0.017)*(E15*E51+E30*E50)</f>
        <v>0.1164659242195926</v>
      </c>
      <c r="F89" s="163">
        <f>F29+(9/0.017)*(F15*F51+F30*F50)</f>
        <v>-0.00914090114500786</v>
      </c>
    </row>
    <row r="90" spans="1:6" ht="12.75">
      <c r="A90" s="163" t="s">
        <v>179</v>
      </c>
      <c r="B90" s="163">
        <f>B30+(10/0.017)*(B16*B51+B31*B50)</f>
        <v>0.137004627544869</v>
      </c>
      <c r="C90" s="163">
        <f>C30+(10/0.017)*(C16*C51+C31*C50)</f>
        <v>0.09316917776822486</v>
      </c>
      <c r="D90" s="163">
        <f>D30+(10/0.017)*(D16*D51+D31*D50)</f>
        <v>0.016081130216578955</v>
      </c>
      <c r="E90" s="163">
        <f>E30+(10/0.017)*(E16*E51+E31*E50)</f>
        <v>0.03956284840359242</v>
      </c>
      <c r="F90" s="163">
        <f>F30+(10/0.017)*(F16*F51+F31*F50)</f>
        <v>0.26974831867246357</v>
      </c>
    </row>
    <row r="91" spans="1:6" ht="12.75">
      <c r="A91" s="163" t="s">
        <v>180</v>
      </c>
      <c r="B91" s="163">
        <f>B31+(11/0.017)*(B17*B51+B32*B50)</f>
        <v>0.014424405242320441</v>
      </c>
      <c r="C91" s="163">
        <f>C31+(11/0.017)*(C17*C51+C32*C50)</f>
        <v>-0.01668859470748652</v>
      </c>
      <c r="D91" s="163">
        <f>D31+(11/0.017)*(D17*D51+D32*D50)</f>
        <v>0.010955003832852377</v>
      </c>
      <c r="E91" s="163">
        <f>E31+(11/0.017)*(E17*E51+E32*E50)</f>
        <v>-0.0010866727716741294</v>
      </c>
      <c r="F91" s="163">
        <f>F31+(11/0.017)*(F17*F51+F32*F50)</f>
        <v>0.06209646176963932</v>
      </c>
    </row>
    <row r="92" spans="1:6" ht="12.75">
      <c r="A92" s="163" t="s">
        <v>181</v>
      </c>
      <c r="B92" s="163">
        <f>B32+(12/0.017)*(B18*B51+B33*B50)</f>
        <v>0.01381314718867629</v>
      </c>
      <c r="C92" s="163">
        <f>C32+(12/0.017)*(C18*C51+C33*C50)</f>
        <v>0.03996736192391997</v>
      </c>
      <c r="D92" s="163">
        <f>D32+(12/0.017)*(D18*D51+D33*D50)</f>
        <v>0.028610021387579176</v>
      </c>
      <c r="E92" s="163">
        <f>E32+(12/0.017)*(E18*E51+E33*E50)</f>
        <v>0.04248750644461357</v>
      </c>
      <c r="F92" s="163">
        <f>F32+(12/0.017)*(F18*F51+F33*F50)</f>
        <v>0.07228117182686888</v>
      </c>
    </row>
    <row r="93" spans="1:6" ht="12.75">
      <c r="A93" s="163" t="s">
        <v>182</v>
      </c>
      <c r="B93" s="163">
        <f>B33+(13/0.017)*(B19*B51+B34*B50)</f>
        <v>0.04724196900353275</v>
      </c>
      <c r="C93" s="163">
        <f>C33+(13/0.017)*(C19*C51+C34*C50)</f>
        <v>0.02195877409292646</v>
      </c>
      <c r="D93" s="163">
        <f>D33+(13/0.017)*(D19*D51+D34*D50)</f>
        <v>0.02854371487470546</v>
      </c>
      <c r="E93" s="163">
        <f>E33+(13/0.017)*(E19*E51+E34*E50)</f>
        <v>0.021943584210428538</v>
      </c>
      <c r="F93" s="163">
        <f>F33+(13/0.017)*(F19*F51+F34*F50)</f>
        <v>0.028236743181064297</v>
      </c>
    </row>
    <row r="94" spans="1:6" ht="12.75">
      <c r="A94" s="163" t="s">
        <v>183</v>
      </c>
      <c r="B94" s="163">
        <f>B34+(14/0.017)*(B20*B51+B35*B50)</f>
        <v>0.0006496239399350321</v>
      </c>
      <c r="C94" s="163">
        <f>C34+(14/0.017)*(C20*C51+C35*C50)</f>
        <v>0.010163707662878337</v>
      </c>
      <c r="D94" s="163">
        <f>D34+(14/0.017)*(D20*D51+D35*D50)</f>
        <v>0.014972572204687996</v>
      </c>
      <c r="E94" s="163">
        <f>E34+(14/0.017)*(E20*E51+E35*E50)</f>
        <v>0.025628946309491935</v>
      </c>
      <c r="F94" s="163">
        <f>F34+(14/0.017)*(F20*F51+F35*F50)</f>
        <v>-0.0034148483907481854</v>
      </c>
    </row>
    <row r="95" spans="1:6" ht="12.75">
      <c r="A95" s="163" t="s">
        <v>184</v>
      </c>
      <c r="B95" s="164">
        <f>B35</f>
        <v>0.00152225</v>
      </c>
      <c r="C95" s="164">
        <f>C35</f>
        <v>0.0002432434</v>
      </c>
      <c r="D95" s="164">
        <f>D35</f>
        <v>0.001138207</v>
      </c>
      <c r="E95" s="164">
        <f>E35</f>
        <v>0.004577237</v>
      </c>
      <c r="F95" s="164">
        <f>F35</f>
        <v>0.001340626</v>
      </c>
    </row>
    <row r="98" ht="12.75">
      <c r="A98" s="163" t="s">
        <v>152</v>
      </c>
    </row>
    <row r="100" spans="2:11" ht="12.75">
      <c r="B100" s="163" t="s">
        <v>83</v>
      </c>
      <c r="C100" s="163" t="s">
        <v>84</v>
      </c>
      <c r="D100" s="163" t="s">
        <v>85</v>
      </c>
      <c r="E100" s="163" t="s">
        <v>86</v>
      </c>
      <c r="F100" s="163" t="s">
        <v>87</v>
      </c>
      <c r="G100" s="163" t="s">
        <v>154</v>
      </c>
      <c r="H100" s="163" t="s">
        <v>155</v>
      </c>
      <c r="I100" s="163" t="s">
        <v>150</v>
      </c>
      <c r="K100" s="163" t="s">
        <v>185</v>
      </c>
    </row>
    <row r="101" spans="1:9" ht="12.75">
      <c r="A101" s="163" t="s">
        <v>153</v>
      </c>
      <c r="B101" s="163">
        <f>B61*10000/B62</f>
        <v>0</v>
      </c>
      <c r="C101" s="163">
        <f>C61*10000/C62</f>
        <v>0</v>
      </c>
      <c r="D101" s="163">
        <f>D61*10000/D62</f>
        <v>0</v>
      </c>
      <c r="E101" s="163">
        <f>E61*10000/E62</f>
        <v>0</v>
      </c>
      <c r="F101" s="163">
        <f>F61*10000/F62</f>
        <v>0</v>
      </c>
      <c r="G101" s="163">
        <f>AVERAGE(C101:E101)</f>
        <v>0</v>
      </c>
      <c r="H101" s="163">
        <f>STDEV(C101:E101)</f>
        <v>0</v>
      </c>
      <c r="I101" s="163">
        <f>(B101*B4+C101*C4+D101*D4+E101*E4+F101*F4)/SUM(B4:F4)</f>
        <v>0</v>
      </c>
    </row>
    <row r="102" spans="1:9" ht="12.75">
      <c r="A102" s="163" t="s">
        <v>156</v>
      </c>
      <c r="B102" s="163">
        <f>B62*10000/B62</f>
        <v>10000</v>
      </c>
      <c r="C102" s="163">
        <f>C62*10000/C62</f>
        <v>10000</v>
      </c>
      <c r="D102" s="163">
        <f>D62*10000/D62</f>
        <v>10000</v>
      </c>
      <c r="E102" s="163">
        <f>E62*10000/E62</f>
        <v>10000</v>
      </c>
      <c r="F102" s="163">
        <f>F62*10000/F62</f>
        <v>10000</v>
      </c>
      <c r="G102" s="163">
        <f>AVERAGE(C102:E102)</f>
        <v>10000</v>
      </c>
      <c r="H102" s="163">
        <f>STDEV(C102:E102)</f>
        <v>0</v>
      </c>
      <c r="I102" s="163">
        <f>(B102*B4+C102*C4+D102*D4+E102*E4+F102*F4)/SUM(B4:F4)</f>
        <v>10000.000000000002</v>
      </c>
    </row>
    <row r="103" spans="1:11" ht="12.75">
      <c r="A103" s="163" t="s">
        <v>157</v>
      </c>
      <c r="B103" s="163">
        <f>B63*10000/B62</f>
        <v>0.437974930798597</v>
      </c>
      <c r="C103" s="163">
        <f>C63*10000/C62</f>
        <v>-1.700604137928077</v>
      </c>
      <c r="D103" s="163">
        <f>D63*10000/D62</f>
        <v>-2.2668058285706896</v>
      </c>
      <c r="E103" s="163">
        <f>E63*10000/E62</f>
        <v>-2.8223614847106315</v>
      </c>
      <c r="F103" s="163">
        <f>F63*10000/F62</f>
        <v>-1.9265394445025275</v>
      </c>
      <c r="G103" s="163">
        <f>AVERAGE(C103:E103)</f>
        <v>-2.2632571504031325</v>
      </c>
      <c r="H103" s="163">
        <f>STDEV(C103:E103)</f>
        <v>0.5608870930077746</v>
      </c>
      <c r="I103" s="163">
        <f>(B103*B4+C103*C4+D103*D4+E103*E4+F103*F4)/SUM(B4:F4)</f>
        <v>-1.8276012118222287</v>
      </c>
      <c r="K103" s="163">
        <f>(LN(H103)+LN(H123))/2-LN(K114*K115^3)</f>
        <v>-4.798761264066982</v>
      </c>
    </row>
    <row r="104" spans="1:11" ht="12.75">
      <c r="A104" s="163" t="s">
        <v>158</v>
      </c>
      <c r="B104" s="163">
        <f>B64*10000/B62</f>
        <v>-0.11418360656685247</v>
      </c>
      <c r="C104" s="163">
        <f>C64*10000/C62</f>
        <v>0.042237462982563666</v>
      </c>
      <c r="D104" s="163">
        <f>D64*10000/D62</f>
        <v>0.09982176252393957</v>
      </c>
      <c r="E104" s="163">
        <f>E64*10000/E62</f>
        <v>0.13989937590527127</v>
      </c>
      <c r="F104" s="163">
        <f>F64*10000/F62</f>
        <v>-1.2413506438946846</v>
      </c>
      <c r="G104" s="163">
        <f>AVERAGE(C104:E104)</f>
        <v>0.09398620047059152</v>
      </c>
      <c r="H104" s="163">
        <f>STDEV(C104:E104)</f>
        <v>0.04909177779719821</v>
      </c>
      <c r="I104" s="163">
        <f>(B104*B4+C104*C4+D104*D4+E104*E4+F104*F4)/SUM(B4:F4)</f>
        <v>-0.11437405290938142</v>
      </c>
      <c r="K104" s="163">
        <f>(LN(H104)+LN(H124))/2-LN(K114*K115^4)</f>
        <v>-5.833276376902689</v>
      </c>
    </row>
    <row r="105" spans="1:11" ht="12.75">
      <c r="A105" s="163" t="s">
        <v>159</v>
      </c>
      <c r="B105" s="163">
        <f>B65*10000/B62</f>
        <v>0.14405203829842575</v>
      </c>
      <c r="C105" s="163">
        <f>C65*10000/C62</f>
        <v>0.597211178757927</v>
      </c>
      <c r="D105" s="163">
        <f>D65*10000/D62</f>
        <v>0.9036854393209915</v>
      </c>
      <c r="E105" s="163">
        <f>E65*10000/E62</f>
        <v>1.4558298014670048</v>
      </c>
      <c r="F105" s="163">
        <f>F65*10000/F62</f>
        <v>-1.1238541757303717</v>
      </c>
      <c r="G105" s="163">
        <f>AVERAGE(C105:E105)</f>
        <v>0.9855754731819744</v>
      </c>
      <c r="H105" s="163">
        <f>STDEV(C105:E105)</f>
        <v>0.43512753078841526</v>
      </c>
      <c r="I105" s="163">
        <f>(B105*B4+C105*C4+D105*D4+E105*E4+F105*F4)/SUM(B4:F4)</f>
        <v>0.5822936584189843</v>
      </c>
      <c r="K105" s="163">
        <f>(LN(H105)+LN(H125))/2-LN(K114*K115^5)</f>
        <v>-4.018431692829095</v>
      </c>
    </row>
    <row r="106" spans="1:11" ht="12.75">
      <c r="A106" s="163" t="s">
        <v>160</v>
      </c>
      <c r="B106" s="163">
        <f>B66*10000/B62</f>
        <v>3.9052187450067053</v>
      </c>
      <c r="C106" s="163">
        <f>C66*10000/C62</f>
        <v>2.7139587423298175</v>
      </c>
      <c r="D106" s="163">
        <f>D66*10000/D62</f>
        <v>2.6106156095004915</v>
      </c>
      <c r="E106" s="163">
        <f>E66*10000/E62</f>
        <v>2.537300879048426</v>
      </c>
      <c r="F106" s="163">
        <f>F66*10000/F62</f>
        <v>13.801616720366852</v>
      </c>
      <c r="G106" s="163">
        <f>AVERAGE(C106:E106)</f>
        <v>2.6206250769595782</v>
      </c>
      <c r="H106" s="163">
        <f>STDEV(C106:E106)</f>
        <v>0.08875326610270316</v>
      </c>
      <c r="I106" s="163">
        <f>(B106*B4+C106*C4+D106*D4+E106*E4+F106*F4)/SUM(B4:F4)</f>
        <v>4.29896248049362</v>
      </c>
      <c r="K106" s="163">
        <f>(LN(H106)+LN(H126))/2-LN(K114*K115^6)</f>
        <v>-4.119004552179664</v>
      </c>
    </row>
    <row r="107" spans="1:11" ht="12.75">
      <c r="A107" s="163" t="s">
        <v>161</v>
      </c>
      <c r="B107" s="163">
        <f>B67*10000/B62</f>
        <v>0.024976007627033156</v>
      </c>
      <c r="C107" s="163">
        <f>C67*10000/C62</f>
        <v>-0.09484539133547668</v>
      </c>
      <c r="D107" s="163">
        <f>D67*10000/D62</f>
        <v>-0.08902591378921988</v>
      </c>
      <c r="E107" s="163">
        <f>E67*10000/E62</f>
        <v>-0.012116517961085382</v>
      </c>
      <c r="F107" s="163">
        <f>F67*10000/F62</f>
        <v>-0.16792428764671052</v>
      </c>
      <c r="G107" s="163">
        <f>AVERAGE(C107:E107)</f>
        <v>-0.06532927436192731</v>
      </c>
      <c r="H107" s="163">
        <f>STDEV(C107:E107)</f>
        <v>0.04617536856982687</v>
      </c>
      <c r="I107" s="163">
        <f>(B107*B4+C107*C4+D107*D4+E107*E4+F107*F4)/SUM(B4:F4)</f>
        <v>-0.06595796832116435</v>
      </c>
      <c r="K107" s="163">
        <f>(LN(H107)+LN(H127))/2-LN(K114*K115^7)</f>
        <v>-3.8606086309300762</v>
      </c>
    </row>
    <row r="108" spans="1:9" ht="12.75">
      <c r="A108" s="163" t="s">
        <v>162</v>
      </c>
      <c r="B108" s="163">
        <f>B68*10000/B62</f>
        <v>0.061106366600744345</v>
      </c>
      <c r="C108" s="163">
        <f>C68*10000/C62</f>
        <v>0.01577021890424513</v>
      </c>
      <c r="D108" s="163">
        <f>D68*10000/D62</f>
        <v>-0.07889537209389365</v>
      </c>
      <c r="E108" s="163">
        <f>E68*10000/E62</f>
        <v>-0.05112525585164036</v>
      </c>
      <c r="F108" s="163">
        <f>F68*10000/F62</f>
        <v>-0.12114794694853505</v>
      </c>
      <c r="G108" s="163">
        <f>AVERAGE(C108:E108)</f>
        <v>-0.03808346968042963</v>
      </c>
      <c r="H108" s="163">
        <f>STDEV(C108:E108)</f>
        <v>0.048661685848914144</v>
      </c>
      <c r="I108" s="163">
        <f>(B108*B4+C108*C4+D108*D4+E108*E4+F108*F4)/SUM(B4:F4)</f>
        <v>-0.03482414889529706</v>
      </c>
    </row>
    <row r="109" spans="1:9" ht="12.75">
      <c r="A109" s="163" t="s">
        <v>163</v>
      </c>
      <c r="B109" s="163">
        <f>B69*10000/B62</f>
        <v>-0.07070421784805447</v>
      </c>
      <c r="C109" s="163">
        <f>C69*10000/C62</f>
        <v>0.00751684144110234</v>
      </c>
      <c r="D109" s="163">
        <f>D69*10000/D62</f>
        <v>-0.00927311298123238</v>
      </c>
      <c r="E109" s="163">
        <f>E69*10000/E62</f>
        <v>0.0728617085889563</v>
      </c>
      <c r="F109" s="163">
        <f>F69*10000/F62</f>
        <v>0.007125414647442455</v>
      </c>
      <c r="G109" s="163">
        <f>AVERAGE(C109:E109)</f>
        <v>0.02370181234960875</v>
      </c>
      <c r="H109" s="163">
        <f>STDEV(C109:E109)</f>
        <v>0.04339351554176709</v>
      </c>
      <c r="I109" s="163">
        <f>(B109*B4+C109*C4+D109*D4+E109*E4+F109*F4)/SUM(B4:F4)</f>
        <v>0.007836009539327692</v>
      </c>
    </row>
    <row r="110" spans="1:11" ht="12.75">
      <c r="A110" s="163" t="s">
        <v>164</v>
      </c>
      <c r="B110" s="163">
        <f>B70*10000/B62</f>
        <v>-0.30803464452959045</v>
      </c>
      <c r="C110" s="163">
        <f>C70*10000/C62</f>
        <v>-0.12629310863645413</v>
      </c>
      <c r="D110" s="163">
        <f>D70*10000/D62</f>
        <v>-0.06296038908031959</v>
      </c>
      <c r="E110" s="163">
        <f>E70*10000/E62</f>
        <v>-0.06208969092681137</v>
      </c>
      <c r="F110" s="163">
        <f>F70*10000/F62</f>
        <v>-0.2625843687112181</v>
      </c>
      <c r="G110" s="163">
        <f>AVERAGE(C110:E110)</f>
        <v>-0.08378106288119502</v>
      </c>
      <c r="H110" s="163">
        <f>STDEV(C110:E110)</f>
        <v>0.03681908546584997</v>
      </c>
      <c r="I110" s="163">
        <f>(B110*B4+C110*C4+D110*D4+E110*E4+F110*F4)/SUM(B4:F4)</f>
        <v>-0.14008684890288525</v>
      </c>
      <c r="K110" s="163">
        <f>EXP(AVERAGE(K103:K107))</f>
        <v>0.010823706508317687</v>
      </c>
    </row>
    <row r="111" spans="1:9" ht="12.75">
      <c r="A111" s="163" t="s">
        <v>165</v>
      </c>
      <c r="B111" s="163">
        <f>B71*10000/B62</f>
        <v>0.010713543306786175</v>
      </c>
      <c r="C111" s="163">
        <f>C71*10000/C62</f>
        <v>0.01114258796077174</v>
      </c>
      <c r="D111" s="163">
        <f>D71*10000/D62</f>
        <v>0.03682892978175202</v>
      </c>
      <c r="E111" s="163">
        <f>E71*10000/E62</f>
        <v>0.03366901550907657</v>
      </c>
      <c r="F111" s="163">
        <f>F71*10000/F62</f>
        <v>-0.0021372912672774844</v>
      </c>
      <c r="G111" s="163">
        <f>AVERAGE(C111:E111)</f>
        <v>0.02721351108386678</v>
      </c>
      <c r="H111" s="163">
        <f>STDEV(C111:E111)</f>
        <v>0.014007219284140128</v>
      </c>
      <c r="I111" s="163">
        <f>(B111*B4+C111*C4+D111*D4+E111*E4+F111*F4)/SUM(B4:F4)</f>
        <v>0.020909176546869312</v>
      </c>
    </row>
    <row r="112" spans="1:9" ht="12.75">
      <c r="A112" s="163" t="s">
        <v>166</v>
      </c>
      <c r="B112" s="163">
        <f>B72*10000/B62</f>
        <v>-0.0004077852462697347</v>
      </c>
      <c r="C112" s="163">
        <f>C72*10000/C62</f>
        <v>-0.0032608660692638337</v>
      </c>
      <c r="D112" s="163">
        <f>D72*10000/D62</f>
        <v>0.0023236032080794955</v>
      </c>
      <c r="E112" s="163">
        <f>E72*10000/E62</f>
        <v>0.0005058193800910796</v>
      </c>
      <c r="F112" s="163">
        <f>F72*10000/F62</f>
        <v>0.01718719537593297</v>
      </c>
      <c r="G112" s="163">
        <f>AVERAGE(C112:E112)</f>
        <v>-0.00014381449369775285</v>
      </c>
      <c r="H112" s="163">
        <f>STDEV(C112:E112)</f>
        <v>0.0028483490665433364</v>
      </c>
      <c r="I112" s="163">
        <f>(B112*B4+C112*C4+D112*D4+E112*E4+F112*F4)/SUM(B4:F4)</f>
        <v>0.0021315134543454027</v>
      </c>
    </row>
    <row r="113" spans="1:9" ht="12.75">
      <c r="A113" s="163" t="s">
        <v>167</v>
      </c>
      <c r="B113" s="163">
        <f>B73*10000/B62</f>
        <v>0.009606568658101949</v>
      </c>
      <c r="C113" s="163">
        <f>C73*10000/C62</f>
        <v>0.01931976781794968</v>
      </c>
      <c r="D113" s="163">
        <f>D73*10000/D62</f>
        <v>0.01115686860909277</v>
      </c>
      <c r="E113" s="163">
        <f>E73*10000/E62</f>
        <v>0.00972561829322715</v>
      </c>
      <c r="F113" s="163">
        <f>F73*10000/F62</f>
        <v>-0.00014259856904014673</v>
      </c>
      <c r="G113" s="163">
        <f>AVERAGE(C113:E113)</f>
        <v>0.0134007515734232</v>
      </c>
      <c r="H113" s="163">
        <f>STDEV(C113:E113)</f>
        <v>0.0051757303198575275</v>
      </c>
      <c r="I113" s="163">
        <f>(B113*B4+C113*C4+D113*D4+E113*E4+F113*F4)/SUM(B4:F4)</f>
        <v>0.011043805628054312</v>
      </c>
    </row>
    <row r="114" spans="1:11" ht="12.75">
      <c r="A114" s="163" t="s">
        <v>168</v>
      </c>
      <c r="B114" s="163">
        <f>B74*10000/B62</f>
        <v>-0.19085340146704</v>
      </c>
      <c r="C114" s="163">
        <f>C74*10000/C62</f>
        <v>-0.1631912185682125</v>
      </c>
      <c r="D114" s="163">
        <f>D74*10000/D62</f>
        <v>-0.1671257162196134</v>
      </c>
      <c r="E114" s="163">
        <f>E74*10000/E62</f>
        <v>-0.1716152770643243</v>
      </c>
      <c r="F114" s="163">
        <f>F74*10000/F62</f>
        <v>-0.13504491066295854</v>
      </c>
      <c r="G114" s="163">
        <f>AVERAGE(C114:E114)</f>
        <v>-0.16731073728405008</v>
      </c>
      <c r="H114" s="163">
        <f>STDEV(C114:E114)</f>
        <v>0.004215075916539634</v>
      </c>
      <c r="I114" s="163">
        <f>(B114*B4+C114*C4+D114*D4+E114*E4+F114*F4)/SUM(B4:F4)</f>
        <v>-0.16640947622875354</v>
      </c>
      <c r="J114" s="163" t="s">
        <v>186</v>
      </c>
      <c r="K114" s="163">
        <v>285</v>
      </c>
    </row>
    <row r="115" spans="1:11" ht="12.75">
      <c r="A115" s="163" t="s">
        <v>169</v>
      </c>
      <c r="B115" s="163">
        <f>B75*10000/B62</f>
        <v>-0.003121910746795954</v>
      </c>
      <c r="C115" s="163">
        <f>C75*10000/C62</f>
        <v>-0.0009634155123377574</v>
      </c>
      <c r="D115" s="163">
        <f>D75*10000/D62</f>
        <v>-0.001338721480008507</v>
      </c>
      <c r="E115" s="163">
        <f>E75*10000/E62</f>
        <v>-0.003309619320997299</v>
      </c>
      <c r="F115" s="163">
        <f>F75*10000/F62</f>
        <v>0.0014495925658593526</v>
      </c>
      <c r="G115" s="163">
        <f>AVERAGE(C115:E115)</f>
        <v>-0.001870585437781188</v>
      </c>
      <c r="H115" s="163">
        <f>STDEV(C115:E115)</f>
        <v>0.001260288669363233</v>
      </c>
      <c r="I115" s="163">
        <f>(B115*B4+C115*C4+D115*D4+E115*E4+F115*F4)/SUM(B4:F4)</f>
        <v>-0.001608485324370212</v>
      </c>
      <c r="J115" s="163" t="s">
        <v>187</v>
      </c>
      <c r="K115" s="163">
        <v>0.5536</v>
      </c>
    </row>
    <row r="118" ht="12.75">
      <c r="A118" s="163" t="s">
        <v>152</v>
      </c>
    </row>
    <row r="120" spans="2:9" ht="12.75">
      <c r="B120" s="163" t="s">
        <v>83</v>
      </c>
      <c r="C120" s="163" t="s">
        <v>84</v>
      </c>
      <c r="D120" s="163" t="s">
        <v>85</v>
      </c>
      <c r="E120" s="163" t="s">
        <v>86</v>
      </c>
      <c r="F120" s="163" t="s">
        <v>87</v>
      </c>
      <c r="G120" s="163" t="s">
        <v>154</v>
      </c>
      <c r="H120" s="163" t="s">
        <v>155</v>
      </c>
      <c r="I120" s="163" t="s">
        <v>150</v>
      </c>
    </row>
    <row r="121" spans="1:9" ht="12.75">
      <c r="A121" s="163" t="s">
        <v>170</v>
      </c>
      <c r="B121" s="163">
        <f>B81*10000/B62</f>
        <v>0</v>
      </c>
      <c r="C121" s="163">
        <f>C81*10000/C62</f>
        <v>0</v>
      </c>
      <c r="D121" s="163">
        <f>D81*10000/D62</f>
        <v>0</v>
      </c>
      <c r="E121" s="163">
        <f>E81*10000/E62</f>
        <v>0</v>
      </c>
      <c r="F121" s="163">
        <f>F81*10000/F62</f>
        <v>0</v>
      </c>
      <c r="G121" s="163">
        <f>AVERAGE(C121:E121)</f>
        <v>0</v>
      </c>
      <c r="H121" s="163">
        <f>STDEV(C121:E121)</f>
        <v>0</v>
      </c>
      <c r="I121" s="163">
        <f>(B121*B4+C121*C4+D121*D4+E121*E4+F121*F4)/SUM(B4:F4)</f>
        <v>0</v>
      </c>
    </row>
    <row r="122" spans="1:9" ht="12.75">
      <c r="A122" s="163" t="s">
        <v>171</v>
      </c>
      <c r="B122" s="163">
        <f>B82*10000/B62</f>
        <v>168.98141567029614</v>
      </c>
      <c r="C122" s="163">
        <f>C82*10000/C62</f>
        <v>66.36904138014141</v>
      </c>
      <c r="D122" s="163">
        <f>D82*10000/D62</f>
        <v>-17.20327528021381</v>
      </c>
      <c r="E122" s="163">
        <f>E82*10000/E62</f>
        <v>-70.41071166867248</v>
      </c>
      <c r="F122" s="163">
        <f>F82*10000/F62</f>
        <v>-144.77290371820595</v>
      </c>
      <c r="G122" s="163">
        <f>AVERAGE(C122:E122)</f>
        <v>-7.081648522914958</v>
      </c>
      <c r="H122" s="163">
        <f>STDEV(C122:E122)</f>
        <v>68.94933434910143</v>
      </c>
      <c r="I122" s="163">
        <f>(B122*B4+C122*C4+D122*D4+E122*E4+F122*F4)/SUM(B4:F4)</f>
        <v>0.0024874559161869045</v>
      </c>
    </row>
    <row r="123" spans="1:9" ht="12.75">
      <c r="A123" s="163" t="s">
        <v>172</v>
      </c>
      <c r="B123" s="163">
        <f>B83*10000/B62</f>
        <v>2.849273692762372</v>
      </c>
      <c r="C123" s="163">
        <f>C83*10000/C62</f>
        <v>0.8728134611820977</v>
      </c>
      <c r="D123" s="163">
        <f>D83*10000/D62</f>
        <v>0.7888427034110124</v>
      </c>
      <c r="E123" s="163">
        <f>E83*10000/E62</f>
        <v>0.3460213022262879</v>
      </c>
      <c r="F123" s="163">
        <f>F83*10000/F62</f>
        <v>6.186775852362944</v>
      </c>
      <c r="G123" s="163">
        <f>AVERAGE(C123:E123)</f>
        <v>0.6692258222731327</v>
      </c>
      <c r="H123" s="163">
        <f>STDEV(C123:E123)</f>
        <v>0.28303470348032606</v>
      </c>
      <c r="I123" s="163">
        <f>(B123*B4+C123*C4+D123*D4+E123*E4+F123*F4)/SUM(B4:F4)</f>
        <v>1.7210810884873227</v>
      </c>
    </row>
    <row r="124" spans="1:9" ht="12.75">
      <c r="A124" s="163" t="s">
        <v>173</v>
      </c>
      <c r="B124" s="163">
        <f>B84*10000/B62</f>
        <v>-1.6678568292025122</v>
      </c>
      <c r="C124" s="163">
        <f>C84*10000/C62</f>
        <v>-2.226372672319225</v>
      </c>
      <c r="D124" s="163">
        <f>D84*10000/D62</f>
        <v>-2.3446477192720616</v>
      </c>
      <c r="E124" s="163">
        <f>E84*10000/E62</f>
        <v>-2.0944151570093776</v>
      </c>
      <c r="F124" s="163">
        <f>F84*10000/F62</f>
        <v>0.25771948873136186</v>
      </c>
      <c r="G124" s="163">
        <f>AVERAGE(C124:E124)</f>
        <v>-2.221811849533555</v>
      </c>
      <c r="H124" s="163">
        <f>STDEV(C124:E124)</f>
        <v>0.12517861092254967</v>
      </c>
      <c r="I124" s="163">
        <f>(B124*B4+C124*C4+D124*D4+E124*E4+F124*F4)/SUM(B4:F4)</f>
        <v>-1.810685729901305</v>
      </c>
    </row>
    <row r="125" spans="1:9" ht="12.75">
      <c r="A125" s="163" t="s">
        <v>174</v>
      </c>
      <c r="B125" s="163">
        <f>B85*10000/B62</f>
        <v>0.19355165055571819</v>
      </c>
      <c r="C125" s="163">
        <f>C85*10000/C62</f>
        <v>0.8850987363780121</v>
      </c>
      <c r="D125" s="163">
        <f>D85*10000/D62</f>
        <v>0.5709954084096468</v>
      </c>
      <c r="E125" s="163">
        <f>E85*10000/E62</f>
        <v>0.8047807604411493</v>
      </c>
      <c r="F125" s="163">
        <f>F85*10000/F62</f>
        <v>-1.0200177079984827</v>
      </c>
      <c r="G125" s="163">
        <f>AVERAGE(C125:E125)</f>
        <v>0.7536249684096027</v>
      </c>
      <c r="H125" s="163">
        <f>STDEV(C125:E125)</f>
        <v>0.1631806099203634</v>
      </c>
      <c r="I125" s="163">
        <f>(B125*B4+C125*C4+D125*D4+E125*E4+F125*F4)/SUM(B4:F4)</f>
        <v>0.43585248287633094</v>
      </c>
    </row>
    <row r="126" spans="1:9" ht="12.75">
      <c r="A126" s="163" t="s">
        <v>175</v>
      </c>
      <c r="B126" s="163">
        <f>B86*10000/B62</f>
        <v>0.9381176408559538</v>
      </c>
      <c r="C126" s="163">
        <f>C86*10000/C62</f>
        <v>0.2453247857537914</v>
      </c>
      <c r="D126" s="163">
        <f>D86*10000/D62</f>
        <v>-0.13257240652436172</v>
      </c>
      <c r="E126" s="163">
        <f>E86*10000/E62</f>
        <v>-0.05984901394161138</v>
      </c>
      <c r="F126" s="163">
        <f>F86*10000/F62</f>
        <v>0.4215463014453331</v>
      </c>
      <c r="G126" s="163">
        <f>AVERAGE(C126:E126)</f>
        <v>0.017634455095939434</v>
      </c>
      <c r="H126" s="163">
        <f>STDEV(C126:E126)</f>
        <v>0.20051019416353294</v>
      </c>
      <c r="I126" s="163">
        <f>(B126*B4+C126*C4+D126*D4+E126*E4+F126*F4)/SUM(B4:F4)</f>
        <v>0.20469826318480955</v>
      </c>
    </row>
    <row r="127" spans="1:9" ht="12.75">
      <c r="A127" s="163" t="s">
        <v>176</v>
      </c>
      <c r="B127" s="163">
        <f>B87*10000/B62</f>
        <v>0.37208492353928196</v>
      </c>
      <c r="C127" s="163">
        <f>C87*10000/C62</f>
        <v>-0.1099640123364899</v>
      </c>
      <c r="D127" s="163">
        <f>D87*10000/D62</f>
        <v>0.06128673665852093</v>
      </c>
      <c r="E127" s="163">
        <f>E87*10000/E62</f>
        <v>-0.3336260980116715</v>
      </c>
      <c r="F127" s="163">
        <f>F87*10000/F62</f>
        <v>0.5559263858029194</v>
      </c>
      <c r="G127" s="163">
        <f>AVERAGE(C127:E127)</f>
        <v>-0.1274344578965468</v>
      </c>
      <c r="H127" s="163">
        <f>STDEV(C127:E127)</f>
        <v>0.19803522186182404</v>
      </c>
      <c r="I127" s="163">
        <f>(B127*B4+C127*C4+D127*D4+E127*E4+F127*F4)/SUM(B4:F4)</f>
        <v>0.036029863051414465</v>
      </c>
    </row>
    <row r="128" spans="1:9" ht="12.75">
      <c r="A128" s="163" t="s">
        <v>177</v>
      </c>
      <c r="B128" s="163">
        <f>B88*10000/B62</f>
        <v>-0.010799982362093898</v>
      </c>
      <c r="C128" s="163">
        <f>C88*10000/C62</f>
        <v>0.0552931457889051</v>
      </c>
      <c r="D128" s="163">
        <f>D88*10000/D62</f>
        <v>-0.040056508467883584</v>
      </c>
      <c r="E128" s="163">
        <f>E88*10000/E62</f>
        <v>0.13581374249827505</v>
      </c>
      <c r="F128" s="163">
        <f>F88*10000/F62</f>
        <v>0.32196425802476036</v>
      </c>
      <c r="G128" s="163">
        <f>AVERAGE(C128:E128)</f>
        <v>0.050350126606432184</v>
      </c>
      <c r="H128" s="163">
        <f>STDEV(C128:E128)</f>
        <v>0.08803926040525116</v>
      </c>
      <c r="I128" s="163">
        <f>(B128*B4+C128*C4+D128*D4+E128*E4+F128*F4)/SUM(B4:F4)</f>
        <v>0.077767050708021</v>
      </c>
    </row>
    <row r="129" spans="1:9" ht="12.75">
      <c r="A129" s="163" t="s">
        <v>178</v>
      </c>
      <c r="B129" s="163">
        <f>B89*10000/B62</f>
        <v>0.04091079220167621</v>
      </c>
      <c r="C129" s="163">
        <f>C89*10000/C62</f>
        <v>0.0676174520552829</v>
      </c>
      <c r="D129" s="163">
        <f>D89*10000/D62</f>
        <v>0.09976324749791647</v>
      </c>
      <c r="E129" s="163">
        <f>E89*10000/E62</f>
        <v>0.1164658651353043</v>
      </c>
      <c r="F129" s="163">
        <f>F89*10000/F62</f>
        <v>-0.00914098038401374</v>
      </c>
      <c r="G129" s="163">
        <f>AVERAGE(C129:E129)</f>
        <v>0.09461552156283455</v>
      </c>
      <c r="H129" s="163">
        <f>STDEV(C129:E129)</f>
        <v>0.024827729997648512</v>
      </c>
      <c r="I129" s="163">
        <f>(B129*B4+C129*C4+D129*D4+E129*E4+F129*F4)/SUM(B4:F4)</f>
        <v>0.07299813395624218</v>
      </c>
    </row>
    <row r="130" spans="1:9" ht="12.75">
      <c r="A130" s="163" t="s">
        <v>179</v>
      </c>
      <c r="B130" s="163">
        <f>B90*10000/B62</f>
        <v>0.13700558190669287</v>
      </c>
      <c r="C130" s="163">
        <f>C90*10000/C62</f>
        <v>0.09316912093711323</v>
      </c>
      <c r="D130" s="163">
        <f>D90*10000/D62</f>
        <v>0.016081075921247592</v>
      </c>
      <c r="E130" s="163">
        <f>E90*10000/E62</f>
        <v>0.039562828332977286</v>
      </c>
      <c r="F130" s="163">
        <f>F90*10000/F62</f>
        <v>0.26975065701835205</v>
      </c>
      <c r="G130" s="163">
        <f>AVERAGE(C130:E130)</f>
        <v>0.04960434173044603</v>
      </c>
      <c r="H130" s="163">
        <f>STDEV(C130:E130)</f>
        <v>0.0395128544220193</v>
      </c>
      <c r="I130" s="163">
        <f>(B130*B4+C130*C4+D130*D4+E130*E4+F130*F4)/SUM(B4:F4)</f>
        <v>0.09163339381892682</v>
      </c>
    </row>
    <row r="131" spans="1:9" ht="12.75">
      <c r="A131" s="163" t="s">
        <v>180</v>
      </c>
      <c r="B131" s="163">
        <f>B91*10000/B62</f>
        <v>0.014424505721420613</v>
      </c>
      <c r="C131" s="163">
        <f>C91*10000/C62</f>
        <v>-0.01668858452781754</v>
      </c>
      <c r="D131" s="163">
        <f>D91*10000/D62</f>
        <v>0.01095496684505642</v>
      </c>
      <c r="E131" s="163">
        <f>E91*10000/E62</f>
        <v>-0.001086672220394536</v>
      </c>
      <c r="F131" s="163">
        <f>F91*10000/F62</f>
        <v>0.06209700006032</v>
      </c>
      <c r="G131" s="163">
        <f>AVERAGE(C131:E131)</f>
        <v>-0.0022734299677185515</v>
      </c>
      <c r="H131" s="163">
        <f>STDEV(C131:E131)</f>
        <v>0.01385993429238774</v>
      </c>
      <c r="I131" s="163">
        <f>(B131*B4+C131*C4+D131*D4+E131*E4+F131*F4)/SUM(B4:F4)</f>
        <v>0.008734709440533738</v>
      </c>
    </row>
    <row r="132" spans="1:9" ht="12.75">
      <c r="A132" s="163" t="s">
        <v>181</v>
      </c>
      <c r="B132" s="163">
        <f>B92*10000/B62</f>
        <v>0.013813243409808235</v>
      </c>
      <c r="C132" s="163">
        <f>C92*10000/C62</f>
        <v>0.03996733754472438</v>
      </c>
      <c r="D132" s="163">
        <f>D92*10000/D62</f>
        <v>0.028609924790476197</v>
      </c>
      <c r="E132" s="163">
        <f>E92*10000/E62</f>
        <v>0.04248748489029116</v>
      </c>
      <c r="F132" s="163">
        <f>F92*10000/F62</f>
        <v>0.0722817984049391</v>
      </c>
      <c r="G132" s="163">
        <f>AVERAGE(C132:E132)</f>
        <v>0.03702158240849724</v>
      </c>
      <c r="H132" s="163">
        <f>STDEV(C132:E132)</f>
        <v>0.007392886687414519</v>
      </c>
      <c r="I132" s="163">
        <f>(B132*B4+C132*C4+D132*D4+E132*E4+F132*F4)/SUM(B4:F4)</f>
        <v>0.038371545126507506</v>
      </c>
    </row>
    <row r="133" spans="1:9" ht="12.75">
      <c r="A133" s="163" t="s">
        <v>182</v>
      </c>
      <c r="B133" s="163">
        <f>B93*10000/B62</f>
        <v>0.047242298086809055</v>
      </c>
      <c r="C133" s="163">
        <f>C93*10000/C62</f>
        <v>0.021958760698566095</v>
      </c>
      <c r="D133" s="163">
        <f>D93*10000/D62</f>
        <v>0.02854361850147568</v>
      </c>
      <c r="E133" s="163">
        <f>E93*10000/E62</f>
        <v>0.021943573078236314</v>
      </c>
      <c r="F133" s="163">
        <f>F93*10000/F62</f>
        <v>0.02823698795468382</v>
      </c>
      <c r="G133" s="163">
        <f>AVERAGE(C133:E133)</f>
        <v>0.02414865075942603</v>
      </c>
      <c r="H133" s="163">
        <f>STDEV(C133:E133)</f>
        <v>0.0038061612887784397</v>
      </c>
      <c r="I133" s="163">
        <f>(B133*B4+C133*C4+D133*D4+E133*E4+F133*F4)/SUM(B4:F4)</f>
        <v>0.028034841066471108</v>
      </c>
    </row>
    <row r="134" spans="1:9" ht="12.75">
      <c r="A134" s="163" t="s">
        <v>183</v>
      </c>
      <c r="B134" s="163">
        <f>B94*10000/B62</f>
        <v>0.0006496284651565466</v>
      </c>
      <c r="C134" s="163">
        <f>C94*10000/C62</f>
        <v>0.010163701463244308</v>
      </c>
      <c r="D134" s="163">
        <f>D94*10000/D62</f>
        <v>0.014972521652223195</v>
      </c>
      <c r="E134" s="163">
        <f>E94*10000/E62</f>
        <v>0.025628933307679923</v>
      </c>
      <c r="F134" s="163">
        <f>F94*10000/F62</f>
        <v>-0.0034148779927740056</v>
      </c>
      <c r="G134" s="163">
        <f>AVERAGE(C134:E134)</f>
        <v>0.01692171880771581</v>
      </c>
      <c r="H134" s="163">
        <f>STDEV(C134:E134)</f>
        <v>0.007914725274055423</v>
      </c>
      <c r="I134" s="163">
        <f>(B134*B4+C134*C4+D134*D4+E134*E4+F134*F4)/SUM(B4:F4)</f>
        <v>0.011853774656602511</v>
      </c>
    </row>
    <row r="135" spans="1:9" ht="12.75">
      <c r="A135" s="163" t="s">
        <v>184</v>
      </c>
      <c r="B135" s="163">
        <f>B95*10000/B62</f>
        <v>0.0015222606038555954</v>
      </c>
      <c r="C135" s="163">
        <f>C95*10000/C62</f>
        <v>0.00024324325162697417</v>
      </c>
      <c r="D135" s="163">
        <f>D95*10000/D62</f>
        <v>0.0011382031570284308</v>
      </c>
      <c r="E135" s="163">
        <f>E95*10000/E62</f>
        <v>0.004577234677923457</v>
      </c>
      <c r="F135" s="163">
        <f>F95*10000/F62</f>
        <v>0.0013406376213784409</v>
      </c>
      <c r="G135" s="163">
        <f>AVERAGE(C135:E135)</f>
        <v>0.001986227028859621</v>
      </c>
      <c r="H135" s="163">
        <f>STDEV(C135:E135)</f>
        <v>0.002288062233900015</v>
      </c>
      <c r="I135" s="163">
        <f>(B135*B4+C135*C4+D135*D4+E135*E4+F135*F4)/SUM(B4:F4)</f>
        <v>0.001833100647017055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2005-10-04T10:07:55Z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-1425640492</vt:i4>
  </property>
  <property fmtid="{D5CDD505-2E9C-101B-9397-08002B2CF9AE}" pid="3" name="_EmailSubject">
    <vt:lpwstr>WFM result of apertures 94, 119, 127, 128, 129 and 131 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