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95_pos1ap2" sheetId="2" r:id="rId2"/>
    <sheet name="HCMQAP095_pos5ap2" sheetId="3" r:id="rId3"/>
    <sheet name="HCMQAP095_pos2ap2" sheetId="4" r:id="rId4"/>
    <sheet name="HCMQAP095_pos3ap2" sheetId="5" r:id="rId5"/>
    <sheet name="HCMQAP095_pos4ap2" sheetId="6" r:id="rId6"/>
    <sheet name="Lmag_hcmqap" sheetId="7" r:id="rId7"/>
    <sheet name="Result_HCMQAP" sheetId="8" r:id="rId8"/>
  </sheets>
  <definedNames>
    <definedName name="_xlnm.Print_Area" localSheetId="1">'HCMQAP095_pos1ap2'!$A$1:$N$28</definedName>
    <definedName name="_xlnm.Print_Area" localSheetId="3">'HCMQAP095_pos2ap2'!$A$1:$N$28</definedName>
    <definedName name="_xlnm.Print_Area" localSheetId="4">'HCMQAP095_pos3ap2'!$A$1:$N$28</definedName>
    <definedName name="_xlnm.Print_Area" localSheetId="5">'HCMQAP095_pos4ap2'!$A$1:$N$28</definedName>
    <definedName name="_xlnm.Print_Area" localSheetId="2">'HCMQAP095_pos5ap2'!$A$1:$N$28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<sst xmlns="http://schemas.openxmlformats.org/spreadsheetml/2006/main" count="510" uniqueCount="192">
  <si>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</si>
  <si>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</si>
  <si>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</si>
  <si>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</si>
  <si>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</si>
  <si>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</si>
  <si>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</si>
  <si>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</si>
  <si>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</si>
  <si>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</si>
  <si>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</si>
  <si>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</si>
  <si>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</si>
  <si>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</si>
  <si>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</si>
  <si>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hcmqap095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</si>
  <si>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</si>
  <si>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</si>
  <si>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</si>
  <si>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</si>
  <si>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</si>
  <si>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</si>
  <si>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</si>
  <si>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</si>
  <si>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</si>
  <si>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</si>
  <si>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</si>
  <si>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</si>
  <si>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</si>
  <si>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</si>
  <si>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</si>
  <si>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</si>
  <si>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</si>
  <si>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</si>
  <si>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</si>
  <si>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</si>
  <si>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</si>
  <si>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</si>
  <si>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</si>
  <si>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</si>
  <si>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</si>
  <si>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</si>
  <si>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</si>
  <si>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</si>
  <si>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</si>
  <si>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</si>
  <si>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</si>
  <si>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</si>
  <si>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</si>
  <si>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</si>
  <si>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</si>
  <si>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</si>
  <si>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</si>
  <si>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</si>
  <si>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</si>
  <si>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</si>
  <si>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</si>
  <si>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</si>
  <si>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</si>
  <si>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-2.264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</si>
  <si>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</si>
  <si>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</si>
  <si>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</si>
  <si>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</si>
  <si>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</si>
  <si>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</si>
  <si>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</si>
  <si>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</si>
  <si>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HCMQAP095_pos1ap2</t>
  </si>
  <si>
    <t>26/09/2003</t>
  </si>
  <si>
    <t>±12.5</t>
  </si>
  <si>
    <t>THCMQAP095_pos1ap2.xls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</si>
  <si>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-2.086 mT)</t>
    </r>
  </si>
  <si>
    <t>HCMQAP095_pos5ap2</t>
  </si>
  <si>
    <t>THCMQAP095_pos5ap2.xls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</si>
  <si>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</si>
  <si>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HCMQAP095_pos2ap2</t>
  </si>
  <si>
    <t>THCMQAP095_pos2ap2.xls</t>
  </si>
  <si>
    <t>HCMQAP095_pos3ap2</t>
  </si>
  <si>
    <t>THCMQAP095_pos3ap2.xls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</si>
  <si>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</si>
  <si>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HCMQAP095_pos4ap2</t>
  </si>
  <si>
    <t>THCMQAP095_pos4ap2.xls</t>
  </si>
  <si>
    <t>Sommaire : Valeurs intégrales calculées avec les fichiers: HCMQAP095_pos1ap2+HCMQAP095_pos5ap2+HCMQAP095_pos2ap2+HCMQAP095_pos3ap2+HCMQAP095_pos4ap2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</si>
  <si>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</si>
  <si>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</si>
  <si>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</si>
  <si>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</si>
  <si>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</si>
  <si>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</si>
  <si>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</si>
  <si>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</si>
  <si>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</si>
  <si>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</si>
  <si>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</si>
  <si>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</si>
  <si>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</si>
  <si>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</si>
  <si>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</si>
  <si>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</si>
  <si>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</si>
  <si>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</si>
  <si>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</si>
  <si>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</si>
  <si>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</si>
  <si>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</si>
  <si>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</si>
  <si>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</si>
  <si>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</si>
  <si>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</si>
  <si>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</si>
  <si>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</si>
  <si>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</si>
  <si>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</si>
  <si>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</si>
  <si>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</si>
  <si>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</si>
  <si>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</si>
  <si>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</si>
  <si>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</si>
  <si>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</si>
  <si>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</si>
  <si>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</si>
  <si>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</si>
  <si>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</si>
  <si>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</si>
  <si>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</si>
  <si>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=-3.762</t>
    </r>
  </si>
  <si>
    <t>Gradient (T/m)</t>
  </si>
  <si>
    <t xml:space="preserve"> Fri 26/09/2003       11:57:55</t>
  </si>
  <si>
    <t>LISSNER</t>
  </si>
  <si>
    <t>HCMQAP095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</si>
  <si>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</si>
  <si>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</si>
  <si>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</si>
  <si>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</si>
  <si>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</si>
  <si>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</si>
  <si>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</si>
  <si>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</si>
  <si>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</si>
  <si>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</si>
  <si>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a1</t>
  </si>
  <si>
    <t>a2</t>
  </si>
  <si>
    <t>a4*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</si>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</sst>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95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/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/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/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/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/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/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/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/>
            </c:numRef>
          </c:val>
          <c:smooth val="0"/>
        </c:ser>
        <c:marker val="1"/>
        <c:axId val="34170364"/>
        <c:axId val="39097821"/>
      </c:lineChart>
      <c:catAx>
        <c:axId val="341703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9097821"/>
        <c:crosses val="autoZero"/>
        <c:auto val="1"/>
        <c:lblOffset val="100"/>
        <c:noMultiLvlLbl val="0"/>
      </c:catAx>
      <c:valAx>
        <c:axId val="39097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417036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2317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5</v>
      </c>
      <c r="F3" s="26"/>
      <c r="G3" s="26" t="s">
        <v>73</v>
      </c>
      <c r="H3" s="25">
        <v>2317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2</v>
      </c>
      <c r="F4" s="26"/>
      <c r="G4" s="26" t="s">
        <v>76</v>
      </c>
      <c r="H4" s="25">
        <v>2317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3</v>
      </c>
      <c r="F5" s="26"/>
      <c r="G5" s="26" t="s">
        <v>78</v>
      </c>
      <c r="H5" s="25">
        <v>2317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4</v>
      </c>
      <c r="F6" s="26"/>
      <c r="G6" s="26" t="s">
        <v>81</v>
      </c>
      <c r="H6" s="25">
        <v>2317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6.3215852E-05</v>
      </c>
      <c r="L2" s="55">
        <v>8.919597663064935E-08</v>
      </c>
      <c r="M2" s="55">
        <v>8.367604E-05</v>
      </c>
      <c r="N2" s="56">
        <v>1.6322415103201324E-07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-3.1971057999999995E-05</v>
      </c>
      <c r="L3" s="55">
        <v>5.117246082279173E-07</v>
      </c>
      <c r="M3" s="55">
        <v>1.3877282000000001E-05</v>
      </c>
      <c r="N3" s="56">
        <v>6.450285715811176E-07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-0.0022640385694346963</v>
      </c>
      <c r="L4" s="55">
        <v>-1.4374310478553466E-05</v>
      </c>
      <c r="M4" s="55">
        <v>3.9717236392473384E-08</v>
      </c>
      <c r="N4" s="56">
        <v>3.1744418</v>
      </c>
    </row>
    <row r="5" spans="1:14" ht="15" customHeight="1" thickBot="1">
      <c r="A5" t="s">
        <v>18</v>
      </c>
      <c r="B5" s="59">
        <v>37890.476493055554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2317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0.08264631069999999</v>
      </c>
      <c r="E8" s="78">
        <v>0.015299134535446632</v>
      </c>
      <c r="F8" s="78">
        <v>-2.1356335</v>
      </c>
      <c r="G8" s="78">
        <v>0.016828553898045245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-0.157437429</v>
      </c>
      <c r="E9" s="80">
        <v>0.030309457819093624</v>
      </c>
      <c r="F9" s="80">
        <v>1.4634209000000002</v>
      </c>
      <c r="G9" s="80">
        <v>0.030175410915843796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-0.20528485000000002</v>
      </c>
      <c r="E10" s="80">
        <v>0.006121812459966416</v>
      </c>
      <c r="F10" s="80">
        <v>-1.6130702</v>
      </c>
      <c r="G10" s="80">
        <v>0.015283637448605758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3.6894036999999997</v>
      </c>
      <c r="E11" s="78">
        <v>0.01481205279373651</v>
      </c>
      <c r="F11" s="78">
        <v>1.3644716000000001</v>
      </c>
      <c r="G11" s="78">
        <v>0.0078038735279170246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0.18424201999999998</v>
      </c>
      <c r="E12" s="80">
        <v>0.005563003529982697</v>
      </c>
      <c r="F12" s="80">
        <v>0.073263355</v>
      </c>
      <c r="G12" s="80">
        <v>0.006232618669463964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21.896363</v>
      </c>
      <c r="D13" s="83">
        <v>-0.08015135</v>
      </c>
      <c r="E13" s="80">
        <v>0.0049082897908823775</v>
      </c>
      <c r="F13" s="80">
        <v>-0.093893423</v>
      </c>
      <c r="G13" s="80">
        <v>0.004392432476099549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0.33154216999999997</v>
      </c>
      <c r="E14" s="80">
        <v>0.004393982498099253</v>
      </c>
      <c r="F14" s="80">
        <v>0.23212726</v>
      </c>
      <c r="G14" s="80">
        <v>0.0050795771093085475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-0.41704425</v>
      </c>
      <c r="E15" s="78">
        <v>0.0017515795146079004</v>
      </c>
      <c r="F15" s="78">
        <v>0.14752941000000003</v>
      </c>
      <c r="G15" s="78">
        <v>0.0035199991041757073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-0.042863608</v>
      </c>
      <c r="E16" s="80">
        <v>0.0026465691404545435</v>
      </c>
      <c r="F16" s="80">
        <v>0.035762492066269996</v>
      </c>
      <c r="G16" s="80">
        <v>0.0036256785740225632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0.38600000739097595</v>
      </c>
      <c r="D17" s="83">
        <v>0.030608175169999995</v>
      </c>
      <c r="E17" s="80">
        <v>0.0037775642721194513</v>
      </c>
      <c r="F17" s="80">
        <v>-0.110640446</v>
      </c>
      <c r="G17" s="80">
        <v>0.004102703267504661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13.732999801635742</v>
      </c>
      <c r="D18" s="83">
        <v>0.100206477</v>
      </c>
      <c r="E18" s="80">
        <v>0.002954704672712061</v>
      </c>
      <c r="F18" s="80">
        <v>0.11455742</v>
      </c>
      <c r="G18" s="80">
        <v>0.001314496549861531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0.2669999897480011</v>
      </c>
      <c r="D19" s="86">
        <v>-0.18721111000000001</v>
      </c>
      <c r="E19" s="80">
        <v>0.0015758845184211203</v>
      </c>
      <c r="F19" s="80">
        <v>0.017866283</v>
      </c>
      <c r="G19" s="80">
        <v>0.0013443667949470082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0.47065260000000003</v>
      </c>
      <c r="D20" s="88">
        <v>-0.00286650918</v>
      </c>
      <c r="E20" s="89">
        <v>0.0009503980344840421</v>
      </c>
      <c r="F20" s="89">
        <v>-0.0019406892400000001</v>
      </c>
      <c r="G20" s="89">
        <v>0.002298677941967367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0.6312819999999999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0.18188227107929422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-2.2640842</v>
      </c>
      <c r="I25" s="101" t="s">
        <v>49</v>
      </c>
      <c r="J25" s="102"/>
      <c r="K25" s="101"/>
      <c r="L25" s="104">
        <v>3.9336347579281234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2.1372320554854523</v>
      </c>
      <c r="I26" s="106" t="s">
        <v>53</v>
      </c>
      <c r="J26" s="107"/>
      <c r="K26" s="106"/>
      <c r="L26" s="109">
        <v>0.4423695663955768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HCMQAP095_pos1ap2res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5.796659E-06</v>
      </c>
      <c r="L2" s="55">
        <v>1.7134268368975353E-07</v>
      </c>
      <c r="M2" s="55">
        <v>9.9752781E-05</v>
      </c>
      <c r="N2" s="56">
        <v>2.1104587203729985E-07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-3.1387155E-05</v>
      </c>
      <c r="L3" s="55">
        <v>1.5418682761526963E-07</v>
      </c>
      <c r="M3" s="55">
        <v>1.0083259E-05</v>
      </c>
      <c r="N3" s="56">
        <v>2.1873038514116023E-07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-0.0020860768026207607</v>
      </c>
      <c r="L4" s="55">
        <v>-2.8596670914314812E-05</v>
      </c>
      <c r="M4" s="55">
        <v>3.599529371319914E-08</v>
      </c>
      <c r="N4" s="56">
        <v>6.8537457</v>
      </c>
    </row>
    <row r="5" spans="1:14" ht="15" customHeight="1" thickBot="1">
      <c r="A5" t="s">
        <v>18</v>
      </c>
      <c r="B5" s="59">
        <v>37890.495046296295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2317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-2.7260049</v>
      </c>
      <c r="E8" s="78">
        <v>0.024305987096642865</v>
      </c>
      <c r="F8" s="114">
        <v>8.8957122</v>
      </c>
      <c r="G8" s="78">
        <v>0.034884631321811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6">
        <v>-2.7273313999999997</v>
      </c>
      <c r="E9" s="80">
        <v>0.03665045317101357</v>
      </c>
      <c r="F9" s="80">
        <v>-2.1414178</v>
      </c>
      <c r="G9" s="80">
        <v>0.05316402036584425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0.54372954</v>
      </c>
      <c r="E10" s="80">
        <v>0.020421293270392406</v>
      </c>
      <c r="F10" s="115">
        <v>-7.0258043</v>
      </c>
      <c r="G10" s="80">
        <v>0.013599269114984108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15.106059000000002</v>
      </c>
      <c r="E11" s="78">
        <v>0.01276950288469422</v>
      </c>
      <c r="F11" s="114">
        <v>2.2896729999999996</v>
      </c>
      <c r="G11" s="78">
        <v>0.009669436110749878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-0.37803024</v>
      </c>
      <c r="E12" s="80">
        <v>0.004138675026430705</v>
      </c>
      <c r="F12" s="115">
        <v>0.74784206</v>
      </c>
      <c r="G12" s="80">
        <v>0.0053864980046782205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22.940064</v>
      </c>
      <c r="D13" s="83">
        <v>0.121880146</v>
      </c>
      <c r="E13" s="80">
        <v>0.003919074400604005</v>
      </c>
      <c r="F13" s="115">
        <v>-0.43760948000000005</v>
      </c>
      <c r="G13" s="80">
        <v>0.006049262506500096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0.05549707500000001</v>
      </c>
      <c r="E14" s="80">
        <v>0.0033588773678625604</v>
      </c>
      <c r="F14" s="80">
        <v>0.32730692</v>
      </c>
      <c r="G14" s="80">
        <v>0.006237010162938588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-0.39030523000000006</v>
      </c>
      <c r="E15" s="78">
        <v>0.005260481278131024</v>
      </c>
      <c r="F15" s="78">
        <v>0.22620423</v>
      </c>
      <c r="G15" s="78">
        <v>0.004178819288937847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12.506499999999999</v>
      </c>
      <c r="D16" s="83">
        <v>0.014150757400000002</v>
      </c>
      <c r="E16" s="80">
        <v>0.004693686067154936</v>
      </c>
      <c r="F16" s="80">
        <v>0.035135355</v>
      </c>
      <c r="G16" s="80">
        <v>0.00140913986208252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0.421999990940094</v>
      </c>
      <c r="D17" s="83">
        <v>0.058486976999999996</v>
      </c>
      <c r="E17" s="80">
        <v>0.0027377584875378754</v>
      </c>
      <c r="F17" s="80">
        <v>0.005185572999999999</v>
      </c>
      <c r="G17" s="80">
        <v>0.002683410732058364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-7.120999813079834</v>
      </c>
      <c r="D18" s="83">
        <v>-0.043950593</v>
      </c>
      <c r="E18" s="80">
        <v>0.0011725197821679508</v>
      </c>
      <c r="F18" s="80">
        <v>0.10042917199999998</v>
      </c>
      <c r="G18" s="80">
        <v>0.0028193726550810702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-0.04600000008940697</v>
      </c>
      <c r="D19" s="83">
        <v>-0.12853120999999998</v>
      </c>
      <c r="E19" s="80">
        <v>0.0016609338958556812</v>
      </c>
      <c r="F19" s="80">
        <v>-0.026047550999999995</v>
      </c>
      <c r="G19" s="80">
        <v>0.0011283233670424436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0.036077000000000005</v>
      </c>
      <c r="D20" s="88">
        <v>-0.0006697056600000001</v>
      </c>
      <c r="E20" s="89">
        <v>0.0010746992824740252</v>
      </c>
      <c r="F20" s="89">
        <v>0.005933599100000001</v>
      </c>
      <c r="G20" s="89">
        <v>0.0013492044040401864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0.8133929999999999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0.3926910341578628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-2.0862727999999997</v>
      </c>
      <c r="I25" s="101" t="s">
        <v>49</v>
      </c>
      <c r="J25" s="102"/>
      <c r="K25" s="101"/>
      <c r="L25" s="104">
        <v>15.278600098124503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9.304020542757462</v>
      </c>
      <c r="I26" s="106" t="s">
        <v>53</v>
      </c>
      <c r="J26" s="107"/>
      <c r="K26" s="106"/>
      <c r="L26" s="109">
        <v>0.45111697622151825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HCMQAP095_pos5ap2res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-7.185023599999999E-05</v>
      </c>
      <c r="L2" s="55">
        <v>2.543639059983332E-07</v>
      </c>
      <c r="M2" s="55">
        <v>0.00012250994000000001</v>
      </c>
      <c r="N2" s="56">
        <v>1.2220891293780357E-07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-2.9737564E-05</v>
      </c>
      <c r="L3" s="55">
        <v>1.5712177975709625E-07</v>
      </c>
      <c r="M3" s="55">
        <v>1.3085079999999998E-05</v>
      </c>
      <c r="N3" s="56">
        <v>2.574125785582873E-07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-0.003762116001446478</v>
      </c>
      <c r="L4" s="55">
        <v>-4.1889072572678103E-05</v>
      </c>
      <c r="M4" s="55">
        <v>7.454102783061794E-08</v>
      </c>
      <c r="N4" s="56">
        <v>5.5669923</v>
      </c>
    </row>
    <row r="5" spans="1:14" ht="15" customHeight="1" thickBot="1">
      <c r="A5" t="s">
        <v>18</v>
      </c>
      <c r="B5" s="59">
        <v>37890.48106481481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2317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-1.3439703</v>
      </c>
      <c r="E8" s="78">
        <v>0.003970507557003019</v>
      </c>
      <c r="F8" s="78">
        <v>1.1188292</v>
      </c>
      <c r="G8" s="78">
        <v>0.017735390524592148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-0.51772501</v>
      </c>
      <c r="E9" s="80">
        <v>0.014869628568238893</v>
      </c>
      <c r="F9" s="80">
        <v>-1.6110568</v>
      </c>
      <c r="G9" s="80">
        <v>0.02426757883390371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1.2986228999999998</v>
      </c>
      <c r="E10" s="80">
        <v>0.010626523172733542</v>
      </c>
      <c r="F10" s="80">
        <v>-1.6539598000000002</v>
      </c>
      <c r="G10" s="80">
        <v>0.005719024729718854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4.9436706</v>
      </c>
      <c r="E11" s="78">
        <v>0.005602250631410406</v>
      </c>
      <c r="F11" s="78">
        <v>0.47166112</v>
      </c>
      <c r="G11" s="78">
        <v>0.010003687349053252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-0.35026779</v>
      </c>
      <c r="E12" s="80">
        <v>0.007336956824283269</v>
      </c>
      <c r="F12" s="80">
        <v>0.37995210999999995</v>
      </c>
      <c r="G12" s="80">
        <v>0.001986083346043464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22.158814</v>
      </c>
      <c r="D13" s="83">
        <v>-0.080159601</v>
      </c>
      <c r="E13" s="80">
        <v>0.0020771283673176395</v>
      </c>
      <c r="F13" s="80">
        <v>-0.059291672</v>
      </c>
      <c r="G13" s="80">
        <v>0.0017460874262923026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0.04472223399999999</v>
      </c>
      <c r="E14" s="80">
        <v>0.0024321784674473687</v>
      </c>
      <c r="F14" s="80">
        <v>0.17008971</v>
      </c>
      <c r="G14" s="80">
        <v>0.002185810820359602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-0.058741842</v>
      </c>
      <c r="E15" s="78">
        <v>0.0018714465021145358</v>
      </c>
      <c r="F15" s="78">
        <v>0.11908791999999999</v>
      </c>
      <c r="G15" s="78">
        <v>0.0020864494483694416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12.506400000000001</v>
      </c>
      <c r="D16" s="83">
        <v>-0.0116758243</v>
      </c>
      <c r="E16" s="80">
        <v>0.0019619884966154267</v>
      </c>
      <c r="F16" s="80">
        <v>0.024557614</v>
      </c>
      <c r="G16" s="80">
        <v>0.002470719140046887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-0.21199999749660492</v>
      </c>
      <c r="D17" s="83">
        <v>0.06712742399999999</v>
      </c>
      <c r="E17" s="80">
        <v>0.0015929799729483202</v>
      </c>
      <c r="F17" s="80">
        <v>0.042223889</v>
      </c>
      <c r="G17" s="80">
        <v>0.0025903606103713514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94.09600067138672</v>
      </c>
      <c r="D18" s="83">
        <v>-0.040093164</v>
      </c>
      <c r="E18" s="80">
        <v>0.0010081803689342154</v>
      </c>
      <c r="F18" s="80">
        <v>0.12189706999999998</v>
      </c>
      <c r="G18" s="80">
        <v>0.0006962300191801936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-0.3889999985694885</v>
      </c>
      <c r="D19" s="86">
        <v>-0.18579198</v>
      </c>
      <c r="E19" s="80">
        <v>0.0008424686585306422</v>
      </c>
      <c r="F19" s="80">
        <v>0.0090168743</v>
      </c>
      <c r="G19" s="80">
        <v>0.0010694916365687319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-0.33078820000000003</v>
      </c>
      <c r="D20" s="88">
        <v>0.0024988502099999995</v>
      </c>
      <c r="E20" s="89">
        <v>0.00149388874410807</v>
      </c>
      <c r="F20" s="89">
        <v>-0.004559117499999999</v>
      </c>
      <c r="G20" s="89">
        <v>0.0008997236689303572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0.5499106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0.3189654327904023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-3.7623491999999996</v>
      </c>
      <c r="I25" s="101" t="s">
        <v>49</v>
      </c>
      <c r="J25" s="102"/>
      <c r="K25" s="101"/>
      <c r="L25" s="104">
        <v>4.9661195327362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1.7487238049659901</v>
      </c>
      <c r="I26" s="106" t="s">
        <v>53</v>
      </c>
      <c r="J26" s="107"/>
      <c r="K26" s="106"/>
      <c r="L26" s="109">
        <v>0.13278756226198055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HCMQAP095_pos2ap2res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1.80875884E-05</v>
      </c>
      <c r="L2" s="55">
        <v>7.686598890772098E-07</v>
      </c>
      <c r="M2" s="55">
        <v>0.00014359209999999998</v>
      </c>
      <c r="N2" s="56">
        <v>2.402279833889308E-07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-2.85336996E-05</v>
      </c>
      <c r="L3" s="55">
        <v>1.0769790749460233E-07</v>
      </c>
      <c r="M3" s="55">
        <v>1.1304419999999998E-05</v>
      </c>
      <c r="N3" s="56">
        <v>1.6080405965027084E-07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-0.0037618592255492106</v>
      </c>
      <c r="L4" s="55">
        <v>-5.068800874747445E-05</v>
      </c>
      <c r="M4" s="55">
        <v>6.17912701366016E-08</v>
      </c>
      <c r="N4" s="56">
        <v>6.7366877</v>
      </c>
    </row>
    <row r="5" spans="1:14" ht="15" customHeight="1" thickBot="1">
      <c r="A5" t="s">
        <v>18</v>
      </c>
      <c r="B5" s="59">
        <v>37890.48574074074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2317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-3.8245393</v>
      </c>
      <c r="E8" s="78">
        <v>0.009968930662691248</v>
      </c>
      <c r="F8" s="78">
        <v>2.9626612000000003</v>
      </c>
      <c r="G8" s="78">
        <v>0.014163828305191872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0.040402688</v>
      </c>
      <c r="E9" s="80">
        <v>0.02830896888496323</v>
      </c>
      <c r="F9" s="115">
        <v>-2.7533902999999995</v>
      </c>
      <c r="G9" s="80">
        <v>0.022548747190505977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0.5285655</v>
      </c>
      <c r="E10" s="80">
        <v>0.009159930612343038</v>
      </c>
      <c r="F10" s="80">
        <v>-0.9192404</v>
      </c>
      <c r="G10" s="80">
        <v>0.005704189211008128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4.2565387999999995</v>
      </c>
      <c r="E11" s="78">
        <v>0.004782447507564015</v>
      </c>
      <c r="F11" s="78">
        <v>-0.41244472000000004</v>
      </c>
      <c r="G11" s="78">
        <v>0.00485683422895564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0.00685456582</v>
      </c>
      <c r="E12" s="80">
        <v>0.003912812398398759</v>
      </c>
      <c r="F12" s="80">
        <v>-0.035336211</v>
      </c>
      <c r="G12" s="80">
        <v>0.003981407389923085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22.424317</v>
      </c>
      <c r="D13" s="83">
        <v>-0.055527937000000006</v>
      </c>
      <c r="E13" s="80">
        <v>0.0027151054343737165</v>
      </c>
      <c r="F13" s="80">
        <v>-0.086754316</v>
      </c>
      <c r="G13" s="80">
        <v>0.0033837910465252777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-0.046511031999999994</v>
      </c>
      <c r="E14" s="80">
        <v>0.0024208914775731894</v>
      </c>
      <c r="F14" s="80">
        <v>0.106579673</v>
      </c>
      <c r="G14" s="80">
        <v>0.0021171437129523583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-0.09652229500000001</v>
      </c>
      <c r="E15" s="78">
        <v>0.001758103298447053</v>
      </c>
      <c r="F15" s="78">
        <v>0.09708700300000002</v>
      </c>
      <c r="G15" s="78">
        <v>0.003695251829992406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12.506499999999999</v>
      </c>
      <c r="D16" s="83">
        <v>0.045822192</v>
      </c>
      <c r="E16" s="80">
        <v>0.0020683578742872236</v>
      </c>
      <c r="F16" s="80">
        <v>0.00081127839</v>
      </c>
      <c r="G16" s="80">
        <v>0.0014118506365799065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0.3140000104904175</v>
      </c>
      <c r="D17" s="83">
        <v>0.038371254</v>
      </c>
      <c r="E17" s="80">
        <v>0.0012265435940821026</v>
      </c>
      <c r="F17" s="80">
        <v>-0.0083598913</v>
      </c>
      <c r="G17" s="80">
        <v>0.0014031957808327631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-14.75</v>
      </c>
      <c r="D18" s="83">
        <v>0.0153017328</v>
      </c>
      <c r="E18" s="80">
        <v>0.0007882346174886379</v>
      </c>
      <c r="F18" s="80">
        <v>0.09048509099999999</v>
      </c>
      <c r="G18" s="80">
        <v>0.0016502639604669483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-0.12800000607967377</v>
      </c>
      <c r="D19" s="86">
        <v>-0.16063266</v>
      </c>
      <c r="E19" s="80">
        <v>0.0017010164697614071</v>
      </c>
      <c r="F19" s="80">
        <v>0.017881396</v>
      </c>
      <c r="G19" s="80">
        <v>0.0012370049761354516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0.0729712</v>
      </c>
      <c r="D20" s="88">
        <v>-0.0078872635</v>
      </c>
      <c r="E20" s="89">
        <v>0.0006322435529695869</v>
      </c>
      <c r="F20" s="89">
        <v>0.006820946100000001</v>
      </c>
      <c r="G20" s="89">
        <v>0.0008728661284453256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0.6498765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0.3859840991345147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-3.7622007</v>
      </c>
      <c r="I25" s="101" t="s">
        <v>49</v>
      </c>
      <c r="J25" s="102"/>
      <c r="K25" s="101"/>
      <c r="L25" s="104">
        <v>4.276474389372782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4.8378158546217875</v>
      </c>
      <c r="I26" s="106" t="s">
        <v>53</v>
      </c>
      <c r="J26" s="107"/>
      <c r="K26" s="106"/>
      <c r="L26" s="109">
        <v>0.13690302985540181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HCMQAP095_pos3ap2res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-8.8367031E-05</v>
      </c>
      <c r="L2" s="55">
        <v>3.011733240077575E-07</v>
      </c>
      <c r="M2" s="55">
        <v>0.00011513369</v>
      </c>
      <c r="N2" s="56">
        <v>5.825708312270079E-07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-2.9106969E-05</v>
      </c>
      <c r="L3" s="55">
        <v>1.3954167439918297E-07</v>
      </c>
      <c r="M3" s="55">
        <v>1.0663090000000004E-05</v>
      </c>
      <c r="N3" s="56">
        <v>2.1873804744486472E-07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-0.0037612003983267077</v>
      </c>
      <c r="L4" s="55">
        <v>-4.4302088265733796E-05</v>
      </c>
      <c r="M4" s="55">
        <v>2.4373354122010937E-08</v>
      </c>
      <c r="N4" s="56">
        <v>5.8890826</v>
      </c>
    </row>
    <row r="5" spans="1:14" ht="15" customHeight="1" thickBot="1">
      <c r="A5" t="s">
        <v>18</v>
      </c>
      <c r="B5" s="59">
        <v>37890.49040509259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2317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-1.6512746</v>
      </c>
      <c r="E8" s="78">
        <v>0.009650318748120858</v>
      </c>
      <c r="F8" s="78">
        <v>0.6455160400000001</v>
      </c>
      <c r="G8" s="78">
        <v>0.008494578408570529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-0.22841994999999998</v>
      </c>
      <c r="E9" s="80">
        <v>0.013542054227443052</v>
      </c>
      <c r="F9" s="115">
        <v>-3.4921014000000006</v>
      </c>
      <c r="G9" s="80">
        <v>0.014286961392633891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1.1326013700000002</v>
      </c>
      <c r="E10" s="80">
        <v>0.007165233461324393</v>
      </c>
      <c r="F10" s="80">
        <v>-1.6777622</v>
      </c>
      <c r="G10" s="80">
        <v>0.011360303585716595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4.7957719999999995</v>
      </c>
      <c r="E11" s="78">
        <v>0.006581230987121079</v>
      </c>
      <c r="F11" s="78">
        <v>-0.20379326</v>
      </c>
      <c r="G11" s="78">
        <v>0.003596721357347715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-0.17413695</v>
      </c>
      <c r="E12" s="80">
        <v>0.0035723843158301486</v>
      </c>
      <c r="F12" s="80">
        <v>-0.13817587800000003</v>
      </c>
      <c r="G12" s="80">
        <v>0.0033813794370008516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22.686768</v>
      </c>
      <c r="D13" s="83">
        <v>-0.066026141</v>
      </c>
      <c r="E13" s="80">
        <v>0.0037147403742354484</v>
      </c>
      <c r="F13" s="80">
        <v>-0.35435202</v>
      </c>
      <c r="G13" s="80">
        <v>0.001742969665721061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-0.042860116000000004</v>
      </c>
      <c r="E14" s="80">
        <v>0.002565094482747963</v>
      </c>
      <c r="F14" s="80">
        <v>0.109411887</v>
      </c>
      <c r="G14" s="80">
        <v>0.005609213544319468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-0.041314276999999996</v>
      </c>
      <c r="E15" s="78">
        <v>0.001956589515847902</v>
      </c>
      <c r="F15" s="78">
        <v>0.13506363</v>
      </c>
      <c r="G15" s="78">
        <v>0.0017934576684722268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12.506499999999999</v>
      </c>
      <c r="D16" s="83">
        <v>0.028609237</v>
      </c>
      <c r="E16" s="80">
        <v>0.0007989546966793204</v>
      </c>
      <c r="F16" s="80">
        <v>0.019445777799999998</v>
      </c>
      <c r="G16" s="80">
        <v>0.00156957256612667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0.14499999582767487</v>
      </c>
      <c r="D17" s="83">
        <v>0.025036063000000004</v>
      </c>
      <c r="E17" s="80">
        <v>0.0015223602166457469</v>
      </c>
      <c r="F17" s="80">
        <v>0.039676754999999994</v>
      </c>
      <c r="G17" s="80">
        <v>0.0009335682364455274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331.6239929199219</v>
      </c>
      <c r="D18" s="83">
        <v>-0.060845019</v>
      </c>
      <c r="E18" s="80">
        <v>0.0014064073436576023</v>
      </c>
      <c r="F18" s="80">
        <v>0.09925990300000001</v>
      </c>
      <c r="G18" s="80">
        <v>0.0019254969988202139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-0.3610000014305115</v>
      </c>
      <c r="D19" s="86">
        <v>-0.17430648999999998</v>
      </c>
      <c r="E19" s="80">
        <v>0.0008642089749633405</v>
      </c>
      <c r="F19" s="80">
        <v>0.013370551999999999</v>
      </c>
      <c r="G19" s="80">
        <v>0.0013722348156551076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-0.4054688000000001</v>
      </c>
      <c r="D20" s="88">
        <v>-0.000943323852</v>
      </c>
      <c r="E20" s="89">
        <v>0.0009045118644519153</v>
      </c>
      <c r="F20" s="89">
        <v>0.00228968368</v>
      </c>
      <c r="G20" s="89">
        <v>0.00033102027270263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0.5156214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0.3374198631902954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-3.7614613</v>
      </c>
      <c r="I25" s="101" t="s">
        <v>49</v>
      </c>
      <c r="J25" s="102"/>
      <c r="K25" s="101"/>
      <c r="L25" s="104">
        <v>4.8001000790405834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1.772963271616883</v>
      </c>
      <c r="I26" s="106" t="s">
        <v>53</v>
      </c>
      <c r="J26" s="107"/>
      <c r="K26" s="106"/>
      <c r="L26" s="109">
        <v>0.14124111877498574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HCMQAP095_pos4ap2res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68</v>
      </c>
      <c r="C1" s="121" t="s">
        <v>76</v>
      </c>
      <c r="D1" s="121" t="s">
        <v>78</v>
      </c>
      <c r="E1" s="121" t="s">
        <v>81</v>
      </c>
      <c r="F1" s="128" t="s">
        <v>73</v>
      </c>
      <c r="G1" s="163" t="s">
        <v>121</v>
      </c>
    </row>
    <row r="2" spans="1:7" ht="13.5" thickBot="1">
      <c r="A2" s="140" t="s">
        <v>90</v>
      </c>
      <c r="B2" s="132">
        <v>-2.2640842</v>
      </c>
      <c r="C2" s="123">
        <v>-3.7623491999999996</v>
      </c>
      <c r="D2" s="123">
        <v>-3.7622007</v>
      </c>
      <c r="E2" s="123">
        <v>-3.7614613</v>
      </c>
      <c r="F2" s="129">
        <v>-2.0862727999999997</v>
      </c>
      <c r="G2" s="164">
        <v>3.116879552586303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0.08264631069999999</v>
      </c>
      <c r="C4" s="147">
        <v>-1.3439703</v>
      </c>
      <c r="D4" s="147">
        <v>-3.8245393</v>
      </c>
      <c r="E4" s="147">
        <v>-1.6512746</v>
      </c>
      <c r="F4" s="152">
        <v>-2.7260049</v>
      </c>
      <c r="G4" s="159">
        <v>-1.992562901373211</v>
      </c>
    </row>
    <row r="5" spans="1:7" ht="12.75">
      <c r="A5" s="140" t="s">
        <v>93</v>
      </c>
      <c r="B5" s="134">
        <v>-0.157437429</v>
      </c>
      <c r="C5" s="118">
        <v>-0.51772501</v>
      </c>
      <c r="D5" s="118">
        <v>0.040402688</v>
      </c>
      <c r="E5" s="118">
        <v>-0.22841994999999998</v>
      </c>
      <c r="F5" s="153">
        <v>-2.7273313999999997</v>
      </c>
      <c r="G5" s="160">
        <v>-0.5564886205534855</v>
      </c>
    </row>
    <row r="6" spans="1:7" ht="12.75">
      <c r="A6" s="140" t="s">
        <v>95</v>
      </c>
      <c r="B6" s="134">
        <v>-0.20528485000000002</v>
      </c>
      <c r="C6" s="118">
        <v>1.2986228999999998</v>
      </c>
      <c r="D6" s="118">
        <v>0.5285655</v>
      </c>
      <c r="E6" s="118">
        <v>1.1326013700000002</v>
      </c>
      <c r="F6" s="154">
        <v>0.54372954</v>
      </c>
      <c r="G6" s="160">
        <v>0.7549236726894583</v>
      </c>
    </row>
    <row r="7" spans="1:7" ht="12.75">
      <c r="A7" s="140" t="s">
        <v>97</v>
      </c>
      <c r="B7" s="133">
        <v>3.6894036999999997</v>
      </c>
      <c r="C7" s="117">
        <v>4.9436706</v>
      </c>
      <c r="D7" s="117">
        <v>4.2565387999999995</v>
      </c>
      <c r="E7" s="117">
        <v>4.7957719999999995</v>
      </c>
      <c r="F7" s="155">
        <v>15.106059000000002</v>
      </c>
      <c r="G7" s="160">
        <v>5.917061980736743</v>
      </c>
    </row>
    <row r="8" spans="1:7" ht="12.75">
      <c r="A8" s="140" t="s">
        <v>99</v>
      </c>
      <c r="B8" s="134">
        <v>0.18424201999999998</v>
      </c>
      <c r="C8" s="118">
        <v>-0.35026779</v>
      </c>
      <c r="D8" s="118">
        <v>0.00685456582</v>
      </c>
      <c r="E8" s="118">
        <v>-0.17413695</v>
      </c>
      <c r="F8" s="154">
        <v>-0.37803024</v>
      </c>
      <c r="G8" s="160">
        <v>-0.14828159689425138</v>
      </c>
    </row>
    <row r="9" spans="1:7" ht="12.75">
      <c r="A9" s="140" t="s">
        <v>101</v>
      </c>
      <c r="B9" s="134">
        <v>-0.08015135</v>
      </c>
      <c r="C9" s="118">
        <v>-0.080159601</v>
      </c>
      <c r="D9" s="118">
        <v>-0.055527937000000006</v>
      </c>
      <c r="E9" s="118">
        <v>-0.066026141</v>
      </c>
      <c r="F9" s="154">
        <v>0.121880146</v>
      </c>
      <c r="G9" s="160">
        <v>-0.04387493254279531</v>
      </c>
    </row>
    <row r="10" spans="1:7" ht="12.75">
      <c r="A10" s="140" t="s">
        <v>103</v>
      </c>
      <c r="B10" s="134">
        <v>0.33154216999999997</v>
      </c>
      <c r="C10" s="118">
        <v>0.04472223399999999</v>
      </c>
      <c r="D10" s="118">
        <v>-0.046511031999999994</v>
      </c>
      <c r="E10" s="118">
        <v>-0.042860116000000004</v>
      </c>
      <c r="F10" s="154">
        <v>0.05549707500000001</v>
      </c>
      <c r="G10" s="160">
        <v>0.04467032077814934</v>
      </c>
    </row>
    <row r="11" spans="1:7" ht="12.75">
      <c r="A11" s="140" t="s">
        <v>105</v>
      </c>
      <c r="B11" s="133">
        <v>-0.41704425</v>
      </c>
      <c r="C11" s="117">
        <v>-0.058741842</v>
      </c>
      <c r="D11" s="117">
        <v>-0.09652229500000001</v>
      </c>
      <c r="E11" s="117">
        <v>-0.041314276999999996</v>
      </c>
      <c r="F11" s="156">
        <v>-0.39030523000000006</v>
      </c>
      <c r="G11" s="160">
        <v>-0.15975909957885281</v>
      </c>
    </row>
    <row r="12" spans="1:7" ht="12.75">
      <c r="A12" s="140" t="s">
        <v>107</v>
      </c>
      <c r="B12" s="134">
        <v>-0.042863608</v>
      </c>
      <c r="C12" s="118">
        <v>-0.0116758243</v>
      </c>
      <c r="D12" s="118">
        <v>0.045822192</v>
      </c>
      <c r="E12" s="118">
        <v>0.028609237</v>
      </c>
      <c r="F12" s="154">
        <v>0.014150757400000002</v>
      </c>
      <c r="G12" s="160">
        <v>0.010779473396945339</v>
      </c>
    </row>
    <row r="13" spans="1:7" ht="12.75">
      <c r="A13" s="140" t="s">
        <v>109</v>
      </c>
      <c r="B13" s="134">
        <v>0.030608175169999995</v>
      </c>
      <c r="C13" s="118">
        <v>0.06712742399999999</v>
      </c>
      <c r="D13" s="118">
        <v>0.038371254</v>
      </c>
      <c r="E13" s="118">
        <v>0.025036063000000004</v>
      </c>
      <c r="F13" s="154">
        <v>0.058486976999999996</v>
      </c>
      <c r="G13" s="160">
        <v>0.04364239937663756</v>
      </c>
    </row>
    <row r="14" spans="1:7" ht="12.75">
      <c r="A14" s="140" t="s">
        <v>111</v>
      </c>
      <c r="B14" s="134">
        <v>0.100206477</v>
      </c>
      <c r="C14" s="118">
        <v>-0.040093164</v>
      </c>
      <c r="D14" s="118">
        <v>0.0153017328</v>
      </c>
      <c r="E14" s="118">
        <v>-0.060845019</v>
      </c>
      <c r="F14" s="154">
        <v>-0.043950593</v>
      </c>
      <c r="G14" s="160">
        <v>-0.011956708932075897</v>
      </c>
    </row>
    <row r="15" spans="1:7" ht="12.75">
      <c r="A15" s="140" t="s">
        <v>113</v>
      </c>
      <c r="B15" s="135">
        <v>-0.18721111000000001</v>
      </c>
      <c r="C15" s="119">
        <v>-0.18579198</v>
      </c>
      <c r="D15" s="119">
        <v>-0.16063266</v>
      </c>
      <c r="E15" s="119">
        <v>-0.17430648999999998</v>
      </c>
      <c r="F15" s="154">
        <v>-0.12853120999999998</v>
      </c>
      <c r="G15" s="160">
        <v>-0.16954107113425898</v>
      </c>
    </row>
    <row r="16" spans="1:7" ht="12.75">
      <c r="A16" s="140" t="s">
        <v>115</v>
      </c>
      <c r="B16" s="134">
        <v>-0.00286650918</v>
      </c>
      <c r="C16" s="118">
        <v>0.0024988502099999995</v>
      </c>
      <c r="D16" s="118">
        <v>-0.0078872635</v>
      </c>
      <c r="E16" s="118">
        <v>-0.000943323852</v>
      </c>
      <c r="F16" s="154">
        <v>-0.0006697056600000001</v>
      </c>
      <c r="G16" s="160">
        <v>-0.0020277985127641757</v>
      </c>
    </row>
    <row r="17" spans="1:7" ht="12.75">
      <c r="A17" s="140" t="s">
        <v>92</v>
      </c>
      <c r="B17" s="133">
        <v>-2.1356335</v>
      </c>
      <c r="C17" s="117">
        <v>1.1188292</v>
      </c>
      <c r="D17" s="117">
        <v>2.9626612000000003</v>
      </c>
      <c r="E17" s="117">
        <v>0.6455160400000001</v>
      </c>
      <c r="F17" s="155">
        <v>8.8957122</v>
      </c>
      <c r="G17" s="160">
        <v>2.01499886170474</v>
      </c>
    </row>
    <row r="18" spans="1:7" ht="12.75">
      <c r="A18" s="140" t="s">
        <v>94</v>
      </c>
      <c r="B18" s="134">
        <v>1.4634209000000002</v>
      </c>
      <c r="C18" s="118">
        <v>-1.6110568</v>
      </c>
      <c r="D18" s="119">
        <v>-2.7533902999999995</v>
      </c>
      <c r="E18" s="119">
        <v>-3.4921014000000006</v>
      </c>
      <c r="F18" s="154">
        <v>-2.1414178</v>
      </c>
      <c r="G18" s="161">
        <v>-1.9640010152984024</v>
      </c>
    </row>
    <row r="19" spans="1:7" ht="12.75">
      <c r="A19" s="140" t="s">
        <v>96</v>
      </c>
      <c r="B19" s="134">
        <v>-1.6130702</v>
      </c>
      <c r="C19" s="118">
        <v>-1.6539598000000002</v>
      </c>
      <c r="D19" s="118">
        <v>-0.9192404</v>
      </c>
      <c r="E19" s="118">
        <v>-1.6777622</v>
      </c>
      <c r="F19" s="153">
        <v>-7.0258043</v>
      </c>
      <c r="G19" s="161">
        <v>-2.193722321986328</v>
      </c>
    </row>
    <row r="20" spans="1:7" ht="12.75">
      <c r="A20" s="140" t="s">
        <v>98</v>
      </c>
      <c r="B20" s="133">
        <v>1.3644716000000001</v>
      </c>
      <c r="C20" s="117">
        <v>0.47166112</v>
      </c>
      <c r="D20" s="117">
        <v>-0.41244472000000004</v>
      </c>
      <c r="E20" s="117">
        <v>-0.20379326</v>
      </c>
      <c r="F20" s="155">
        <v>2.2896729999999996</v>
      </c>
      <c r="G20" s="160">
        <v>0.46829638190664247</v>
      </c>
    </row>
    <row r="21" spans="1:7" ht="12.75">
      <c r="A21" s="140" t="s">
        <v>100</v>
      </c>
      <c r="B21" s="134">
        <v>0.073263355</v>
      </c>
      <c r="C21" s="118">
        <v>0.37995210999999995</v>
      </c>
      <c r="D21" s="118">
        <v>-0.035336211</v>
      </c>
      <c r="E21" s="118">
        <v>-0.13817587800000003</v>
      </c>
      <c r="F21" s="153">
        <v>0.74784206</v>
      </c>
      <c r="G21" s="160">
        <v>0.16006941654234014</v>
      </c>
    </row>
    <row r="22" spans="1:7" ht="12.75">
      <c r="A22" s="140" t="s">
        <v>102</v>
      </c>
      <c r="B22" s="134">
        <v>-0.093893423</v>
      </c>
      <c r="C22" s="118">
        <v>-0.059291672</v>
      </c>
      <c r="D22" s="118">
        <v>-0.086754316</v>
      </c>
      <c r="E22" s="118">
        <v>-0.35435202</v>
      </c>
      <c r="F22" s="153">
        <v>-0.43760948000000005</v>
      </c>
      <c r="G22" s="160">
        <v>-0.19236563536219814</v>
      </c>
    </row>
    <row r="23" spans="1:7" ht="12.75">
      <c r="A23" s="140" t="s">
        <v>104</v>
      </c>
      <c r="B23" s="134">
        <v>0.23212726</v>
      </c>
      <c r="C23" s="118">
        <v>0.17008971</v>
      </c>
      <c r="D23" s="118">
        <v>0.106579673</v>
      </c>
      <c r="E23" s="118">
        <v>0.109411887</v>
      </c>
      <c r="F23" s="154">
        <v>0.32730692</v>
      </c>
      <c r="G23" s="160">
        <v>0.1701716623446258</v>
      </c>
    </row>
    <row r="24" spans="1:7" ht="12.75">
      <c r="A24" s="140" t="s">
        <v>106</v>
      </c>
      <c r="B24" s="133">
        <v>0.14752941000000003</v>
      </c>
      <c r="C24" s="117">
        <v>0.11908791999999999</v>
      </c>
      <c r="D24" s="117">
        <v>0.09708700300000002</v>
      </c>
      <c r="E24" s="117">
        <v>0.13506363</v>
      </c>
      <c r="F24" s="156">
        <v>0.22620423</v>
      </c>
      <c r="G24" s="160">
        <v>0.13604760771634625</v>
      </c>
    </row>
    <row r="25" spans="1:7" ht="12.75">
      <c r="A25" s="140" t="s">
        <v>108</v>
      </c>
      <c r="B25" s="134">
        <v>0.035762492066269996</v>
      </c>
      <c r="C25" s="118">
        <v>0.024557614</v>
      </c>
      <c r="D25" s="118">
        <v>0.00081127839</v>
      </c>
      <c r="E25" s="118">
        <v>0.019445777799999998</v>
      </c>
      <c r="F25" s="154">
        <v>0.035135355</v>
      </c>
      <c r="G25" s="160">
        <v>0.02064816309783317</v>
      </c>
    </row>
    <row r="26" spans="1:7" ht="12.75">
      <c r="A26" s="140" t="s">
        <v>110</v>
      </c>
      <c r="B26" s="134">
        <v>-0.110640446</v>
      </c>
      <c r="C26" s="118">
        <v>0.042223889</v>
      </c>
      <c r="D26" s="118">
        <v>-0.0083598913</v>
      </c>
      <c r="E26" s="118">
        <v>0.039676754999999994</v>
      </c>
      <c r="F26" s="154">
        <v>0.005185572999999999</v>
      </c>
      <c r="G26" s="160">
        <v>0.0023644389989548563</v>
      </c>
    </row>
    <row r="27" spans="1:7" ht="12.75">
      <c r="A27" s="140" t="s">
        <v>112</v>
      </c>
      <c r="B27" s="134">
        <v>0.11455742</v>
      </c>
      <c r="C27" s="118">
        <v>0.12189706999999998</v>
      </c>
      <c r="D27" s="118">
        <v>0.09048509099999999</v>
      </c>
      <c r="E27" s="118">
        <v>0.09925990300000001</v>
      </c>
      <c r="F27" s="154">
        <v>0.10042917199999998</v>
      </c>
      <c r="G27" s="161">
        <v>0.10496650972683971</v>
      </c>
    </row>
    <row r="28" spans="1:7" ht="12.75">
      <c r="A28" s="140" t="s">
        <v>114</v>
      </c>
      <c r="B28" s="134">
        <v>0.017866283</v>
      </c>
      <c r="C28" s="118">
        <v>0.0090168743</v>
      </c>
      <c r="D28" s="118">
        <v>0.017881396</v>
      </c>
      <c r="E28" s="118">
        <v>0.013370551999999999</v>
      </c>
      <c r="F28" s="154">
        <v>-0.026047550999999995</v>
      </c>
      <c r="G28" s="160">
        <v>0.008799953697690247</v>
      </c>
    </row>
    <row r="29" spans="1:7" ht="13.5" thickBot="1">
      <c r="A29" s="141" t="s">
        <v>116</v>
      </c>
      <c r="B29" s="136">
        <v>-0.0019406892400000001</v>
      </c>
      <c r="C29" s="120">
        <v>-0.004559117499999999</v>
      </c>
      <c r="D29" s="120">
        <v>0.006820946100000001</v>
      </c>
      <c r="E29" s="120">
        <v>0.00228968368</v>
      </c>
      <c r="F29" s="157">
        <v>0.005933599100000001</v>
      </c>
      <c r="G29" s="162">
        <v>0.0016056513192016888</v>
      </c>
    </row>
    <row r="30" spans="1:7" ht="13.5" thickTop="1">
      <c r="A30" s="142" t="s">
        <v>117</v>
      </c>
      <c r="B30" s="137">
        <v>0.18188227107929422</v>
      </c>
      <c r="C30" s="126">
        <v>0.3189654327904023</v>
      </c>
      <c r="D30" s="126">
        <v>0.3859840991345147</v>
      </c>
      <c r="E30" s="126">
        <v>0.3374198631902954</v>
      </c>
      <c r="F30" s="122">
        <v>0.3926910341578628</v>
      </c>
      <c r="G30" s="163" t="s">
        <v>128</v>
      </c>
    </row>
    <row r="31" spans="1:7" ht="13.5" thickBot="1">
      <c r="A31" s="143" t="s">
        <v>118</v>
      </c>
      <c r="B31" s="132">
        <v>21.896363</v>
      </c>
      <c r="C31" s="123">
        <v>22.158814</v>
      </c>
      <c r="D31" s="123">
        <v>22.424317</v>
      </c>
      <c r="E31" s="123">
        <v>22.686768</v>
      </c>
      <c r="F31" s="124">
        <v>22.940064</v>
      </c>
      <c r="G31" s="165">
        <v>-210.14</v>
      </c>
    </row>
    <row r="32" spans="1:7" ht="15.75" thickBot="1" thickTop="1">
      <c r="A32" s="144" t="s">
        <v>119</v>
      </c>
      <c r="B32" s="138">
        <v>0.3264999985694885</v>
      </c>
      <c r="C32" s="127">
        <v>-0.3004999980330467</v>
      </c>
      <c r="D32" s="127">
        <v>0.09300000220537186</v>
      </c>
      <c r="E32" s="127">
        <v>-0.1080000028014183</v>
      </c>
      <c r="F32" s="125">
        <v>0.1879999954253435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9" bestFit="1" customWidth="1"/>
    <col min="2" max="2" width="15.66015625" style="169" bestFit="1" customWidth="1"/>
    <col min="3" max="3" width="14.83203125" style="169" bestFit="1" customWidth="1"/>
    <col min="4" max="4" width="16" style="169" bestFit="1" customWidth="1"/>
    <col min="5" max="5" width="21.33203125" style="169" bestFit="1" customWidth="1"/>
    <col min="6" max="6" width="15.33203125" style="169" bestFit="1" customWidth="1"/>
    <col min="7" max="7" width="14.83203125" style="169" bestFit="1" customWidth="1"/>
    <col min="8" max="8" width="14.16015625" style="169" bestFit="1" customWidth="1"/>
    <col min="9" max="9" width="14.83203125" style="169" bestFit="1" customWidth="1"/>
    <col min="10" max="10" width="6.33203125" style="169" bestFit="1" customWidth="1"/>
    <col min="11" max="11" width="15" style="169" bestFit="1" customWidth="1"/>
    <col min="12" max="16384" width="10.66015625" style="169" customWidth="1"/>
  </cols>
  <sheetData>
    <row r="1" spans="1:5" ht="12.75">
      <c r="A1" s="169" t="s">
        <v>129</v>
      </c>
      <c r="B1" s="169" t="s">
        <v>130</v>
      </c>
      <c r="C1" s="169" t="s">
        <v>131</v>
      </c>
      <c r="D1" s="169" t="s">
        <v>132</v>
      </c>
      <c r="E1" s="169" t="s">
        <v>133</v>
      </c>
    </row>
    <row r="3" spans="1:7" ht="12.75">
      <c r="A3" s="169" t="s">
        <v>134</v>
      </c>
      <c r="B3" s="169" t="s">
        <v>84</v>
      </c>
      <c r="C3" s="169" t="s">
        <v>85</v>
      </c>
      <c r="D3" s="169" t="s">
        <v>86</v>
      </c>
      <c r="E3" s="169" t="s">
        <v>87</v>
      </c>
      <c r="F3" s="169" t="s">
        <v>88</v>
      </c>
      <c r="G3" s="169" t="s">
        <v>135</v>
      </c>
    </row>
    <row r="4" spans="1:7" ht="12.75">
      <c r="A4" s="169" t="s">
        <v>136</v>
      </c>
      <c r="B4" s="169">
        <v>0.002263</v>
      </c>
      <c r="C4" s="169">
        <v>0.00376</v>
      </c>
      <c r="D4" s="169">
        <v>0.00376</v>
      </c>
      <c r="E4" s="169">
        <v>0.00376</v>
      </c>
      <c r="F4" s="169">
        <v>0.002085</v>
      </c>
      <c r="G4" s="169">
        <v>0.01172</v>
      </c>
    </row>
    <row r="5" spans="1:7" ht="12.75">
      <c r="A5" s="169" t="s">
        <v>137</v>
      </c>
      <c r="B5" s="169">
        <v>2.709104</v>
      </c>
      <c r="C5" s="169">
        <v>-0.146078</v>
      </c>
      <c r="D5" s="169">
        <v>-0.796754</v>
      </c>
      <c r="E5" s="169">
        <v>-0.131292</v>
      </c>
      <c r="F5" s="169">
        <v>-1.010374</v>
      </c>
      <c r="G5" s="169">
        <v>-5.698639</v>
      </c>
    </row>
    <row r="6" spans="1:7" ht="12.75">
      <c r="A6" s="169" t="s">
        <v>138</v>
      </c>
      <c r="B6" s="170">
        <v>-226.2549</v>
      </c>
      <c r="C6" s="170">
        <v>241.4613</v>
      </c>
      <c r="D6" s="170">
        <v>2.443202</v>
      </c>
      <c r="E6" s="170">
        <v>285.4247</v>
      </c>
      <c r="F6" s="170">
        <v>23.10271</v>
      </c>
      <c r="G6" s="170">
        <v>721.7442</v>
      </c>
    </row>
    <row r="7" spans="1:7" ht="12.75">
      <c r="A7" s="169" t="s">
        <v>139</v>
      </c>
      <c r="B7" s="170">
        <v>10000</v>
      </c>
      <c r="C7" s="170">
        <v>10000</v>
      </c>
      <c r="D7" s="170">
        <v>10000</v>
      </c>
      <c r="E7" s="170">
        <v>10000</v>
      </c>
      <c r="F7" s="170">
        <v>10000</v>
      </c>
      <c r="G7" s="170">
        <v>10000</v>
      </c>
    </row>
    <row r="8" spans="1:7" ht="12.75">
      <c r="A8" s="169" t="s">
        <v>91</v>
      </c>
      <c r="B8" s="170">
        <v>0.08242884</v>
      </c>
      <c r="C8" s="170">
        <v>-1.333349</v>
      </c>
      <c r="D8" s="170">
        <v>-3.795967</v>
      </c>
      <c r="E8" s="170">
        <v>-1.69058</v>
      </c>
      <c r="F8" s="170">
        <v>-2.671542</v>
      </c>
      <c r="G8" s="170">
        <v>2.06796</v>
      </c>
    </row>
    <row r="9" spans="1:7" ht="12.75">
      <c r="A9" s="169" t="s">
        <v>93</v>
      </c>
      <c r="B9" s="170">
        <v>-0.1615618</v>
      </c>
      <c r="C9" s="170">
        <v>-0.6137794</v>
      </c>
      <c r="D9" s="170">
        <v>0.06072413</v>
      </c>
      <c r="E9" s="170">
        <v>-0.3406935</v>
      </c>
      <c r="F9" s="170">
        <v>-2.441939</v>
      </c>
      <c r="G9" s="170">
        <v>0.5642433</v>
      </c>
    </row>
    <row r="10" spans="1:7" ht="12.75">
      <c r="A10" s="169" t="s">
        <v>140</v>
      </c>
      <c r="B10" s="170">
        <v>0.412681</v>
      </c>
      <c r="C10" s="170">
        <v>0.9503894</v>
      </c>
      <c r="D10" s="170">
        <v>0.729884</v>
      </c>
      <c r="E10" s="170">
        <v>0.6759902</v>
      </c>
      <c r="F10" s="170">
        <v>0.9273901</v>
      </c>
      <c r="G10" s="170">
        <v>2.081966</v>
      </c>
    </row>
    <row r="11" spans="1:7" ht="12.75">
      <c r="A11" s="169" t="s">
        <v>97</v>
      </c>
      <c r="B11" s="170">
        <v>3.699483</v>
      </c>
      <c r="C11" s="170">
        <v>4.981986</v>
      </c>
      <c r="D11" s="170">
        <v>4.255886</v>
      </c>
      <c r="E11" s="170">
        <v>4.811829</v>
      </c>
      <c r="F11" s="170">
        <v>15.05102</v>
      </c>
      <c r="G11" s="170">
        <v>5.924164</v>
      </c>
    </row>
    <row r="12" spans="1:7" ht="12.75">
      <c r="A12" s="169" t="s">
        <v>99</v>
      </c>
      <c r="B12" s="170">
        <v>0.1720019</v>
      </c>
      <c r="C12" s="170">
        <v>-0.3443046</v>
      </c>
      <c r="D12" s="170">
        <v>0.003451652</v>
      </c>
      <c r="E12" s="170">
        <v>-0.1808591</v>
      </c>
      <c r="F12" s="170">
        <v>-0.333507</v>
      </c>
      <c r="G12" s="170">
        <v>0.1700465</v>
      </c>
    </row>
    <row r="13" spans="1:7" ht="12.75">
      <c r="A13" s="169" t="s">
        <v>101</v>
      </c>
      <c r="B13" s="170">
        <v>-0.01003992</v>
      </c>
      <c r="C13" s="170">
        <v>-0.07975405</v>
      </c>
      <c r="D13" s="170">
        <v>-0.06211612</v>
      </c>
      <c r="E13" s="170">
        <v>-0.05566658</v>
      </c>
      <c r="F13" s="170">
        <v>0.09264884</v>
      </c>
      <c r="G13" s="170">
        <v>0.03661662</v>
      </c>
    </row>
    <row r="14" spans="1:7" ht="12.75">
      <c r="A14" s="169" t="s">
        <v>103</v>
      </c>
      <c r="B14" s="170">
        <v>0.1989613</v>
      </c>
      <c r="C14" s="170">
        <v>0.05466282</v>
      </c>
      <c r="D14" s="170">
        <v>-0.05589834</v>
      </c>
      <c r="E14" s="170">
        <v>-0.02951239</v>
      </c>
      <c r="F14" s="170">
        <v>0.007690196</v>
      </c>
      <c r="G14" s="170">
        <v>-0.1664341</v>
      </c>
    </row>
    <row r="15" spans="1:7" ht="12.75">
      <c r="A15" s="169" t="s">
        <v>105</v>
      </c>
      <c r="B15" s="170">
        <v>-0.4325716</v>
      </c>
      <c r="C15" s="170">
        <v>-0.05489542</v>
      </c>
      <c r="D15" s="170">
        <v>-0.0914833</v>
      </c>
      <c r="E15" s="170">
        <v>-0.04529713</v>
      </c>
      <c r="F15" s="170">
        <v>-0.3927904</v>
      </c>
      <c r="G15" s="170">
        <v>-0.1611607</v>
      </c>
    </row>
    <row r="16" spans="1:7" ht="12.75">
      <c r="A16" s="169" t="s">
        <v>107</v>
      </c>
      <c r="B16" s="170">
        <v>-0.02793197</v>
      </c>
      <c r="C16" s="170">
        <v>-0.02268237</v>
      </c>
      <c r="D16" s="170">
        <v>0.04920892</v>
      </c>
      <c r="E16" s="170">
        <v>0.02318727</v>
      </c>
      <c r="F16" s="170">
        <v>0.01768286</v>
      </c>
      <c r="G16" s="170">
        <v>0.01212669</v>
      </c>
    </row>
    <row r="17" spans="1:7" ht="12.75">
      <c r="A17" s="169" t="s">
        <v>109</v>
      </c>
      <c r="B17" s="170">
        <v>0.06708579</v>
      </c>
      <c r="C17" s="170">
        <v>0.07811896</v>
      </c>
      <c r="D17" s="170">
        <v>0.03773343</v>
      </c>
      <c r="E17" s="170">
        <v>0.04407633</v>
      </c>
      <c r="F17" s="170">
        <v>0.0418153</v>
      </c>
      <c r="G17" s="170">
        <v>-0.05377121</v>
      </c>
    </row>
    <row r="18" spans="1:7" ht="12.75">
      <c r="A18" s="169" t="s">
        <v>141</v>
      </c>
      <c r="B18" s="170">
        <v>0.07140163</v>
      </c>
      <c r="C18" s="170">
        <v>-0.02880099</v>
      </c>
      <c r="D18" s="170">
        <v>0.009940931</v>
      </c>
      <c r="E18" s="170">
        <v>-0.04702495</v>
      </c>
      <c r="F18" s="170">
        <v>-0.04530123</v>
      </c>
      <c r="G18" s="170">
        <v>-0.1058552</v>
      </c>
    </row>
    <row r="19" spans="1:7" ht="12.75">
      <c r="A19" s="169" t="s">
        <v>113</v>
      </c>
      <c r="B19" s="170">
        <v>-0.1876844</v>
      </c>
      <c r="C19" s="170">
        <v>-0.1857585</v>
      </c>
      <c r="D19" s="170">
        <v>-0.1602634</v>
      </c>
      <c r="E19" s="170">
        <v>-0.1742614</v>
      </c>
      <c r="F19" s="170">
        <v>-0.128749</v>
      </c>
      <c r="G19" s="170">
        <v>-0.1695307</v>
      </c>
    </row>
    <row r="20" spans="1:7" ht="12.75">
      <c r="A20" s="169" t="s">
        <v>115</v>
      </c>
      <c r="B20" s="170">
        <v>-0.002810525</v>
      </c>
      <c r="C20" s="170">
        <v>0.00252258</v>
      </c>
      <c r="D20" s="170">
        <v>-0.007841488</v>
      </c>
      <c r="E20" s="170">
        <v>-0.0008540873</v>
      </c>
      <c r="F20" s="170">
        <v>-0.000624838</v>
      </c>
      <c r="G20" s="170">
        <v>0.001612483</v>
      </c>
    </row>
    <row r="21" spans="1:7" ht="12.75">
      <c r="A21" s="169" t="s">
        <v>142</v>
      </c>
      <c r="B21" s="170">
        <v>-731.847</v>
      </c>
      <c r="C21" s="170">
        <v>-685.4705</v>
      </c>
      <c r="D21" s="170">
        <v>-742.897</v>
      </c>
      <c r="E21" s="170">
        <v>-665.621</v>
      </c>
      <c r="F21" s="170">
        <v>-839.2333</v>
      </c>
      <c r="G21" s="170">
        <v>97.67158</v>
      </c>
    </row>
    <row r="22" spans="1:7" ht="12.75">
      <c r="A22" s="169" t="s">
        <v>143</v>
      </c>
      <c r="B22" s="170">
        <v>54.18261</v>
      </c>
      <c r="C22" s="170">
        <v>-2.92156</v>
      </c>
      <c r="D22" s="170">
        <v>-15.93509</v>
      </c>
      <c r="E22" s="170">
        <v>-2.625835</v>
      </c>
      <c r="F22" s="170">
        <v>-20.20751</v>
      </c>
      <c r="G22" s="170">
        <v>0</v>
      </c>
    </row>
    <row r="23" spans="1:7" ht="12.75">
      <c r="A23" s="169" t="s">
        <v>92</v>
      </c>
      <c r="B23" s="170">
        <v>-2.002377</v>
      </c>
      <c r="C23" s="170">
        <v>1.196122</v>
      </c>
      <c r="D23" s="170">
        <v>2.893557</v>
      </c>
      <c r="E23" s="170">
        <v>0.8456847</v>
      </c>
      <c r="F23" s="170">
        <v>8.771941</v>
      </c>
      <c r="G23" s="170">
        <v>1.985376</v>
      </c>
    </row>
    <row r="24" spans="1:7" ht="12.75">
      <c r="A24" s="169" t="s">
        <v>144</v>
      </c>
      <c r="B24" s="170">
        <v>1.271466</v>
      </c>
      <c r="C24" s="170">
        <v>-1.524993</v>
      </c>
      <c r="D24" s="170">
        <v>-2.779933</v>
      </c>
      <c r="E24" s="170">
        <v>-3.378558</v>
      </c>
      <c r="F24" s="170">
        <v>-2.270854</v>
      </c>
      <c r="G24" s="170">
        <v>1.967448</v>
      </c>
    </row>
    <row r="25" spans="1:7" ht="12.75">
      <c r="A25" s="169" t="s">
        <v>96</v>
      </c>
      <c r="B25" s="170">
        <v>-1.363756</v>
      </c>
      <c r="C25" s="170">
        <v>-1.778318</v>
      </c>
      <c r="D25" s="170">
        <v>-0.8965003</v>
      </c>
      <c r="E25" s="170">
        <v>-1.794508</v>
      </c>
      <c r="F25" s="170">
        <v>-6.064856</v>
      </c>
      <c r="G25" s="170">
        <v>0.7504119</v>
      </c>
    </row>
    <row r="26" spans="1:7" ht="12.75">
      <c r="A26" s="169" t="s">
        <v>98</v>
      </c>
      <c r="B26" s="170">
        <v>1.437772</v>
      </c>
      <c r="C26" s="170">
        <v>0.4442689</v>
      </c>
      <c r="D26" s="170">
        <v>-0.4351026</v>
      </c>
      <c r="E26" s="170">
        <v>-0.1870331</v>
      </c>
      <c r="F26" s="170">
        <v>2.206587</v>
      </c>
      <c r="G26" s="170">
        <v>0.4598543</v>
      </c>
    </row>
    <row r="27" spans="1:7" ht="12.75">
      <c r="A27" s="169" t="s">
        <v>100</v>
      </c>
      <c r="B27" s="170">
        <v>0.06432901</v>
      </c>
      <c r="C27" s="170">
        <v>0.3883529</v>
      </c>
      <c r="D27" s="170">
        <v>-0.04079906</v>
      </c>
      <c r="E27" s="170">
        <v>-0.08817343</v>
      </c>
      <c r="F27" s="170">
        <v>0.7368417</v>
      </c>
      <c r="G27" s="170">
        <v>0.145118</v>
      </c>
    </row>
    <row r="28" spans="1:7" ht="12.75">
      <c r="A28" s="169" t="s">
        <v>102</v>
      </c>
      <c r="B28" s="170">
        <v>-0.02957016</v>
      </c>
      <c r="C28" s="170">
        <v>-0.07928612</v>
      </c>
      <c r="D28" s="170">
        <v>-0.07947515</v>
      </c>
      <c r="E28" s="170">
        <v>-0.3678214</v>
      </c>
      <c r="F28" s="170">
        <v>-0.4207507</v>
      </c>
      <c r="G28" s="170">
        <v>0.1871043</v>
      </c>
    </row>
    <row r="29" spans="1:7" ht="12.75">
      <c r="A29" s="169" t="s">
        <v>104</v>
      </c>
      <c r="B29" s="170">
        <v>0.2768343</v>
      </c>
      <c r="C29" s="170">
        <v>0.1562841</v>
      </c>
      <c r="D29" s="170">
        <v>0.1132122</v>
      </c>
      <c r="E29" s="170">
        <v>0.08900434</v>
      </c>
      <c r="F29" s="170">
        <v>0.3005031</v>
      </c>
      <c r="G29" s="170">
        <v>0.02243621</v>
      </c>
    </row>
    <row r="30" spans="1:7" ht="12.75">
      <c r="A30" s="169" t="s">
        <v>106</v>
      </c>
      <c r="B30" s="170">
        <v>0.1442508</v>
      </c>
      <c r="C30" s="170">
        <v>0.1161842</v>
      </c>
      <c r="D30" s="170">
        <v>0.09922279</v>
      </c>
      <c r="E30" s="170">
        <v>0.1303185</v>
      </c>
      <c r="F30" s="170">
        <v>0.2350911</v>
      </c>
      <c r="G30" s="170">
        <v>0.1354312</v>
      </c>
    </row>
    <row r="31" spans="1:7" ht="12.75">
      <c r="A31" s="169" t="s">
        <v>108</v>
      </c>
      <c r="B31" s="170">
        <v>0.002042319</v>
      </c>
      <c r="C31" s="170">
        <v>0.01658923</v>
      </c>
      <c r="D31" s="170">
        <v>0.0002587255</v>
      </c>
      <c r="E31" s="170">
        <v>0.01051829</v>
      </c>
      <c r="F31" s="170">
        <v>0.03932208</v>
      </c>
      <c r="G31" s="170">
        <v>-0.01027513</v>
      </c>
    </row>
    <row r="32" spans="1:7" ht="12.75">
      <c r="A32" s="169" t="s">
        <v>110</v>
      </c>
      <c r="B32" s="170">
        <v>-0.06339085</v>
      </c>
      <c r="C32" s="170">
        <v>0.021751</v>
      </c>
      <c r="D32" s="170">
        <v>0.001546553</v>
      </c>
      <c r="E32" s="170">
        <v>0.02030253</v>
      </c>
      <c r="F32" s="170">
        <v>0.007007473</v>
      </c>
      <c r="G32" s="170">
        <v>-0.002246863</v>
      </c>
    </row>
    <row r="33" spans="1:7" ht="12.75">
      <c r="A33" s="169" t="s">
        <v>112</v>
      </c>
      <c r="B33" s="170">
        <v>0.1188436</v>
      </c>
      <c r="C33" s="170">
        <v>0.1241825</v>
      </c>
      <c r="D33" s="170">
        <v>0.08972751</v>
      </c>
      <c r="E33" s="170">
        <v>0.1023354</v>
      </c>
      <c r="F33" s="170">
        <v>0.09414051</v>
      </c>
      <c r="G33" s="170">
        <v>-0.01155787</v>
      </c>
    </row>
    <row r="34" spans="1:7" ht="12.75">
      <c r="A34" s="169" t="s">
        <v>114</v>
      </c>
      <c r="B34" s="170">
        <v>0.01064677</v>
      </c>
      <c r="C34" s="170">
        <v>0.009457374</v>
      </c>
      <c r="D34" s="170">
        <v>0.01972018</v>
      </c>
      <c r="E34" s="170">
        <v>0.01368301</v>
      </c>
      <c r="F34" s="170">
        <v>-0.02417438</v>
      </c>
      <c r="G34" s="170">
        <v>0.008625544</v>
      </c>
    </row>
    <row r="35" spans="1:7" ht="12.75">
      <c r="A35" s="169" t="s">
        <v>116</v>
      </c>
      <c r="B35" s="170">
        <v>-0.00205912</v>
      </c>
      <c r="C35" s="170">
        <v>-0.004561557</v>
      </c>
      <c r="D35" s="170">
        <v>0.006910835</v>
      </c>
      <c r="E35" s="170">
        <v>0.002298635</v>
      </c>
      <c r="F35" s="170">
        <v>0.005939342</v>
      </c>
      <c r="G35" s="170">
        <v>0.001975537</v>
      </c>
    </row>
    <row r="36" spans="1:6" ht="12.75">
      <c r="A36" s="169" t="s">
        <v>145</v>
      </c>
      <c r="B36" s="170">
        <v>22.94006</v>
      </c>
      <c r="C36" s="170">
        <v>22.94617</v>
      </c>
      <c r="D36" s="170">
        <v>22.96753</v>
      </c>
      <c r="E36" s="170">
        <v>22.97974</v>
      </c>
      <c r="F36" s="170">
        <v>22.995</v>
      </c>
    </row>
    <row r="37" spans="1:6" ht="12.75">
      <c r="A37" s="169" t="s">
        <v>146</v>
      </c>
      <c r="B37" s="170">
        <v>0.2176921</v>
      </c>
      <c r="C37" s="170">
        <v>0.1515706</v>
      </c>
      <c r="D37" s="170">
        <v>0.1195272</v>
      </c>
      <c r="E37" s="170">
        <v>0.08595785</v>
      </c>
      <c r="F37" s="170">
        <v>0.06001791</v>
      </c>
    </row>
    <row r="38" spans="1:7" ht="12.75">
      <c r="A38" s="169" t="s">
        <v>147</v>
      </c>
      <c r="B38" s="170">
        <v>0.000391363</v>
      </c>
      <c r="C38" s="170">
        <v>-0.0004108246</v>
      </c>
      <c r="D38" s="170">
        <v>0</v>
      </c>
      <c r="E38" s="170">
        <v>-0.0004855192</v>
      </c>
      <c r="F38" s="170">
        <v>-4.215743E-05</v>
      </c>
      <c r="G38" s="170">
        <v>-8.651461E-05</v>
      </c>
    </row>
    <row r="39" spans="1:7" ht="12.75">
      <c r="A39" s="169" t="s">
        <v>148</v>
      </c>
      <c r="B39" s="170">
        <v>0.001242019</v>
      </c>
      <c r="C39" s="170">
        <v>0.00116518</v>
      </c>
      <c r="D39" s="170">
        <v>0.001262915</v>
      </c>
      <c r="E39" s="170">
        <v>0.001131428</v>
      </c>
      <c r="F39" s="170">
        <v>0.001426611</v>
      </c>
      <c r="G39" s="170">
        <v>0.0006129952</v>
      </c>
    </row>
    <row r="40" spans="2:5" ht="12.75">
      <c r="B40" s="169" t="s">
        <v>149</v>
      </c>
      <c r="C40" s="169">
        <v>0.00376</v>
      </c>
      <c r="D40" s="169" t="s">
        <v>150</v>
      </c>
      <c r="E40" s="169">
        <v>3.116881</v>
      </c>
    </row>
    <row r="42" ht="12.75">
      <c r="A42" s="169" t="s">
        <v>151</v>
      </c>
    </row>
    <row r="50" spans="1:7" ht="12.75">
      <c r="A50" s="169" t="s">
        <v>152</v>
      </c>
      <c r="B50" s="169">
        <f>-0.017/(B7*B7+B22*B22)*(B21*B22+B6*B7)</f>
        <v>0.0003913629152414755</v>
      </c>
      <c r="C50" s="169">
        <f>-0.017/(C7*C7+C22*C22)*(C21*C22+C6*C7)</f>
        <v>-0.0004108246242769881</v>
      </c>
      <c r="D50" s="169">
        <f>-0.017/(D7*D7+D22*D22)*(D21*D22+D6*D7)</f>
        <v>-6.16590993755822E-06</v>
      </c>
      <c r="E50" s="169">
        <f>-0.017/(E7*E7+E22*E22)*(E21*E22+E6*E7)</f>
        <v>-0.0004855190843795642</v>
      </c>
      <c r="F50" s="169">
        <f>-0.017/(F7*F7+F22*F22)*(F21*F22+F6*F7)</f>
        <v>-4.215743345423153E-05</v>
      </c>
      <c r="G50" s="169">
        <f>(B50*B$4+C50*C$4+D50*D$4+E50*E$4+F50*F$4)/SUM(B$4:F$4)</f>
        <v>-0.00016609163920363893</v>
      </c>
    </row>
    <row r="51" spans="1:7" ht="12.75">
      <c r="A51" s="169" t="s">
        <v>153</v>
      </c>
      <c r="B51" s="169">
        <f>-0.017/(B7*B7+B22*B22)*(B21*B7-B6*B22)</f>
        <v>0.0012420193935795008</v>
      </c>
      <c r="C51" s="169">
        <f>-0.017/(C7*C7+C22*C22)*(C21*C7-C6*C22)</f>
        <v>0.0011651798251210697</v>
      </c>
      <c r="D51" s="169">
        <f>-0.017/(D7*D7+D22*D22)*(D21*D7-D6*D22)</f>
        <v>0.0012629150745670215</v>
      </c>
      <c r="E51" s="169">
        <f>-0.017/(E7*E7+E22*E22)*(E21*E7-E6*E22)</f>
        <v>0.0011314282106995072</v>
      </c>
      <c r="F51" s="169">
        <f>-0.017/(F7*F7+F22*F22)*(F21*F7-F6*F22)</f>
        <v>0.00142661142032419</v>
      </c>
      <c r="G51" s="169">
        <f>(B51*B$4+C51*C$4+D51*D$4+E51*E$4+F51*F$4)/SUM(B$4:F$4)</f>
        <v>0.0012265793187934296</v>
      </c>
    </row>
    <row r="58" ht="12.75">
      <c r="A58" s="169" t="s">
        <v>155</v>
      </c>
    </row>
    <row r="60" spans="2:6" ht="12.75">
      <c r="B60" s="169" t="s">
        <v>84</v>
      </c>
      <c r="C60" s="169" t="s">
        <v>85</v>
      </c>
      <c r="D60" s="169" t="s">
        <v>86</v>
      </c>
      <c r="E60" s="169" t="s">
        <v>87</v>
      </c>
      <c r="F60" s="169" t="s">
        <v>88</v>
      </c>
    </row>
    <row r="61" spans="1:6" ht="12.75">
      <c r="A61" s="169" t="s">
        <v>157</v>
      </c>
      <c r="B61" s="169">
        <f>B6+(1/0.017)*(B7*B50-B22*B51)</f>
        <v>0</v>
      </c>
      <c r="C61" s="169">
        <f>C6+(1/0.017)*(C7*C50-C22*C51)</f>
        <v>0</v>
      </c>
      <c r="D61" s="169">
        <f>D6+(1/0.017)*(D7*D50-D22*D51)</f>
        <v>0</v>
      </c>
      <c r="E61" s="169">
        <f>E6+(1/0.017)*(E7*E50-E22*E51)</f>
        <v>0</v>
      </c>
      <c r="F61" s="169">
        <f>F6+(1/0.017)*(F7*F50-F22*F51)</f>
        <v>0</v>
      </c>
    </row>
    <row r="62" spans="1:6" ht="12.75">
      <c r="A62" s="169" t="s">
        <v>160</v>
      </c>
      <c r="B62" s="169">
        <f>B7+(2/0.017)*(B8*B50-B23*B51)</f>
        <v>10000.296382430397</v>
      </c>
      <c r="C62" s="169">
        <f>C7+(2/0.017)*(C8*C50-C23*C51)</f>
        <v>9999.900479456373</v>
      </c>
      <c r="D62" s="169">
        <f>D7+(2/0.017)*(D8*D50-D23*D51)</f>
        <v>9999.572833980732</v>
      </c>
      <c r="E62" s="169">
        <f>E7+(2/0.017)*(E8*E50-E23*E51)</f>
        <v>9999.983997332556</v>
      </c>
      <c r="F62" s="169">
        <f>F7+(2/0.017)*(F8*F50-F23*F51)</f>
        <v>9998.540996958243</v>
      </c>
    </row>
    <row r="63" spans="1:6" ht="12.75">
      <c r="A63" s="169" t="s">
        <v>161</v>
      </c>
      <c r="B63" s="169">
        <f>B8+(3/0.017)*(B9*B50-B24*B51)</f>
        <v>-0.20740905305587298</v>
      </c>
      <c r="C63" s="169">
        <f>C8+(3/0.017)*(C9*C50-C24*C51)</f>
        <v>-0.9752819232156216</v>
      </c>
      <c r="D63" s="169">
        <f>D8+(3/0.017)*(D9*D50-D24*D51)</f>
        <v>-3.1764767283876987</v>
      </c>
      <c r="E63" s="169">
        <f>E8+(3/0.017)*(E9*E50-E24*E51)</f>
        <v>-0.9868137007896634</v>
      </c>
      <c r="F63" s="169">
        <f>F8+(3/0.017)*(F9*F50-F24*F51)</f>
        <v>-2.081676329791648</v>
      </c>
    </row>
    <row r="64" spans="1:6" ht="12.75">
      <c r="A64" s="169" t="s">
        <v>162</v>
      </c>
      <c r="B64" s="169">
        <f>B9+(4/0.017)*(B10*B50-B25*B51)</f>
        <v>0.27498395043180546</v>
      </c>
      <c r="C64" s="169">
        <f>C9+(4/0.017)*(C10*C50-C25*C51)</f>
        <v>-0.21810483809933684</v>
      </c>
      <c r="D64" s="169">
        <f>D9+(4/0.017)*(D10*D50-D25*D51)</f>
        <v>0.3260660933447041</v>
      </c>
      <c r="E64" s="169">
        <f>E9+(4/0.017)*(E10*E50-E25*E51)</f>
        <v>0.05981257825232772</v>
      </c>
      <c r="F64" s="169">
        <f>F9+(4/0.017)*(F10*F50-F25*F51)</f>
        <v>-0.41532807157768925</v>
      </c>
    </row>
    <row r="65" spans="1:6" ht="12.75">
      <c r="A65" s="169" t="s">
        <v>163</v>
      </c>
      <c r="B65" s="169">
        <f>B10+(5/0.017)*(B11*B50-B26*B51)</f>
        <v>0.3132985718296157</v>
      </c>
      <c r="C65" s="169">
        <f>C10+(5/0.017)*(C11*C50-C26*C51)</f>
        <v>0.196161257114134</v>
      </c>
      <c r="D65" s="169">
        <f>D10+(5/0.017)*(D11*D50-D26*D51)</f>
        <v>0.883782889041997</v>
      </c>
      <c r="E65" s="169">
        <f>E10+(5/0.017)*(E11*E50-E26*E51)</f>
        <v>0.051101881001043514</v>
      </c>
      <c r="F65" s="169">
        <f>F10+(5/0.017)*(F11*F50-F26*F51)</f>
        <v>-0.18509654359035332</v>
      </c>
    </row>
    <row r="66" spans="1:6" ht="12.75">
      <c r="A66" s="169" t="s">
        <v>164</v>
      </c>
      <c r="B66" s="169">
        <f>B11+(6/0.017)*(B12*B50-B27*B51)</f>
        <v>3.6950420424781067</v>
      </c>
      <c r="C66" s="169">
        <f>C11+(6/0.017)*(C12*C50-C27*C51)</f>
        <v>4.872202886055733</v>
      </c>
      <c r="D66" s="169">
        <f>D11+(6/0.017)*(D12*D50-D27*D51)</f>
        <v>4.274064046585928</v>
      </c>
      <c r="E66" s="169">
        <f>E11+(6/0.017)*(E12*E50-E27*E51)</f>
        <v>4.878031041448183</v>
      </c>
      <c r="F66" s="169">
        <f>F11+(6/0.017)*(F12*F50-F27*F51)</f>
        <v>14.684975181753387</v>
      </c>
    </row>
    <row r="67" spans="1:6" ht="12.75">
      <c r="A67" s="169" t="s">
        <v>165</v>
      </c>
      <c r="B67" s="169">
        <f>B12+(7/0.017)*(B13*B50-B28*B51)</f>
        <v>0.1855067364011061</v>
      </c>
      <c r="C67" s="169">
        <f>C12+(7/0.017)*(C13*C50-C28*C51)</f>
        <v>-0.2927732702686104</v>
      </c>
      <c r="D67" s="169">
        <f>D12+(7/0.017)*(D13*D50-D28*D51)</f>
        <v>0.04493833269002708</v>
      </c>
      <c r="E67" s="169">
        <f>E12+(7/0.017)*(E13*E50-E28*E51)</f>
        <v>0.0016311863457592057</v>
      </c>
      <c r="F67" s="169">
        <f>F12+(7/0.017)*(F13*F50-F28*F51)</f>
        <v>-0.0879544461789766</v>
      </c>
    </row>
    <row r="68" spans="1:6" ht="12.75">
      <c r="A68" s="169" t="s">
        <v>166</v>
      </c>
      <c r="B68" s="169">
        <f>B13+(8/0.017)*(B14*B50-B29*B51)</f>
        <v>-0.13520109412695144</v>
      </c>
      <c r="C68" s="169">
        <f>C13+(8/0.017)*(C14*C50-C29*C51)</f>
        <v>-0.17601565602147032</v>
      </c>
      <c r="D68" s="169">
        <f>D13+(8/0.017)*(D14*D50-D29*D51)</f>
        <v>-0.12923740464696354</v>
      </c>
      <c r="E68" s="169">
        <f>E13+(8/0.017)*(E14*E50-E29*E51)</f>
        <v>-0.09631278827295904</v>
      </c>
      <c r="F68" s="169">
        <f>F13+(8/0.017)*(F14*F50-F29*F51)</f>
        <v>-0.10924544387244338</v>
      </c>
    </row>
    <row r="69" spans="1:6" ht="12.75">
      <c r="A69" s="169" t="s">
        <v>167</v>
      </c>
      <c r="B69" s="169">
        <f>B14+(9/0.017)*(B15*B50-B30*B51)</f>
        <v>0.014485243406220843</v>
      </c>
      <c r="C69" s="169">
        <f>C14+(9/0.017)*(C15*C50-C30*C51)</f>
        <v>-0.0050670541103667865</v>
      </c>
      <c r="D69" s="169">
        <f>D14+(9/0.017)*(D15*D50-D30*D51)</f>
        <v>-0.12194027617570974</v>
      </c>
      <c r="E69" s="169">
        <f>E14+(9/0.017)*(E15*E50-E30*E51)</f>
        <v>-0.09592889916122323</v>
      </c>
      <c r="F69" s="169">
        <f>F14+(9/0.017)*(F15*F50-F30*F51)</f>
        <v>-0.16109930496141392</v>
      </c>
    </row>
    <row r="70" spans="1:6" ht="12.75">
      <c r="A70" s="169" t="s">
        <v>168</v>
      </c>
      <c r="B70" s="169">
        <f>B15+(10/0.017)*(B16*B50-B31*B51)</f>
        <v>-0.4404940335373608</v>
      </c>
      <c r="C70" s="169">
        <f>C15+(10/0.017)*(C16*C50-C31*C51)</f>
        <v>-0.06078421998666563</v>
      </c>
      <c r="D70" s="169">
        <f>D15+(10/0.017)*(D16*D50-D31*D51)</f>
        <v>-0.09185398594292318</v>
      </c>
      <c r="E70" s="169">
        <f>E15+(10/0.017)*(E16*E50-E31*E51)</f>
        <v>-0.058919807725870736</v>
      </c>
      <c r="F70" s="169">
        <f>F15+(10/0.017)*(F16*F50-F31*F51)</f>
        <v>-0.42622733670154817</v>
      </c>
    </row>
    <row r="71" spans="1:6" ht="12.75">
      <c r="A71" s="169" t="s">
        <v>169</v>
      </c>
      <c r="B71" s="169">
        <f>B16+(11/0.017)*(B17*B50-B32*B51)</f>
        <v>0.04000115409604893</v>
      </c>
      <c r="C71" s="169">
        <f>C16+(11/0.017)*(C17*C50-C32*C51)</f>
        <v>-0.05984749979048776</v>
      </c>
      <c r="D71" s="169">
        <f>D16+(11/0.017)*(D17*D50-D32*D51)</f>
        <v>0.047794561981667524</v>
      </c>
      <c r="E71" s="169">
        <f>E16+(11/0.017)*(E17*E50-E32*E51)</f>
        <v>-0.005523218254401784</v>
      </c>
      <c r="F71" s="169">
        <f>F16+(11/0.017)*(F17*F50-F32*F51)</f>
        <v>0.010073599170479204</v>
      </c>
    </row>
    <row r="72" spans="1:6" ht="12.75">
      <c r="A72" s="169" t="s">
        <v>170</v>
      </c>
      <c r="B72" s="169">
        <f>B17+(12/0.017)*(B18*B50-B33*B51)</f>
        <v>-0.017381578893890512</v>
      </c>
      <c r="C72" s="169">
        <f>C17+(12/0.017)*(C18*C50-C33*C51)</f>
        <v>-0.015666537226500202</v>
      </c>
      <c r="D72" s="169">
        <f>D17+(12/0.017)*(D18*D50-D33*D51)</f>
        <v>-0.04229917225948562</v>
      </c>
      <c r="E72" s="169">
        <f>E17+(12/0.017)*(E18*E50-E33*E51)</f>
        <v>-0.02153800965615782</v>
      </c>
      <c r="F72" s="169">
        <f>F17+(12/0.017)*(F18*F50-F33*F51)</f>
        <v>-0.05163797747672266</v>
      </c>
    </row>
    <row r="73" spans="1:6" ht="12.75">
      <c r="A73" s="169" t="s">
        <v>171</v>
      </c>
      <c r="B73" s="169">
        <f>B18+(13/0.017)*(B19*B50-B34*B51)</f>
        <v>0.005119823310102425</v>
      </c>
      <c r="C73" s="169">
        <f>C18+(13/0.017)*(C19*C50-C34*C51)</f>
        <v>0.021130193506430604</v>
      </c>
      <c r="D73" s="169">
        <f>D18+(13/0.017)*(D19*D50-D34*D51)</f>
        <v>-0.008348342985785105</v>
      </c>
      <c r="E73" s="169">
        <f>E18+(13/0.017)*(E19*E50-E34*E51)</f>
        <v>0.0058360261201428135</v>
      </c>
      <c r="F73" s="169">
        <f>F18+(13/0.017)*(F19*F50-F34*F51)</f>
        <v>-0.014777861656957523</v>
      </c>
    </row>
    <row r="74" spans="1:6" ht="12.75">
      <c r="A74" s="169" t="s">
        <v>172</v>
      </c>
      <c r="B74" s="169">
        <f>B19+(14/0.017)*(B20*B50-B35*B51)</f>
        <v>-0.1864840797630072</v>
      </c>
      <c r="C74" s="169">
        <f>C19+(14/0.017)*(C20*C50-C35*C51)</f>
        <v>-0.18223486782966847</v>
      </c>
      <c r="D74" s="169">
        <f>D19+(14/0.017)*(D20*D50-D35*D51)</f>
        <v>-0.16741118053340312</v>
      </c>
      <c r="E74" s="169">
        <f>E19+(14/0.017)*(E20*E50-E35*E51)</f>
        <v>-0.1760616886598324</v>
      </c>
      <c r="F74" s="169">
        <f>F19+(14/0.017)*(F20*F50-F35*F51)</f>
        <v>-0.13570518128471118</v>
      </c>
    </row>
    <row r="75" spans="1:6" ht="12.75">
      <c r="A75" s="169" t="s">
        <v>173</v>
      </c>
      <c r="B75" s="170">
        <f>B20</f>
        <v>-0.002810525</v>
      </c>
      <c r="C75" s="170">
        <f>C20</f>
        <v>0.00252258</v>
      </c>
      <c r="D75" s="170">
        <f>D20</f>
        <v>-0.007841488</v>
      </c>
      <c r="E75" s="170">
        <f>E20</f>
        <v>-0.0008540873</v>
      </c>
      <c r="F75" s="170">
        <f>F20</f>
        <v>-0.000624838</v>
      </c>
    </row>
    <row r="78" ht="12.75">
      <c r="A78" s="169" t="s">
        <v>155</v>
      </c>
    </row>
    <row r="80" spans="2:6" ht="12.75">
      <c r="B80" s="169" t="s">
        <v>84</v>
      </c>
      <c r="C80" s="169" t="s">
        <v>85</v>
      </c>
      <c r="D80" s="169" t="s">
        <v>86</v>
      </c>
      <c r="E80" s="169" t="s">
        <v>87</v>
      </c>
      <c r="F80" s="169" t="s">
        <v>88</v>
      </c>
    </row>
    <row r="81" spans="1:6" ht="12.75">
      <c r="A81" s="169" t="s">
        <v>174</v>
      </c>
      <c r="B81" s="169">
        <f>B21+(1/0.017)*(B7*B51+B22*B50)</f>
        <v>0</v>
      </c>
      <c r="C81" s="169">
        <f>C21+(1/0.017)*(C7*C51+C22*C50)</f>
        <v>0</v>
      </c>
      <c r="D81" s="169">
        <f>D21+(1/0.017)*(D7*D51+D22*D50)</f>
        <v>0</v>
      </c>
      <c r="E81" s="169">
        <f>E21+(1/0.017)*(E7*E51+E22*E50)</f>
        <v>0</v>
      </c>
      <c r="F81" s="169">
        <f>F21+(1/0.017)*(F7*F51+F22*F50)</f>
        <v>0</v>
      </c>
    </row>
    <row r="82" spans="1:6" ht="12.75">
      <c r="A82" s="169" t="s">
        <v>175</v>
      </c>
      <c r="B82" s="169">
        <f>B22+(2/0.017)*(B8*B51+B23*B50)</f>
        <v>54.10245966091033</v>
      </c>
      <c r="C82" s="169">
        <f>C22+(2/0.017)*(C8*C51+C23*C50)</f>
        <v>-3.1621467912805636</v>
      </c>
      <c r="D82" s="169">
        <f>D22+(2/0.017)*(D8*D51+D23*D50)</f>
        <v>-16.5011871010259</v>
      </c>
      <c r="E82" s="169">
        <f>E22+(2/0.017)*(E8*E51+E23*E50)</f>
        <v>-2.8991721724308444</v>
      </c>
      <c r="F82" s="169">
        <f>F22+(2/0.017)*(F8*F51+F23*F50)</f>
        <v>-20.699398805417374</v>
      </c>
    </row>
    <row r="83" spans="1:6" ht="12.75">
      <c r="A83" s="169" t="s">
        <v>176</v>
      </c>
      <c r="B83" s="169">
        <f>B23+(3/0.017)*(B9*B51+B24*B50)</f>
        <v>-1.9499755144360933</v>
      </c>
      <c r="C83" s="169">
        <f>C23+(3/0.017)*(C9*C51+C24*C50)</f>
        <v>1.1804763474638449</v>
      </c>
      <c r="D83" s="169">
        <f>D23+(3/0.017)*(D9*D51+D24*D50)</f>
        <v>2.9101152768842495</v>
      </c>
      <c r="E83" s="169">
        <f>E23+(3/0.017)*(E9*E51+E24*E50)</f>
        <v>1.0671348440437587</v>
      </c>
      <c r="F83" s="169">
        <f>F23+(3/0.017)*(F9*F51+F24*F50)</f>
        <v>8.174064878456631</v>
      </c>
    </row>
    <row r="84" spans="1:6" ht="12.75">
      <c r="A84" s="169" t="s">
        <v>177</v>
      </c>
      <c r="B84" s="169">
        <f>B24+(4/0.017)*(B10*B51+B25*B50)</f>
        <v>1.2664858309467595</v>
      </c>
      <c r="C84" s="169">
        <f>C24+(4/0.017)*(C10*C51+C25*C50)</f>
        <v>-1.0925338519802534</v>
      </c>
      <c r="D84" s="169">
        <f>D24+(4/0.017)*(D10*D51+D25*D50)</f>
        <v>-2.5617425890837486</v>
      </c>
      <c r="E84" s="169">
        <f>E24+(4/0.017)*(E10*E51+E25*E50)</f>
        <v>-2.993592761527481</v>
      </c>
      <c r="F84" s="169">
        <f>F24+(4/0.017)*(F10*F51+F25*F50)</f>
        <v>-1.8993942185917436</v>
      </c>
    </row>
    <row r="85" spans="1:6" ht="12.75">
      <c r="A85" s="169" t="s">
        <v>178</v>
      </c>
      <c r="B85" s="169">
        <f>B25+(5/0.017)*(B11*B51+B26*B50)</f>
        <v>0.1531617275265409</v>
      </c>
      <c r="C85" s="169">
        <f>C25+(5/0.017)*(C11*C51+C26*C50)</f>
        <v>-0.12467300814259796</v>
      </c>
      <c r="D85" s="169">
        <f>D25+(5/0.017)*(D11*D51+D26*D50)</f>
        <v>0.6851189319070412</v>
      </c>
      <c r="E85" s="169">
        <f>E25+(5/0.017)*(E11*E51+E26*E50)</f>
        <v>-0.16655293672862626</v>
      </c>
      <c r="F85" s="169">
        <f>F25+(5/0.017)*(F11*F51+F26*F50)</f>
        <v>0.22306546321009435</v>
      </c>
    </row>
    <row r="86" spans="1:6" ht="12.75">
      <c r="A86" s="169" t="s">
        <v>179</v>
      </c>
      <c r="B86" s="169">
        <f>B26+(6/0.017)*(B12*B51+B27*B50)</f>
        <v>1.522056359207313</v>
      </c>
      <c r="C86" s="169">
        <f>C26+(6/0.017)*(C12*C51+C27*C50)</f>
        <v>0.24636712076032052</v>
      </c>
      <c r="D86" s="169">
        <f>D26+(6/0.017)*(D12*D51+D27*D50)</f>
        <v>-0.4334752917626624</v>
      </c>
      <c r="E86" s="169">
        <f>E26+(6/0.017)*(E12*E51+E27*E50)</f>
        <v>-0.2441457605534768</v>
      </c>
      <c r="F86" s="169">
        <f>F26+(6/0.017)*(F12*F51+F27*F50)</f>
        <v>2.027699382391019</v>
      </c>
    </row>
    <row r="87" spans="1:6" ht="12.75">
      <c r="A87" s="169" t="s">
        <v>180</v>
      </c>
      <c r="B87" s="169">
        <f>B27+(7/0.017)*(B13*B51+B28*B50)</f>
        <v>0.05442918202339971</v>
      </c>
      <c r="C87" s="169">
        <f>C27+(7/0.017)*(C13*C51+C28*C50)</f>
        <v>0.3635007919408107</v>
      </c>
      <c r="D87" s="169">
        <f>D27+(7/0.017)*(D13*D51+D28*D50)</f>
        <v>-0.07289914434888711</v>
      </c>
      <c r="E87" s="169">
        <f>E27+(7/0.017)*(E13*E51+E28*E50)</f>
        <v>-0.040572783390215326</v>
      </c>
      <c r="F87" s="169">
        <f>F27+(7/0.017)*(F13*F51+F28*F50)</f>
        <v>0.7985700317658248</v>
      </c>
    </row>
    <row r="88" spans="1:6" ht="12.75">
      <c r="A88" s="169" t="s">
        <v>181</v>
      </c>
      <c r="B88" s="169">
        <f>B28+(8/0.017)*(B14*B51+B29*B50)</f>
        <v>0.13770347381582226</v>
      </c>
      <c r="C88" s="169">
        <f>C28+(8/0.017)*(C14*C51+C29*C50)</f>
        <v>-0.07952769252458482</v>
      </c>
      <c r="D88" s="169">
        <f>D28+(8/0.017)*(D14*D51+D29*D50)</f>
        <v>-0.113024755862732</v>
      </c>
      <c r="E88" s="169">
        <f>E28+(8/0.017)*(E14*E51+E29*E50)</f>
        <v>-0.4038705558935405</v>
      </c>
      <c r="F88" s="169">
        <f>F28+(8/0.017)*(F14*F51+F29*F50)</f>
        <v>-0.42154953200136885</v>
      </c>
    </row>
    <row r="89" spans="1:6" ht="12.75">
      <c r="A89" s="169" t="s">
        <v>182</v>
      </c>
      <c r="B89" s="169">
        <f>B29+(9/0.017)*(B15*B51+B30*B50)</f>
        <v>0.02228893974822388</v>
      </c>
      <c r="C89" s="169">
        <f>C29+(9/0.017)*(C15*C51+C30*C50)</f>
        <v>0.09715178848898642</v>
      </c>
      <c r="D89" s="169">
        <f>D29+(9/0.017)*(D15*D51+D30*D50)</f>
        <v>0.05172238018516035</v>
      </c>
      <c r="E89" s="169">
        <f>E29+(9/0.017)*(E15*E51+E30*E50)</f>
        <v>0.028374744359354664</v>
      </c>
      <c r="F89" s="169">
        <f>F29+(9/0.017)*(F15*F51+F30*F50)</f>
        <v>-0.0014046041493381844</v>
      </c>
    </row>
    <row r="90" spans="1:6" ht="12.75">
      <c r="A90" s="169" t="s">
        <v>183</v>
      </c>
      <c r="B90" s="169">
        <f>B30+(10/0.017)*(B16*B51+B31*B50)</f>
        <v>0.12431388204518369</v>
      </c>
      <c r="C90" s="169">
        <f>C30+(10/0.017)*(C16*C51+C31*C50)</f>
        <v>0.0966287270048671</v>
      </c>
      <c r="D90" s="169">
        <f>D30+(10/0.017)*(D16*D51+D31*D50)</f>
        <v>0.13577872623119475</v>
      </c>
      <c r="E90" s="169">
        <f>E30+(10/0.017)*(E16*E51+E31*E50)</f>
        <v>0.1427466769865104</v>
      </c>
      <c r="F90" s="169">
        <f>F30+(10/0.017)*(F16*F51+F31*F50)</f>
        <v>0.2489551306171246</v>
      </c>
    </row>
    <row r="91" spans="1:6" ht="12.75">
      <c r="A91" s="169" t="s">
        <v>184</v>
      </c>
      <c r="B91" s="169">
        <f>B31+(11/0.017)*(B17*B51+B32*B50)</f>
        <v>0.039903687702213725</v>
      </c>
      <c r="C91" s="169">
        <f>C31+(11/0.017)*(C17*C51+C32*C50)</f>
        <v>0.06970421160215892</v>
      </c>
      <c r="D91" s="169">
        <f>D31+(11/0.017)*(D17*D51+D32*D50)</f>
        <v>0.031087572453628594</v>
      </c>
      <c r="E91" s="169">
        <f>E31+(11/0.017)*(E17*E51+E32*E50)</f>
        <v>0.036408367147590354</v>
      </c>
      <c r="F91" s="169">
        <f>F31+(11/0.017)*(F17*F51+F32*F50)</f>
        <v>0.07773069423080148</v>
      </c>
    </row>
    <row r="92" spans="1:6" ht="12.75">
      <c r="A92" s="169" t="s">
        <v>185</v>
      </c>
      <c r="B92" s="169">
        <f>B32+(12/0.017)*(B18*B51+B33*B50)</f>
        <v>0.032039634903750364</v>
      </c>
      <c r="C92" s="169">
        <f>C32+(12/0.017)*(C18*C51+C33*C50)</f>
        <v>-0.03794939627938171</v>
      </c>
      <c r="D92" s="169">
        <f>D32+(12/0.017)*(D18*D51+D33*D50)</f>
        <v>0.010018058790270068</v>
      </c>
      <c r="E92" s="169">
        <f>E32+(12/0.017)*(E18*E51+E33*E50)</f>
        <v>-0.05232651334895312</v>
      </c>
      <c r="F92" s="169">
        <f>F32+(12/0.017)*(F18*F51+F33*F50)</f>
        <v>-0.04141321478240369</v>
      </c>
    </row>
    <row r="93" spans="1:6" ht="12.75">
      <c r="A93" s="169" t="s">
        <v>186</v>
      </c>
      <c r="B93" s="169">
        <f>B33+(13/0.017)*(B19*B51+B34*B50)</f>
        <v>-0.05622886343846767</v>
      </c>
      <c r="C93" s="169">
        <f>C33+(13/0.017)*(C19*C51+C34*C50)</f>
        <v>-0.04430314250849052</v>
      </c>
      <c r="D93" s="169">
        <f>D33+(13/0.017)*(D19*D51+D34*D50)</f>
        <v>-0.06514122741162108</v>
      </c>
      <c r="E93" s="169">
        <f>E33+(13/0.017)*(E19*E51+E34*E50)</f>
        <v>-0.05351749083974809</v>
      </c>
      <c r="F93" s="169">
        <f>F33+(13/0.017)*(F19*F51+F34*F50)</f>
        <v>-0.04553735065936672</v>
      </c>
    </row>
    <row r="94" spans="1:6" ht="12.75">
      <c r="A94" s="169" t="s">
        <v>187</v>
      </c>
      <c r="B94" s="169">
        <f>B34+(14/0.017)*(B20*B51+B35*B50)</f>
        <v>0.007108401960564191</v>
      </c>
      <c r="C94" s="169">
        <f>C34+(14/0.017)*(C20*C51+C35*C50)</f>
        <v>0.013421234570268094</v>
      </c>
      <c r="D94" s="169">
        <f>D34+(14/0.017)*(D20*D51+D35*D50)</f>
        <v>0.011529566480108458</v>
      </c>
      <c r="E94" s="169">
        <f>E34+(14/0.017)*(E20*E51+E35*E50)</f>
        <v>0.01196811736670577</v>
      </c>
      <c r="F94" s="169">
        <f>F34+(14/0.017)*(F20*F51+F35*F50)</f>
        <v>-0.025114676363818367</v>
      </c>
    </row>
    <row r="95" spans="1:6" ht="12.75">
      <c r="A95" s="169" t="s">
        <v>188</v>
      </c>
      <c r="B95" s="170">
        <f>B35</f>
        <v>-0.00205912</v>
      </c>
      <c r="C95" s="170">
        <f>C35</f>
        <v>-0.004561557</v>
      </c>
      <c r="D95" s="170">
        <f>D35</f>
        <v>0.006910835</v>
      </c>
      <c r="E95" s="170">
        <f>E35</f>
        <v>0.002298635</v>
      </c>
      <c r="F95" s="170">
        <f>F35</f>
        <v>0.005939342</v>
      </c>
    </row>
    <row r="98" ht="12.75">
      <c r="A98" s="169" t="s">
        <v>156</v>
      </c>
    </row>
    <row r="100" spans="2:11" ht="12.75">
      <c r="B100" s="169" t="s">
        <v>84</v>
      </c>
      <c r="C100" s="169" t="s">
        <v>85</v>
      </c>
      <c r="D100" s="169" t="s">
        <v>86</v>
      </c>
      <c r="E100" s="169" t="s">
        <v>87</v>
      </c>
      <c r="F100" s="169" t="s">
        <v>88</v>
      </c>
      <c r="G100" s="169" t="s">
        <v>158</v>
      </c>
      <c r="H100" s="169" t="s">
        <v>159</v>
      </c>
      <c r="I100" s="169" t="s">
        <v>154</v>
      </c>
      <c r="K100" s="169" t="s">
        <v>189</v>
      </c>
    </row>
    <row r="101" spans="1:9" ht="12.75">
      <c r="A101" s="169" t="s">
        <v>157</v>
      </c>
      <c r="B101" s="169">
        <f>B61*10000/B62</f>
        <v>0</v>
      </c>
      <c r="C101" s="169">
        <f>C61*10000/C62</f>
        <v>0</v>
      </c>
      <c r="D101" s="169">
        <f>D61*10000/D62</f>
        <v>0</v>
      </c>
      <c r="E101" s="169">
        <f>E61*10000/E62</f>
        <v>0</v>
      </c>
      <c r="F101" s="169">
        <f>F61*10000/F62</f>
        <v>0</v>
      </c>
      <c r="G101" s="169">
        <f>AVERAGE(C101:E101)</f>
        <v>0</v>
      </c>
      <c r="H101" s="169">
        <f>STDEV(C101:E101)</f>
        <v>0</v>
      </c>
      <c r="I101" s="169">
        <f>(B101*B4+C101*C4+D101*D4+E101*E4+F101*F4)/SUM(B4:F4)</f>
        <v>0</v>
      </c>
    </row>
    <row r="102" spans="1:9" ht="12.75">
      <c r="A102" s="169" t="s">
        <v>160</v>
      </c>
      <c r="B102" s="169">
        <f>B62*10000/B62</f>
        <v>10000</v>
      </c>
      <c r="C102" s="169">
        <f>C62*10000/C62</f>
        <v>10000</v>
      </c>
      <c r="D102" s="169">
        <f>D62*10000/D62</f>
        <v>10000</v>
      </c>
      <c r="E102" s="169">
        <f>E62*10000/E62</f>
        <v>10000</v>
      </c>
      <c r="F102" s="169">
        <f>F62*10000/F62</f>
        <v>10000</v>
      </c>
      <c r="G102" s="169">
        <f>AVERAGE(C102:E102)</f>
        <v>10000</v>
      </c>
      <c r="H102" s="169">
        <f>STDEV(C102:E102)</f>
        <v>0</v>
      </c>
      <c r="I102" s="169">
        <f>(B102*B4+C102*C4+D102*D4+E102*E4+F102*F4)/SUM(B4:F4)</f>
        <v>10000</v>
      </c>
    </row>
    <row r="103" spans="1:11" ht="12.75">
      <c r="A103" s="169" t="s">
        <v>161</v>
      </c>
      <c r="B103" s="169">
        <f>B63*10000/B62</f>
        <v>-0.20740290599813788</v>
      </c>
      <c r="C103" s="169">
        <f>C63*10000/C62</f>
        <v>-0.9752916293709366</v>
      </c>
      <c r="D103" s="169">
        <f>D63*10000/D62</f>
        <v>-3.1766124224760253</v>
      </c>
      <c r="E103" s="169">
        <f>E63*10000/E62</f>
        <v>-0.9868152799573388</v>
      </c>
      <c r="F103" s="169">
        <f>F63*10000/F62</f>
        <v>-2.0819800913202595</v>
      </c>
      <c r="G103" s="169">
        <f>AVERAGE(C103:E103)</f>
        <v>-1.7129064439347672</v>
      </c>
      <c r="H103" s="169">
        <f>STDEV(C103:E103)</f>
        <v>1.2676196560261186</v>
      </c>
      <c r="I103" s="169">
        <f>(B103*B4+C103*C4+D103*D4+E103*E4+F103*F4)/SUM(B4:F4)</f>
        <v>-1.5441429456271243</v>
      </c>
      <c r="K103" s="169">
        <f>(LN(H103)+LN(H123))/2-LN(K114*K115^3)</f>
        <v>-3.7437706020902124</v>
      </c>
    </row>
    <row r="104" spans="1:11" ht="12.75">
      <c r="A104" s="169" t="s">
        <v>162</v>
      </c>
      <c r="B104" s="169">
        <f>B64*10000/B62</f>
        <v>0.2749758006321963</v>
      </c>
      <c r="C104" s="169">
        <f>C64*10000/C62</f>
        <v>-0.21810700871214442</v>
      </c>
      <c r="D104" s="169">
        <f>D64*10000/D62</f>
        <v>0.32608002237521616</v>
      </c>
      <c r="E104" s="169">
        <f>E64*10000/E62</f>
        <v>0.05981267396856076</v>
      </c>
      <c r="F104" s="169">
        <f>F64*10000/F62</f>
        <v>-0.4153886769120018</v>
      </c>
      <c r="G104" s="169">
        <f>AVERAGE(C104:E104)</f>
        <v>0.05592856254387751</v>
      </c>
      <c r="H104" s="169">
        <f>STDEV(C104:E104)</f>
        <v>0.27211430675745163</v>
      </c>
      <c r="I104" s="169">
        <f>(B104*B4+C104*C4+D104*D4+E104*E4+F104*F4)/SUM(B4:F4)</f>
        <v>0.02476702271333981</v>
      </c>
      <c r="K104" s="169">
        <f>(LN(H104)+LN(H124))/2-LN(K114*K115^4)</f>
        <v>-3.9397070795311118</v>
      </c>
    </row>
    <row r="105" spans="1:11" ht="12.75">
      <c r="A105" s="169" t="s">
        <v>163</v>
      </c>
      <c r="B105" s="169">
        <f>B65*10000/B62</f>
        <v>0.3132892864856011</v>
      </c>
      <c r="C105" s="169">
        <f>C65*10000/C62</f>
        <v>0.19616320934105733</v>
      </c>
      <c r="D105" s="169">
        <f>D65*10000/D62</f>
        <v>0.8838206428565725</v>
      </c>
      <c r="E105" s="169">
        <f>E65*10000/E62</f>
        <v>0.05110196277781512</v>
      </c>
      <c r="F105" s="169">
        <f>F65*10000/F62</f>
        <v>-0.18512355317307136</v>
      </c>
      <c r="G105" s="169">
        <f>AVERAGE(C105:E105)</f>
        <v>0.37702860499181495</v>
      </c>
      <c r="H105" s="169">
        <f>STDEV(C105:E105)</f>
        <v>0.444847522805237</v>
      </c>
      <c r="I105" s="169">
        <f>(B105*B4+C105*C4+D105*D4+E105*E4+F105*F4)/SUM(B4:F4)</f>
        <v>0.29279969997816313</v>
      </c>
      <c r="K105" s="169">
        <f>(LN(H105)+LN(H125))/2-LN(K114*K115^5)</f>
        <v>-3.467819716929265</v>
      </c>
    </row>
    <row r="106" spans="1:11" ht="12.75">
      <c r="A106" s="169" t="s">
        <v>164</v>
      </c>
      <c r="B106" s="169">
        <f>B66*10000/B62</f>
        <v>3.6949325311697327</v>
      </c>
      <c r="C106" s="169">
        <f>C66*10000/C62</f>
        <v>4.872251374966286</v>
      </c>
      <c r="D106" s="169">
        <f>D66*10000/D62</f>
        <v>4.274246627877668</v>
      </c>
      <c r="E106" s="169">
        <f>E66*10000/E62</f>
        <v>4.878038847611529</v>
      </c>
      <c r="F106" s="169">
        <f>F66*10000/F62</f>
        <v>14.687118036742412</v>
      </c>
      <c r="G106" s="169">
        <f>AVERAGE(C106:E106)</f>
        <v>4.674845616818494</v>
      </c>
      <c r="H106" s="169">
        <f>STDEV(C106:E106)</f>
        <v>0.3469409692803812</v>
      </c>
      <c r="I106" s="169">
        <f>(B106*B4+C106*C4+D106*D4+E106*E4+F106*F4)/SUM(B4:F4)</f>
        <v>5.8687312504708</v>
      </c>
      <c r="K106" s="169">
        <f>(LN(H106)+LN(H126))/2-LN(K114*K115^6)</f>
        <v>-3.1575772946914653</v>
      </c>
    </row>
    <row r="107" spans="1:11" ht="12.75">
      <c r="A107" s="169" t="s">
        <v>165</v>
      </c>
      <c r="B107" s="169">
        <f>B67*10000/B62</f>
        <v>0.18550123847031616</v>
      </c>
      <c r="C107" s="169">
        <f>C67*10000/C62</f>
        <v>-0.29277618399310956</v>
      </c>
      <c r="D107" s="169">
        <f>D67*10000/D62</f>
        <v>0.044940252384898696</v>
      </c>
      <c r="E107" s="169">
        <f>E67*10000/E62</f>
        <v>0.001631188956096646</v>
      </c>
      <c r="F107" s="169">
        <f>F67*10000/F62</f>
        <v>-0.08796728063197831</v>
      </c>
      <c r="G107" s="169">
        <f>AVERAGE(C107:E107)</f>
        <v>-0.08206824755070474</v>
      </c>
      <c r="H107" s="169">
        <f>STDEV(C107:E107)</f>
        <v>0.18375879462935202</v>
      </c>
      <c r="I107" s="169">
        <f>(B107*B4+C107*C4+D107*D4+E107*E4+F107*F4)/SUM(B4:F4)</f>
        <v>-0.04411007869409385</v>
      </c>
      <c r="K107" s="169">
        <f>(LN(H107)+LN(H127))/2-LN(K114*K115^7)</f>
        <v>-3.067372860289099</v>
      </c>
    </row>
    <row r="108" spans="1:9" ht="12.75">
      <c r="A108" s="169" t="s">
        <v>166</v>
      </c>
      <c r="B108" s="169">
        <f>B68*10000/B62</f>
        <v>-0.13519708712282505</v>
      </c>
      <c r="C108" s="169">
        <f>C68*10000/C62</f>
        <v>-0.17601740775628108</v>
      </c>
      <c r="D108" s="169">
        <f>D68*10000/D62</f>
        <v>-0.1292429254655625</v>
      </c>
      <c r="E108" s="169">
        <f>E68*10000/E62</f>
        <v>-0.09631294239935781</v>
      </c>
      <c r="F108" s="169">
        <f>F68*10000/F62</f>
        <v>-0.10926138514177022</v>
      </c>
      <c r="G108" s="169">
        <f>AVERAGE(C108:E108)</f>
        <v>-0.13385775854040047</v>
      </c>
      <c r="H108" s="169">
        <f>STDEV(C108:E108)</f>
        <v>0.0400521280669294</v>
      </c>
      <c r="I108" s="169">
        <f>(B108*B4+C108*C4+D108*D4+E108*E4+F108*F4)/SUM(B4:F4)</f>
        <v>-0.13077018892470316</v>
      </c>
    </row>
    <row r="109" spans="1:9" ht="12.75">
      <c r="A109" s="169" t="s">
        <v>167</v>
      </c>
      <c r="B109" s="169">
        <f>B69*10000/B62</f>
        <v>0.014484814101780109</v>
      </c>
      <c r="C109" s="169">
        <f>C69*10000/C62</f>
        <v>-0.005067104538466614</v>
      </c>
      <c r="D109" s="169">
        <f>D69*10000/D62</f>
        <v>-0.1219454852724609</v>
      </c>
      <c r="E109" s="169">
        <f>E69*10000/E62</f>
        <v>-0.09592905267329604</v>
      </c>
      <c r="F109" s="169">
        <f>F69*10000/F62</f>
        <v>-0.16112281282881527</v>
      </c>
      <c r="G109" s="169">
        <f>AVERAGE(C109:E109)</f>
        <v>-0.07431388082807451</v>
      </c>
      <c r="H109" s="169">
        <f>STDEV(C109:E109)</f>
        <v>0.06136408323420122</v>
      </c>
      <c r="I109" s="169">
        <f>(B109*B4+C109*C4+D109*D4+E109*E4+F109*F4)/SUM(B4:F4)</f>
        <v>-0.07303701728797236</v>
      </c>
    </row>
    <row r="110" spans="1:11" ht="12.75">
      <c r="A110" s="169" t="s">
        <v>168</v>
      </c>
      <c r="B110" s="169">
        <f>B70*10000/B62</f>
        <v>-0.44048097845506695</v>
      </c>
      <c r="C110" s="169">
        <f>C70*10000/C62</f>
        <v>-0.06078482492054767</v>
      </c>
      <c r="D110" s="169">
        <f>D70*10000/D62</f>
        <v>-0.09185790980068996</v>
      </c>
      <c r="E110" s="169">
        <f>E70*10000/E62</f>
        <v>-0.05891990201343051</v>
      </c>
      <c r="F110" s="169">
        <f>F70*10000/F62</f>
        <v>-0.426289532474003</v>
      </c>
      <c r="G110" s="169">
        <f>AVERAGE(C110:E110)</f>
        <v>-0.07052087891155605</v>
      </c>
      <c r="H110" s="169">
        <f>STDEV(C110:E110)</f>
        <v>0.01850192286588785</v>
      </c>
      <c r="I110" s="169">
        <f>(B110*B4+C110*C4+D110*D4+E110*E4+F110*F4)/SUM(B4:F4)</f>
        <v>-0.1715573101852102</v>
      </c>
      <c r="K110" s="169">
        <f>EXP(AVERAGE(K103:K107))</f>
        <v>0.03095410947784696</v>
      </c>
    </row>
    <row r="111" spans="1:9" ht="12.75">
      <c r="A111" s="169" t="s">
        <v>169</v>
      </c>
      <c r="B111" s="169">
        <f>B71*10000/B62</f>
        <v>0.03999996856725895</v>
      </c>
      <c r="C111" s="169">
        <f>C71*10000/C62</f>
        <v>-0.0598480954019867</v>
      </c>
      <c r="D111" s="169">
        <f>D71*10000/D62</f>
        <v>0.04779660369016081</v>
      </c>
      <c r="E111" s="169">
        <f>E71*10000/E62</f>
        <v>-0.005523227093038424</v>
      </c>
      <c r="F111" s="169">
        <f>F71*10000/F62</f>
        <v>0.010075069126129297</v>
      </c>
      <c r="G111" s="169">
        <f>AVERAGE(C111:E111)</f>
        <v>-0.005858239601621437</v>
      </c>
      <c r="H111" s="169">
        <f>STDEV(C111:E111)</f>
        <v>0.053823131511418265</v>
      </c>
      <c r="I111" s="169">
        <f>(B111*B4+C111*C4+D111*D4+E111*E4+F111*F4)/SUM(B4:F4)</f>
        <v>0.002907954011351214</v>
      </c>
    </row>
    <row r="112" spans="1:9" ht="12.75">
      <c r="A112" s="169" t="s">
        <v>170</v>
      </c>
      <c r="B112" s="169">
        <f>B72*10000/B62</f>
        <v>-0.01738106374969881</v>
      </c>
      <c r="C112" s="169">
        <f>C72*10000/C62</f>
        <v>-0.015666693142282036</v>
      </c>
      <c r="D112" s="169">
        <f>D72*10000/D62</f>
        <v>-0.042300979213575805</v>
      </c>
      <c r="E112" s="169">
        <f>E72*10000/E62</f>
        <v>-0.02153804412277357</v>
      </c>
      <c r="F112" s="169">
        <f>F72*10000/F62</f>
        <v>-0.05164551257271633</v>
      </c>
      <c r="G112" s="169">
        <f>AVERAGE(C112:E112)</f>
        <v>-0.026501905492877138</v>
      </c>
      <c r="H112" s="169">
        <f>STDEV(C112:E112)</f>
        <v>0.01399379285283597</v>
      </c>
      <c r="I112" s="169">
        <f>(B112*B4+C112*C4+D112*D4+E112*E4+F112*F4)/SUM(B4:F4)</f>
        <v>-0.02853568818398618</v>
      </c>
    </row>
    <row r="113" spans="1:9" ht="12.75">
      <c r="A113" s="169" t="s">
        <v>171</v>
      </c>
      <c r="B113" s="169">
        <f>B73*10000/B62</f>
        <v>0.00511967157203209</v>
      </c>
      <c r="C113" s="169">
        <f>C73*10000/C62</f>
        <v>0.0211304037973579</v>
      </c>
      <c r="D113" s="169">
        <f>D73*10000/D62</f>
        <v>-0.008348699613863118</v>
      </c>
      <c r="E113" s="169">
        <f>E73*10000/E62</f>
        <v>0.0058360354593562785</v>
      </c>
      <c r="F113" s="169">
        <f>F73*10000/F62</f>
        <v>-0.014780018066089088</v>
      </c>
      <c r="G113" s="169">
        <f>AVERAGE(C113:E113)</f>
        <v>0.0062059132142836875</v>
      </c>
      <c r="H113" s="169">
        <f>STDEV(C113:E113)</f>
        <v>0.014743031969291739</v>
      </c>
      <c r="I113" s="169">
        <f>(B113*B4+C113*C4+D113*D4+E113*E4+F113*F4)/SUM(B4:F4)</f>
        <v>0.0032487957612511434</v>
      </c>
    </row>
    <row r="114" spans="1:11" ht="12.75">
      <c r="A114" s="169" t="s">
        <v>172</v>
      </c>
      <c r="B114" s="169">
        <f>B74*10000/B62</f>
        <v>-0.18647855286633566</v>
      </c>
      <c r="C114" s="169">
        <f>C74*10000/C62</f>
        <v>-0.18223668145902922</v>
      </c>
      <c r="D114" s="169">
        <f>D74*10000/D62</f>
        <v>-0.16741833207564966</v>
      </c>
      <c r="E114" s="169">
        <f>E74*10000/E62</f>
        <v>-0.1760619704059486</v>
      </c>
      <c r="F114" s="169">
        <f>F74*10000/F62</f>
        <v>-0.1357249836011028</v>
      </c>
      <c r="G114" s="169">
        <f>AVERAGE(C114:E114)</f>
        <v>-0.17523899464687584</v>
      </c>
      <c r="H114" s="169">
        <f>STDEV(C114:E114)</f>
        <v>0.007443375338983759</v>
      </c>
      <c r="I114" s="169">
        <f>(B114*B4+C114*C4+D114*D4+E114*E4+F114*F4)/SUM(B4:F4)</f>
        <v>-0.17159479239580086</v>
      </c>
      <c r="J114" s="169" t="s">
        <v>190</v>
      </c>
      <c r="K114" s="169">
        <v>285</v>
      </c>
    </row>
    <row r="115" spans="1:11" ht="12.75">
      <c r="A115" s="169" t="s">
        <v>173</v>
      </c>
      <c r="B115" s="169">
        <f>B75*10000/B62</f>
        <v>-0.0028104417034457443</v>
      </c>
      <c r="C115" s="169">
        <f>C75*10000/C62</f>
        <v>0.0025226051051031413</v>
      </c>
      <c r="D115" s="169">
        <f>D75*10000/D62</f>
        <v>-0.00784182297603045</v>
      </c>
      <c r="E115" s="169">
        <f>E75*10000/E62</f>
        <v>-0.0008540886667696902</v>
      </c>
      <c r="F115" s="169">
        <f>F75*10000/F62</f>
        <v>-0.0006249291773570646</v>
      </c>
      <c r="G115" s="169">
        <f>AVERAGE(C115:E115)</f>
        <v>-0.0020577688458989995</v>
      </c>
      <c r="H115" s="169">
        <f>STDEV(C115:E115)</f>
        <v>0.005286017105767745</v>
      </c>
      <c r="I115" s="169">
        <f>(B115*B4+C115*C4+D115*D4+E115*E4+F115*F4)/SUM(B4:F4)</f>
        <v>-0.0019755976127097457</v>
      </c>
      <c r="J115" s="169" t="s">
        <v>191</v>
      </c>
      <c r="K115" s="169">
        <v>0.5536</v>
      </c>
    </row>
    <row r="118" ht="12.75">
      <c r="A118" s="169" t="s">
        <v>156</v>
      </c>
    </row>
    <row r="120" spans="2:9" ht="12.75">
      <c r="B120" s="169" t="s">
        <v>84</v>
      </c>
      <c r="C120" s="169" t="s">
        <v>85</v>
      </c>
      <c r="D120" s="169" t="s">
        <v>86</v>
      </c>
      <c r="E120" s="169" t="s">
        <v>87</v>
      </c>
      <c r="F120" s="169" t="s">
        <v>88</v>
      </c>
      <c r="G120" s="169" t="s">
        <v>158</v>
      </c>
      <c r="H120" s="169" t="s">
        <v>159</v>
      </c>
      <c r="I120" s="169" t="s">
        <v>154</v>
      </c>
    </row>
    <row r="121" spans="1:9" ht="12.75">
      <c r="A121" s="169" t="s">
        <v>174</v>
      </c>
      <c r="B121" s="169">
        <f>B81*10000/B62</f>
        <v>0</v>
      </c>
      <c r="C121" s="169">
        <f>C81*10000/C62</f>
        <v>0</v>
      </c>
      <c r="D121" s="169">
        <f>D81*10000/D62</f>
        <v>0</v>
      </c>
      <c r="E121" s="169">
        <f>E81*10000/E62</f>
        <v>0</v>
      </c>
      <c r="F121" s="169">
        <f>F81*10000/F62</f>
        <v>0</v>
      </c>
      <c r="G121" s="169">
        <f>AVERAGE(C121:E121)</f>
        <v>0</v>
      </c>
      <c r="H121" s="169">
        <f>STDEV(C121:E121)</f>
        <v>0</v>
      </c>
      <c r="I121" s="169">
        <f>(B121*B4+C121*C4+D121*D4+E121*E4+F121*F4)/SUM(B4:F4)</f>
        <v>0</v>
      </c>
    </row>
    <row r="122" spans="1:9" ht="12.75">
      <c r="A122" s="169" t="s">
        <v>175</v>
      </c>
      <c r="B122" s="169">
        <f>B82*10000/B62</f>
        <v>54.10085620658542</v>
      </c>
      <c r="C122" s="169">
        <f>C82*10000/C62</f>
        <v>-3.162178261450526</v>
      </c>
      <c r="D122" s="169">
        <f>D82*10000/D62</f>
        <v>-16.50189200577775</v>
      </c>
      <c r="E122" s="169">
        <f>E82*10000/E62</f>
        <v>-2.8991768118870826</v>
      </c>
      <c r="F122" s="169">
        <f>F82*10000/F62</f>
        <v>-20.70241929468964</v>
      </c>
      <c r="G122" s="169">
        <f>AVERAGE(C122:E122)</f>
        <v>-7.521082359705119</v>
      </c>
      <c r="H122" s="169">
        <f>STDEV(C122:E122)</f>
        <v>7.778720901591828</v>
      </c>
      <c r="I122" s="169">
        <f>(B122*B4+C122*C4+D122*D4+E122*E4+F122*F4)/SUM(B4:F4)</f>
        <v>-0.3565469446761493</v>
      </c>
    </row>
    <row r="123" spans="1:9" ht="12.75">
      <c r="A123" s="169" t="s">
        <v>176</v>
      </c>
      <c r="B123" s="169">
        <f>B83*10000/B62</f>
        <v>-1.9499177223007325</v>
      </c>
      <c r="C123" s="169">
        <f>C83*10000/C62</f>
        <v>1.1804880957455481</v>
      </c>
      <c r="D123" s="169">
        <f>D83*10000/D62</f>
        <v>2.9102395924304307</v>
      </c>
      <c r="E123" s="169">
        <f>E83*10000/E62</f>
        <v>1.0671365517468943</v>
      </c>
      <c r="F123" s="169">
        <f>F83*10000/F62</f>
        <v>8.175257651034633</v>
      </c>
      <c r="G123" s="169">
        <f>AVERAGE(C123:E123)</f>
        <v>1.719288079974291</v>
      </c>
      <c r="H123" s="169">
        <f>STDEV(C123:E123)</f>
        <v>1.032950275617319</v>
      </c>
      <c r="I123" s="169">
        <f>(B123*B4+C123*C4+D123*D4+E123*E4+F123*F4)/SUM(B4:F4)</f>
        <v>2.0492908842430673</v>
      </c>
    </row>
    <row r="124" spans="1:9" ht="12.75">
      <c r="A124" s="169" t="s">
        <v>177</v>
      </c>
      <c r="B124" s="169">
        <f>B84*10000/B62</f>
        <v>1.2664482956443759</v>
      </c>
      <c r="C124" s="169">
        <f>C84*10000/C62</f>
        <v>-1.0925447250447506</v>
      </c>
      <c r="D124" s="169">
        <f>D84*10000/D62</f>
        <v>-2.561852022696798</v>
      </c>
      <c r="E124" s="169">
        <f>E84*10000/E62</f>
        <v>-2.9935975520820897</v>
      </c>
      <c r="F124" s="169">
        <f>F84*10000/F62</f>
        <v>-1.899671381224098</v>
      </c>
      <c r="G124" s="169">
        <f>AVERAGE(C124:E124)</f>
        <v>-2.215998099941213</v>
      </c>
      <c r="H124" s="169">
        <f>STDEV(C124:E124)</f>
        <v>0.9966000525339808</v>
      </c>
      <c r="I124" s="169">
        <f>(B124*B4+C124*C4+D124*D4+E124*E4+F124*F4)/SUM(B4:F4)</f>
        <v>-1.6695227095051128</v>
      </c>
    </row>
    <row r="125" spans="1:9" ht="12.75">
      <c r="A125" s="169" t="s">
        <v>178</v>
      </c>
      <c r="B125" s="169">
        <f>B85*10000/B62</f>
        <v>0.15315718821657323</v>
      </c>
      <c r="C125" s="169">
        <f>C85*10000/C62</f>
        <v>-0.12467424890750073</v>
      </c>
      <c r="D125" s="169">
        <f>D85*10000/D62</f>
        <v>0.6851481991099234</v>
      </c>
      <c r="E125" s="169">
        <f>E85*10000/E62</f>
        <v>-0.1665532032581786</v>
      </c>
      <c r="F125" s="169">
        <f>F85*10000/F62</f>
        <v>0.22309801327809262</v>
      </c>
      <c r="G125" s="169">
        <f>AVERAGE(C125:E125)</f>
        <v>0.1313069156480814</v>
      </c>
      <c r="H125" s="169">
        <f>STDEV(C125:E125)</f>
        <v>0.48009747672152153</v>
      </c>
      <c r="I125" s="169">
        <f>(B125*B4+C125*C4+D125*D4+E125*E4+F125*F4)/SUM(B4:F4)</f>
        <v>0.1467171796217869</v>
      </c>
    </row>
    <row r="126" spans="1:9" ht="12.75">
      <c r="A126" s="169" t="s">
        <v>179</v>
      </c>
      <c r="B126" s="169">
        <f>B86*10000/B62</f>
        <v>1.5220112494679923</v>
      </c>
      <c r="C126" s="169">
        <f>C86*10000/C62</f>
        <v>0.2463695726437008</v>
      </c>
      <c r="D126" s="169">
        <f>D86*10000/D62</f>
        <v>-0.4334938091451454</v>
      </c>
      <c r="E126" s="169">
        <f>E86*10000/E62</f>
        <v>-0.2441461512524434</v>
      </c>
      <c r="F126" s="169">
        <f>F86*10000/F62</f>
        <v>2.0279952675174164</v>
      </c>
      <c r="G126" s="169">
        <f>AVERAGE(C126:E126)</f>
        <v>-0.14375679591796267</v>
      </c>
      <c r="H126" s="169">
        <f>STDEV(C126:E126)</f>
        <v>0.35087329831820496</v>
      </c>
      <c r="I126" s="169">
        <f>(B126*B4+C126*C4+D126*D4+E126*E4+F126*F4)/SUM(B4:F4)</f>
        <v>0.38719637396757495</v>
      </c>
    </row>
    <row r="127" spans="1:9" ht="12.75">
      <c r="A127" s="169" t="s">
        <v>180</v>
      </c>
      <c r="B127" s="169">
        <f>B87*10000/B62</f>
        <v>0.05442756888588501</v>
      </c>
      <c r="C127" s="169">
        <f>C87*10000/C62</f>
        <v>0.36350440955645563</v>
      </c>
      <c r="D127" s="169">
        <f>D87*10000/D62</f>
        <v>-0.07290225848564241</v>
      </c>
      <c r="E127" s="169">
        <f>E87*10000/E62</f>
        <v>-0.040572848317595216</v>
      </c>
      <c r="F127" s="169">
        <f>F87*10000/F62</f>
        <v>0.798686560377925</v>
      </c>
      <c r="G127" s="169">
        <f>AVERAGE(C127:E127)</f>
        <v>0.08334310091773933</v>
      </c>
      <c r="H127" s="169">
        <f>STDEV(C127:E127)</f>
        <v>0.24316469076342476</v>
      </c>
      <c r="I127" s="169">
        <f>(B127*B4+C127*C4+D127*D4+E127*E4+F127*F4)/SUM(B4:F4)</f>
        <v>0.17459311780962578</v>
      </c>
    </row>
    <row r="128" spans="1:9" ht="12.75">
      <c r="A128" s="169" t="s">
        <v>181</v>
      </c>
      <c r="B128" s="169">
        <f>B88*10000/B62</f>
        <v>0.13769939264775655</v>
      </c>
      <c r="C128" s="169">
        <f>C88*10000/C62</f>
        <v>-0.07952848399638092</v>
      </c>
      <c r="D128" s="169">
        <f>D88*10000/D62</f>
        <v>-0.11302958410248205</v>
      </c>
      <c r="E128" s="169">
        <f>E88*10000/E62</f>
        <v>-0.4038712021951944</v>
      </c>
      <c r="F128" s="169">
        <f>F88*10000/F62</f>
        <v>-0.42161104518110465</v>
      </c>
      <c r="G128" s="169">
        <f>AVERAGE(C128:E128)</f>
        <v>-0.1988097567646858</v>
      </c>
      <c r="H128" s="169">
        <f>STDEV(C128:E128)</f>
        <v>0.17837664709433476</v>
      </c>
      <c r="I128" s="169">
        <f>(B128*B4+C128*C4+D128*D4+E128*E4+F128*F4)/SUM(B4:F4)</f>
        <v>-0.17980671614706845</v>
      </c>
    </row>
    <row r="129" spans="1:9" ht="12.75">
      <c r="A129" s="169" t="s">
        <v>182</v>
      </c>
      <c r="B129" s="169">
        <f>B89*10000/B62</f>
        <v>0.022288279162789117</v>
      </c>
      <c r="C129" s="169">
        <f>C89*10000/C62</f>
        <v>0.09715275535848923</v>
      </c>
      <c r="D129" s="169">
        <f>D89*10000/D62</f>
        <v>0.05172458968386771</v>
      </c>
      <c r="E129" s="169">
        <f>E89*10000/E62</f>
        <v>0.028374789766587104</v>
      </c>
      <c r="F129" s="169">
        <f>F89*10000/F62</f>
        <v>-0.0014048091114148486</v>
      </c>
      <c r="G129" s="169">
        <f>AVERAGE(C129:E129)</f>
        <v>0.05908404493631469</v>
      </c>
      <c r="H129" s="169">
        <f>STDEV(C129:E129)</f>
        <v>0.03497460970403808</v>
      </c>
      <c r="I129" s="169">
        <f>(B129*B4+C129*C4+D129*D4+E129*E4+F129*F4)/SUM(B4:F4)</f>
        <v>0.045685780370471045</v>
      </c>
    </row>
    <row r="130" spans="1:9" ht="12.75">
      <c r="A130" s="169" t="s">
        <v>183</v>
      </c>
      <c r="B130" s="169">
        <f>B90*10000/B62</f>
        <v>0.12431019770933166</v>
      </c>
      <c r="C130" s="169">
        <f>C90*10000/C62</f>
        <v>0.09662968866878179</v>
      </c>
      <c r="D130" s="169">
        <f>D90*10000/D62</f>
        <v>0.13578452648476041</v>
      </c>
      <c r="E130" s="169">
        <f>E90*10000/E62</f>
        <v>0.142746905419636</v>
      </c>
      <c r="F130" s="169">
        <f>F90*10000/F62</f>
        <v>0.24899145854666369</v>
      </c>
      <c r="G130" s="169">
        <f>AVERAGE(C130:E130)</f>
        <v>0.12505370685772607</v>
      </c>
      <c r="H130" s="169">
        <f>STDEV(C130:E130)</f>
        <v>0.024860858545357536</v>
      </c>
      <c r="I130" s="169">
        <f>(B130*B4+C130*C4+D130*D4+E130*E4+F130*F4)/SUM(B4:F4)</f>
        <v>0.14148112246232158</v>
      </c>
    </row>
    <row r="131" spans="1:9" ht="12.75">
      <c r="A131" s="169" t="s">
        <v>184</v>
      </c>
      <c r="B131" s="169">
        <f>B91*10000/B62</f>
        <v>0.039902505062070805</v>
      </c>
      <c r="C131" s="169">
        <f>C91*10000/C62</f>
        <v>0.0697049053091659</v>
      </c>
      <c r="D131" s="169">
        <f>D91*10000/D62</f>
        <v>0.031088900465814133</v>
      </c>
      <c r="E131" s="169">
        <f>E91*10000/E62</f>
        <v>0.036408425410782756</v>
      </c>
      <c r="F131" s="169">
        <f>F91*10000/F62</f>
        <v>0.0777420368176204</v>
      </c>
      <c r="G131" s="169">
        <f>AVERAGE(C131:E131)</f>
        <v>0.04573407706192093</v>
      </c>
      <c r="H131" s="169">
        <f>STDEV(C131:E131)</f>
        <v>0.020929041821216365</v>
      </c>
      <c r="I131" s="169">
        <f>(B131*B4+C131*C4+D131*D4+E131*E4+F131*F4)/SUM(B4:F4)</f>
        <v>0.04915996320569957</v>
      </c>
    </row>
    <row r="132" spans="1:9" ht="12.75">
      <c r="A132" s="169" t="s">
        <v>185</v>
      </c>
      <c r="B132" s="169">
        <f>B92*10000/B62</f>
        <v>0.03203868533340778</v>
      </c>
      <c r="C132" s="169">
        <f>C92*10000/C62</f>
        <v>-0.03794977395759519</v>
      </c>
      <c r="D132" s="169">
        <f>D92*10000/D62</f>
        <v>0.010018486745980305</v>
      </c>
      <c r="E132" s="169">
        <f>E92*10000/E62</f>
        <v>-0.05232659708546628</v>
      </c>
      <c r="F132" s="169">
        <f>F92*10000/F62</f>
        <v>-0.041419257864724876</v>
      </c>
      <c r="G132" s="169">
        <f>AVERAGE(C132:E132)</f>
        <v>-0.026752628099027054</v>
      </c>
      <c r="H132" s="169">
        <f>STDEV(C132:E132)</f>
        <v>0.032645971053424996</v>
      </c>
      <c r="I132" s="169">
        <f>(B132*B4+C132*C4+D132*D4+E132*E4+F132*F4)/SUM(B4:F4)</f>
        <v>-0.020196138513915714</v>
      </c>
    </row>
    <row r="133" spans="1:9" ht="12.75">
      <c r="A133" s="169" t="s">
        <v>186</v>
      </c>
      <c r="B133" s="169">
        <f>B93*10000/B62</f>
        <v>-0.05622719696313864</v>
      </c>
      <c r="C133" s="169">
        <f>C93*10000/C62</f>
        <v>-0.04430358342016117</v>
      </c>
      <c r="D133" s="169">
        <f>D93*10000/D62</f>
        <v>-0.06514401014237026</v>
      </c>
      <c r="E133" s="169">
        <f>E93*10000/E62</f>
        <v>-0.05351757648214597</v>
      </c>
      <c r="F133" s="169">
        <f>F93*10000/F62</f>
        <v>-0.045543995542169695</v>
      </c>
      <c r="G133" s="169">
        <f>AVERAGE(C133:E133)</f>
        <v>-0.0543217233482258</v>
      </c>
      <c r="H133" s="169">
        <f>STDEV(C133:E133)</f>
        <v>0.010443458987692283</v>
      </c>
      <c r="I133" s="169">
        <f>(B133*B4+C133*C4+D133*D4+E133*E4+F133*F4)/SUM(B4:F4)</f>
        <v>-0.05342656877405897</v>
      </c>
    </row>
    <row r="134" spans="1:9" ht="12.75">
      <c r="A134" s="169" t="s">
        <v>187</v>
      </c>
      <c r="B134" s="169">
        <f>B94*10000/B62</f>
        <v>0.007108191286263277</v>
      </c>
      <c r="C134" s="169">
        <f>C94*10000/C62</f>
        <v>0.01342136814045345</v>
      </c>
      <c r="D134" s="169">
        <f>D94*10000/D62</f>
        <v>0.01153005900504917</v>
      </c>
      <c r="E134" s="169">
        <f>E94*10000/E62</f>
        <v>0.011968136518916634</v>
      </c>
      <c r="F134" s="169">
        <f>F94*10000/F62</f>
        <v>-0.025118341137430708</v>
      </c>
      <c r="G134" s="169">
        <f>AVERAGE(C134:E134)</f>
        <v>0.012306521221473085</v>
      </c>
      <c r="H134" s="169">
        <f>STDEV(C134:E134)</f>
        <v>0.0009900205637303839</v>
      </c>
      <c r="I134" s="169">
        <f>(B134*B4+C134*C4+D134*D4+E134*E4+F134*F4)/SUM(B4:F4)</f>
        <v>0.00656076625207878</v>
      </c>
    </row>
    <row r="135" spans="1:9" ht="12.75">
      <c r="A135" s="169" t="s">
        <v>188</v>
      </c>
      <c r="B135" s="169">
        <f>B95*10000/B62</f>
        <v>-0.0020590589731097216</v>
      </c>
      <c r="C135" s="169">
        <f>C95*10000/C62</f>
        <v>-0.004561602397315039</v>
      </c>
      <c r="D135" s="169">
        <f>D95*10000/D62</f>
        <v>0.006911130219998472</v>
      </c>
      <c r="E135" s="169">
        <f>E95*10000/E62</f>
        <v>0.0022986386784350343</v>
      </c>
      <c r="F135" s="169">
        <f>F95*10000/F62</f>
        <v>0.005940208678253024</v>
      </c>
      <c r="G135" s="169">
        <f>AVERAGE(C135:E135)</f>
        <v>0.0015493888337061558</v>
      </c>
      <c r="H135" s="169">
        <f>STDEV(C135:E135)</f>
        <v>0.005772948113785713</v>
      </c>
      <c r="I135" s="169">
        <f>(B135*B4+C135*C4+D135*D4+E135*E4+F135*F4)/SUM(B4:F4)</f>
        <v>0.0016126689712193303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2003-07-03T13:57:32Z</cp:lastPrinted>
  <dcterms:created xsi:type="dcterms:W3CDTF">1999-06-17T15:15:05Z</dcterms:created>
  <dcterms:modified xsi:type="dcterms:W3CDTF">2003-09-30T16:35:24Z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-599872529</vt:i4>
  </property>
  <property fmtid="{D5CDD505-2E9C-101B-9397-08002B2CF9AE}" pid="3" name="_EmailSubject">
    <vt:lpwstr>WFM result of aperture 93, 95 and 98_OV and ap89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