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98_pos1ap2" sheetId="2" r:id="rId2"/>
    <sheet name="HCMQAP098_pos2ap2" sheetId="3" r:id="rId3"/>
    <sheet name="HCMQAP098_pos3ap2" sheetId="4" r:id="rId4"/>
    <sheet name="HCMQAP098_pos4ap2" sheetId="5" r:id="rId5"/>
    <sheet name="HCMQAP098_pos5ap2" sheetId="6" r:id="rId6"/>
    <sheet name="Lmag_hcmqap" sheetId="7" r:id="rId7"/>
    <sheet name="Result_HCMQAP" sheetId="8" r:id="rId8"/>
  </sheets>
  <definedNames>
    <definedName name="_xlnm.Print_Area" localSheetId="1">'HCMQAP098_pos1ap2'!$A$1:$N$28</definedName>
    <definedName name="_xlnm.Print_Area" localSheetId="2">'HCMQAP098_pos2ap2'!$A$1:$N$28</definedName>
    <definedName name="_xlnm.Print_Area" localSheetId="3">'HCMQAP098_pos3ap2'!$A$1:$N$28</definedName>
    <definedName name="_xlnm.Print_Area" localSheetId="4">'HCMQAP098_pos4ap2'!$A$1:$N$28</definedName>
    <definedName name="_xlnm.Print_Area" localSheetId="5">'HCMQAP098_pos5ap2'!$A$1:$N$28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<sst xmlns="http://schemas.openxmlformats.org/spreadsheetml/2006/main" count="505" uniqueCount="191">
  <si>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</si>
  <si>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</si>
  <si>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</si>
  <si>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</si>
  <si>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</si>
  <si>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</si>
  <si>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</si>
  <si>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</si>
  <si>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</si>
  <si>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</si>
  <si>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</si>
  <si>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</si>
  <si>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</si>
  <si>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</si>
  <si>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</si>
  <si>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hcmqap098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</si>
  <si>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</si>
  <si>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</si>
  <si>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</si>
  <si>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</si>
  <si>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</si>
  <si>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</si>
  <si>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</si>
  <si>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</si>
  <si>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</si>
  <si>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</si>
  <si>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</si>
  <si>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</si>
  <si>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</si>
  <si>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</si>
  <si>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</si>
  <si>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</si>
  <si>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</si>
  <si>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</si>
  <si>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</si>
  <si>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</si>
  <si>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</si>
  <si>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</si>
  <si>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</si>
  <si>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</si>
  <si>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</si>
  <si>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</si>
  <si>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</si>
  <si>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</si>
  <si>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</si>
  <si>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</si>
  <si>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</si>
  <si>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</si>
  <si>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</si>
  <si>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</si>
  <si>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</si>
  <si>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</si>
  <si>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</si>
  <si>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</si>
  <si>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</si>
  <si>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</si>
  <si>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</si>
  <si>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</si>
  <si>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</si>
  <si>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</si>
  <si>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</si>
  <si>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</si>
  <si>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</si>
  <si>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</si>
  <si>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</si>
  <si>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</si>
  <si>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</si>
  <si>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</si>
  <si>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HCMQAP098_pos1ap2</t>
  </si>
  <si>
    <t>±12.5</t>
  </si>
  <si>
    <t>THCMQAP098_pos1ap2.xls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</si>
  <si>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-3.755 mT)</t>
    </r>
  </si>
  <si>
    <t>HCMQAP098_pos2ap2</t>
  </si>
  <si>
    <t>THCMQAP098_pos2ap2.xls</t>
  </si>
  <si>
    <t>HCMQAP098_pos3ap2</t>
  </si>
  <si>
    <t>THCMQAP098_pos3ap2.xls</t>
  </si>
  <si>
    <t>HCMQAP098_pos4ap2</t>
  </si>
  <si>
    <t>THCMQAP098_pos4ap2.xls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</si>
  <si>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-2.092 mT)</t>
    </r>
  </si>
  <si>
    <t>HCMQAP098_pos5ap2</t>
  </si>
  <si>
    <t>THCMQAP098_pos5ap2.xls</t>
  </si>
  <si>
    <t>Sommaire : Valeurs intégrales calculées avec les fichiers: HCMQAP098_pos1ap2+HCMQAP098_pos2ap2+HCMQAP098_pos3ap2+HCMQAP098_pos4ap2+HCMQAP098_pos5ap2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</si>
  <si>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</si>
  <si>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</si>
  <si>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</si>
  <si>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</si>
  <si>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</si>
  <si>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</si>
  <si>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</si>
  <si>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</si>
  <si>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</si>
  <si>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</si>
  <si>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</si>
  <si>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</si>
  <si>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</si>
  <si>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</si>
  <si>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</si>
  <si>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</si>
  <si>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</si>
  <si>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</si>
  <si>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</si>
  <si>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</si>
  <si>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</si>
  <si>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</si>
  <si>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</si>
  <si>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</si>
  <si>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</si>
  <si>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</si>
  <si>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</si>
  <si>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</si>
  <si>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</si>
  <si>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</si>
  <si>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</si>
  <si>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</si>
  <si>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</si>
  <si>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</si>
  <si>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</si>
  <si>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</si>
  <si>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</si>
  <si>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</si>
  <si>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</si>
  <si>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</si>
  <si>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</si>
  <si>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</si>
  <si>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</si>
  <si>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=-3.755</t>
    </r>
  </si>
  <si>
    <t>Gradient (T/m)</t>
  </si>
  <si>
    <t xml:space="preserve"> Thu 02/10/2003       10:26:03</t>
  </si>
  <si>
    <t>LISSNER</t>
  </si>
  <si>
    <t>HCMQAP098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</si>
  <si>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</si>
  <si>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</si>
  <si>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</si>
  <si>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</si>
  <si>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</si>
  <si>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</si>
  <si>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</si>
  <si>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</si>
  <si>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</si>
  <si>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b12*</t>
  </si>
  <si>
    <t>b13*</t>
  </si>
  <si>
    <t>b14*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</si>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</sst>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5" xfId="0" applyNumberFormat="1" applyFont="1" applyFill="1" applyBorder="1" applyAlignment="1">
      <alignment horizontal="center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98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/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/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/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/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/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/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/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/>
            </c:numRef>
          </c:val>
          <c:smooth val="0"/>
        </c:ser>
        <c:marker val="1"/>
        <c:axId val="38657004"/>
        <c:axId val="12368717"/>
      </c:lineChart>
      <c:catAx>
        <c:axId val="386570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2368717"/>
        <c:crosses val="autoZero"/>
        <c:auto val="1"/>
        <c:lblOffset val="100"/>
        <c:noMultiLvlLbl val="0"/>
      </c:catAx>
      <c:valAx>
        <c:axId val="12368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3865700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37662</v>
      </c>
      <c r="B2" s="24">
        <v>80</v>
      </c>
      <c r="C2" s="24" t="s">
        <v>69</v>
      </c>
      <c r="D2" s="25">
        <v>5</v>
      </c>
      <c r="E2" s="25">
        <v>1</v>
      </c>
      <c r="F2" s="26"/>
      <c r="G2" s="26" t="s">
        <v>68</v>
      </c>
      <c r="H2" s="25">
        <v>2347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37662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2347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37662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74</v>
      </c>
      <c r="H4" s="25">
        <v>2347</v>
      </c>
      <c r="I4" s="27" t="s">
        <v>75</v>
      </c>
      <c r="J4" s="30"/>
      <c r="K4" s="31"/>
      <c r="L4" s="31"/>
      <c r="M4" s="31"/>
      <c r="N4" s="28"/>
    </row>
    <row r="5" spans="1:14" s="29" customFormat="1" ht="15" customHeight="1">
      <c r="A5" s="40">
        <v>37662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76</v>
      </c>
      <c r="H5" s="25">
        <v>2347</v>
      </c>
      <c r="I5" s="27" t="s">
        <v>77</v>
      </c>
      <c r="J5" s="30"/>
      <c r="K5" s="28"/>
      <c r="L5" s="28"/>
      <c r="M5" s="28"/>
      <c r="N5" s="28"/>
    </row>
    <row r="6" spans="1:14" s="29" customFormat="1" ht="15" customHeight="1">
      <c r="A6" s="40">
        <v>37662</v>
      </c>
      <c r="B6" s="24">
        <v>80</v>
      </c>
      <c r="C6" s="24" t="s">
        <v>69</v>
      </c>
      <c r="D6" s="25">
        <v>5</v>
      </c>
      <c r="E6" s="25">
        <v>5</v>
      </c>
      <c r="F6" s="26"/>
      <c r="G6" s="26" t="s">
        <v>79</v>
      </c>
      <c r="H6" s="25">
        <v>2347</v>
      </c>
      <c r="I6" s="27" t="s">
        <v>80</v>
      </c>
      <c r="J6" s="30"/>
      <c r="K6" s="28"/>
      <c r="L6" s="28"/>
      <c r="M6" s="28"/>
      <c r="N6" s="28"/>
    </row>
    <row r="7" spans="1:14" s="29" customFormat="1" ht="15" customHeight="1">
      <c r="A7" s="40" t="s">
        <v>81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3.249782614034501E-05</v>
      </c>
      <c r="L2" s="55">
        <v>1.3198110854256409E-07</v>
      </c>
      <c r="M2" s="55">
        <v>0.000111429645</v>
      </c>
      <c r="N2" s="56">
        <v>6.466623777853788E-08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-3.2392031859655E-05</v>
      </c>
      <c r="L3" s="55">
        <v>1.8533084066597797E-07</v>
      </c>
      <c r="M3" s="55">
        <v>1.3871295E-05</v>
      </c>
      <c r="N3" s="56">
        <v>2.1250159366461234E-07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-0.0022499653963676232</v>
      </c>
      <c r="L4" s="55">
        <v>-2.13511029498593E-05</v>
      </c>
      <c r="M4" s="55">
        <v>3.8798961612204597E-08</v>
      </c>
      <c r="N4" s="56">
        <v>4.7446201</v>
      </c>
    </row>
    <row r="5" spans="1:14" ht="15" customHeight="1" thickBot="1">
      <c r="A5" t="s">
        <v>18</v>
      </c>
      <c r="B5" s="59">
        <v>37896.41307870371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2347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-2.2259509</v>
      </c>
      <c r="E8" s="78">
        <v>0.021026335832478767</v>
      </c>
      <c r="F8" s="78">
        <v>-1.1927868</v>
      </c>
      <c r="G8" s="78">
        <v>0.019469248173974392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-0.7576889899999999</v>
      </c>
      <c r="E9" s="80">
        <v>0.046785430996363744</v>
      </c>
      <c r="F9" s="80">
        <v>-0.23505808</v>
      </c>
      <c r="G9" s="80">
        <v>0.024384110430225436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-0.36180144000000003</v>
      </c>
      <c r="E10" s="80">
        <v>0.011379479675512214</v>
      </c>
      <c r="F10" s="80">
        <v>-1.9879323</v>
      </c>
      <c r="G10" s="80">
        <v>0.015732866301478052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2.5113961000000002</v>
      </c>
      <c r="E11" s="78">
        <v>0.01646950876131232</v>
      </c>
      <c r="F11" s="78">
        <v>0.11719388099999999</v>
      </c>
      <c r="G11" s="78">
        <v>0.015368554931634954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-0.091751557</v>
      </c>
      <c r="E12" s="80">
        <v>0.006656059463582447</v>
      </c>
      <c r="F12" s="80">
        <v>-0.16317698</v>
      </c>
      <c r="G12" s="80">
        <v>0.011513018212206474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20.996094</v>
      </c>
      <c r="D13" s="83">
        <v>0.027250374499999997</v>
      </c>
      <c r="E13" s="80">
        <v>0.004311542950178755</v>
      </c>
      <c r="F13" s="80">
        <v>-0.12380438899999999</v>
      </c>
      <c r="G13" s="80">
        <v>0.00209242044222739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0.13200784299999999</v>
      </c>
      <c r="E14" s="80">
        <v>0.004019488805059282</v>
      </c>
      <c r="F14" s="80">
        <v>0.23927832</v>
      </c>
      <c r="G14" s="80">
        <v>0.002965288530583933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-0.38159064000000004</v>
      </c>
      <c r="E15" s="78">
        <v>0.00265211162668514</v>
      </c>
      <c r="F15" s="78">
        <v>0.055315555</v>
      </c>
      <c r="G15" s="78">
        <v>0.0027274420590673535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-0.071363799</v>
      </c>
      <c r="E16" s="80">
        <v>0.0031975364295194516</v>
      </c>
      <c r="F16" s="80">
        <v>-0.050136111</v>
      </c>
      <c r="G16" s="80">
        <v>0.0018246805314998658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0.414000004529953</v>
      </c>
      <c r="D17" s="83">
        <v>0.115148585</v>
      </c>
      <c r="E17" s="80">
        <v>0.00253653298078314</v>
      </c>
      <c r="F17" s="80">
        <v>-0.080265067</v>
      </c>
      <c r="G17" s="80">
        <v>0.002609657903158386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66.62999725341797</v>
      </c>
      <c r="D18" s="83">
        <v>0.051231748</v>
      </c>
      <c r="E18" s="80">
        <v>0.001544501488165754</v>
      </c>
      <c r="F18" s="86">
        <v>0.15995792999999997</v>
      </c>
      <c r="G18" s="80">
        <v>0.002808357814738224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0.3109999895095825</v>
      </c>
      <c r="D19" s="87">
        <v>-0.19767943999999998</v>
      </c>
      <c r="E19" s="80">
        <v>0.0022127009211374785</v>
      </c>
      <c r="F19" s="80">
        <v>0.003800563965</v>
      </c>
      <c r="G19" s="80">
        <v>0.0012621793489577839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0.2375235</v>
      </c>
      <c r="D20" s="89">
        <v>-0.003540214918</v>
      </c>
      <c r="E20" s="90">
        <v>0.0015830796408556331</v>
      </c>
      <c r="F20" s="90">
        <v>-0.003755963893</v>
      </c>
      <c r="G20" s="90">
        <v>0.001469574094935165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0.8441704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0.2718469367422229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-2.2500667</v>
      </c>
      <c r="I25" s="102" t="s">
        <v>49</v>
      </c>
      <c r="J25" s="103"/>
      <c r="K25" s="102"/>
      <c r="L25" s="105">
        <v>2.5141290294730405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2.525390615224712</v>
      </c>
      <c r="I26" s="107" t="s">
        <v>53</v>
      </c>
      <c r="J26" s="108"/>
      <c r="K26" s="107"/>
      <c r="L26" s="110">
        <v>0.38557908029426036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HCMQAP098_pos1ap2res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-6.4367798E-05</v>
      </c>
      <c r="L2" s="55">
        <v>3.952202479702275E-07</v>
      </c>
      <c r="M2" s="55">
        <v>0.00013773471000000002</v>
      </c>
      <c r="N2" s="56">
        <v>3.8599563001992335E-07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-2.9911868E-05</v>
      </c>
      <c r="L3" s="55">
        <v>1.4188096442416832E-07</v>
      </c>
      <c r="M3" s="55">
        <v>1.2771890000000001E-05</v>
      </c>
      <c r="N3" s="56">
        <v>1.6199948888815766E-07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-0.0037546745342167164</v>
      </c>
      <c r="L4" s="55">
        <v>-3.807670724008992E-05</v>
      </c>
      <c r="M4" s="55">
        <v>6.774539569707203E-08</v>
      </c>
      <c r="N4" s="56">
        <v>5.0703998</v>
      </c>
    </row>
    <row r="5" spans="1:14" ht="15" customHeight="1" thickBot="1">
      <c r="A5" t="s">
        <v>18</v>
      </c>
      <c r="B5" s="59">
        <v>37896.41767361111</v>
      </c>
      <c r="D5" s="60"/>
      <c r="E5" s="61" t="s">
        <v>71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2347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-4.271297799999999</v>
      </c>
      <c r="E8" s="78">
        <v>0.009610060138396626</v>
      </c>
      <c r="F8" s="78">
        <v>1.2127805999999999</v>
      </c>
      <c r="G8" s="78">
        <v>0.010650702424714237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-0.48225819999999997</v>
      </c>
      <c r="E9" s="80">
        <v>0.02972414329675456</v>
      </c>
      <c r="F9" s="80">
        <v>0.52227878</v>
      </c>
      <c r="G9" s="80">
        <v>0.027161113946514617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1.3703863000000003</v>
      </c>
      <c r="E10" s="80">
        <v>0.007196481185920783</v>
      </c>
      <c r="F10" s="80">
        <v>-0.74134352</v>
      </c>
      <c r="G10" s="80">
        <v>0.004495670656701785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3.7770969</v>
      </c>
      <c r="E11" s="78">
        <v>0.007224632000437904</v>
      </c>
      <c r="F11" s="78">
        <v>-0.48269805000000005</v>
      </c>
      <c r="G11" s="78">
        <v>0.004860815055211961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0.32883608999999997</v>
      </c>
      <c r="E12" s="80">
        <v>0.0035840350746647242</v>
      </c>
      <c r="F12" s="80">
        <v>0.36233978</v>
      </c>
      <c r="G12" s="80">
        <v>0.0028030216311327504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21.298218</v>
      </c>
      <c r="D13" s="83">
        <v>-0.0034269723999999996</v>
      </c>
      <c r="E13" s="80">
        <v>0.0010993433117852875</v>
      </c>
      <c r="F13" s="80">
        <v>0.10836937709999998</v>
      </c>
      <c r="G13" s="80">
        <v>0.0035181337956851385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0.071551528</v>
      </c>
      <c r="E14" s="80">
        <v>0.0021916521110035498</v>
      </c>
      <c r="F14" s="80">
        <v>0.14575447999999996</v>
      </c>
      <c r="G14" s="80">
        <v>0.0030971409348958196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-0.07825802899999999</v>
      </c>
      <c r="E15" s="78">
        <v>0.0009129967883097395</v>
      </c>
      <c r="F15" s="78">
        <v>-0.029452359</v>
      </c>
      <c r="G15" s="78">
        <v>0.002366120590609029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12.506200000000002</v>
      </c>
      <c r="D16" s="83">
        <v>0.05205239500000001</v>
      </c>
      <c r="E16" s="80">
        <v>0.002394042027857697</v>
      </c>
      <c r="F16" s="80">
        <v>-0.0034290287000000004</v>
      </c>
      <c r="G16" s="80">
        <v>0.0018766907050319342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-0.21400000154972076</v>
      </c>
      <c r="D17" s="83">
        <v>0.072892684</v>
      </c>
      <c r="E17" s="80">
        <v>0.0019912361137656375</v>
      </c>
      <c r="F17" s="80">
        <v>0.092482197</v>
      </c>
      <c r="G17" s="80">
        <v>0.002726249383388113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76.29399871826172</v>
      </c>
      <c r="D18" s="83">
        <v>-0.054907467</v>
      </c>
      <c r="E18" s="80">
        <v>0.001045065310119729</v>
      </c>
      <c r="F18" s="80">
        <v>0.13201758000000002</v>
      </c>
      <c r="G18" s="80">
        <v>0.001797821239333116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-0.3919999897480011</v>
      </c>
      <c r="D19" s="87">
        <v>-0.19225116</v>
      </c>
      <c r="E19" s="80">
        <v>0.001153285464403298</v>
      </c>
      <c r="F19" s="80">
        <v>0.0023607073869999994</v>
      </c>
      <c r="G19" s="80">
        <v>0.000832589353972333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-0.2977362</v>
      </c>
      <c r="D20" s="89">
        <v>-0.00144290251</v>
      </c>
      <c r="E20" s="90">
        <v>0.0008557869290956087</v>
      </c>
      <c r="F20" s="90">
        <v>-0.0011908610499999999</v>
      </c>
      <c r="G20" s="90">
        <v>0.0009637903795351703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0.6205983999999999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0.2905127543696026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-3.7548676000000003</v>
      </c>
      <c r="I25" s="102" t="s">
        <v>49</v>
      </c>
      <c r="J25" s="103"/>
      <c r="K25" s="102"/>
      <c r="L25" s="105">
        <v>3.807815436633374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4.440137574447575</v>
      </c>
      <c r="I26" s="107" t="s">
        <v>53</v>
      </c>
      <c r="J26" s="108"/>
      <c r="K26" s="107"/>
      <c r="L26" s="110">
        <v>0.08361674804505208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HCMQAP098_pos2ap2res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4.0952539E-05</v>
      </c>
      <c r="L2" s="55">
        <v>1.5467344663480816E-07</v>
      </c>
      <c r="M2" s="55">
        <v>0.00020078293999999997</v>
      </c>
      <c r="N2" s="56">
        <v>1.279266290157602E-07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-2.8809014999999996E-05</v>
      </c>
      <c r="L3" s="55">
        <v>1.2885791683198224E-07</v>
      </c>
      <c r="M3" s="55">
        <v>1.10519E-05</v>
      </c>
      <c r="N3" s="56">
        <v>1.289311831947927E-07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-0.0037543694136076334</v>
      </c>
      <c r="L4" s="55">
        <v>-3.96424098808719E-05</v>
      </c>
      <c r="M4" s="55">
        <v>8.675308525075854E-09</v>
      </c>
      <c r="N4" s="56">
        <v>5.2793069</v>
      </c>
    </row>
    <row r="5" spans="1:14" ht="15" customHeight="1" thickBot="1">
      <c r="A5" t="s">
        <v>18</v>
      </c>
      <c r="B5" s="59">
        <v>37896.4221875</v>
      </c>
      <c r="D5" s="60"/>
      <c r="E5" s="61" t="s">
        <v>71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2347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-4.0258057</v>
      </c>
      <c r="E8" s="78">
        <v>0.010974487011333533</v>
      </c>
      <c r="F8" s="78">
        <v>1.3054121000000003</v>
      </c>
      <c r="G8" s="78">
        <v>0.005732843782932631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-0.48259975</v>
      </c>
      <c r="E9" s="80">
        <v>0.021356116919913366</v>
      </c>
      <c r="F9" s="80">
        <v>0.56404505</v>
      </c>
      <c r="G9" s="80">
        <v>0.03488820666454551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1.167374</v>
      </c>
      <c r="E10" s="80">
        <v>0.007233835165420488</v>
      </c>
      <c r="F10" s="80">
        <v>-1.415728</v>
      </c>
      <c r="G10" s="80">
        <v>0.0025868554463212836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3.721571</v>
      </c>
      <c r="E11" s="78">
        <v>0.004002663925658888</v>
      </c>
      <c r="F11" s="78">
        <v>0.031096530330000004</v>
      </c>
      <c r="G11" s="78">
        <v>0.005360230932703865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0.44289670000000003</v>
      </c>
      <c r="E12" s="80">
        <v>0.00282597534348444</v>
      </c>
      <c r="F12" s="80">
        <v>0.18297097999999998</v>
      </c>
      <c r="G12" s="80">
        <v>0.0033244038973330304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21.615601</v>
      </c>
      <c r="D13" s="83">
        <v>0.11793594599999999</v>
      </c>
      <c r="E13" s="80">
        <v>0.0014745439203893542</v>
      </c>
      <c r="F13" s="80">
        <v>0.15848023699999997</v>
      </c>
      <c r="G13" s="80">
        <v>0.001633512931338312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0.06054232</v>
      </c>
      <c r="E14" s="80">
        <v>0.001930411187263236</v>
      </c>
      <c r="F14" s="80">
        <v>0.17142635</v>
      </c>
      <c r="G14" s="80">
        <v>0.003159544580472711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-0.069977064</v>
      </c>
      <c r="E15" s="78">
        <v>0.0024833179413687174</v>
      </c>
      <c r="F15" s="78">
        <v>-0.02523060704</v>
      </c>
      <c r="G15" s="78">
        <v>0.0023856074136662142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12.5064</v>
      </c>
      <c r="D16" s="83">
        <v>0.043525289999999994</v>
      </c>
      <c r="E16" s="80">
        <v>0.0012068239225796037</v>
      </c>
      <c r="F16" s="80">
        <v>-0.081318641</v>
      </c>
      <c r="G16" s="80">
        <v>0.002771944136589849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0.4090000092983246</v>
      </c>
      <c r="D17" s="87">
        <v>0.15787230000000002</v>
      </c>
      <c r="E17" s="80">
        <v>0.002165189589389111</v>
      </c>
      <c r="F17" s="80">
        <v>-0.00423673641</v>
      </c>
      <c r="G17" s="80">
        <v>0.0009873568690744467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-7.629000186920166</v>
      </c>
      <c r="D18" s="83">
        <v>0.027756278000000002</v>
      </c>
      <c r="E18" s="80">
        <v>0.0014101132132265516</v>
      </c>
      <c r="F18" s="86">
        <v>0.17886895</v>
      </c>
      <c r="G18" s="80">
        <v>0.0012105535035676954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0.0729999989271164</v>
      </c>
      <c r="D19" s="87">
        <v>-0.18848652</v>
      </c>
      <c r="E19" s="80">
        <v>0.0008436137781065894</v>
      </c>
      <c r="F19" s="80">
        <v>0.0081823942</v>
      </c>
      <c r="G19" s="80">
        <v>0.0014139884322828722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0.1757895</v>
      </c>
      <c r="D20" s="89">
        <v>-0.0029431280999999998</v>
      </c>
      <c r="E20" s="90">
        <v>0.00046179094934466127</v>
      </c>
      <c r="F20" s="90">
        <v>-0.0015297177999999997</v>
      </c>
      <c r="G20" s="90">
        <v>0.002029392640509259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0.9110130999999999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0.30248225962012865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-3.7545786999999997</v>
      </c>
      <c r="I25" s="102" t="s">
        <v>49</v>
      </c>
      <c r="J25" s="103"/>
      <c r="K25" s="102"/>
      <c r="L25" s="105">
        <v>3.721700915205246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4.232164019148939</v>
      </c>
      <c r="I26" s="107" t="s">
        <v>53</v>
      </c>
      <c r="J26" s="108"/>
      <c r="K26" s="107"/>
      <c r="L26" s="110">
        <v>0.07438664542555333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HCMQAP098_pos3ap2res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-2.1864540299999998E-05</v>
      </c>
      <c r="L2" s="55">
        <v>2.2703915476978582E-07</v>
      </c>
      <c r="M2" s="55">
        <v>0.0001667033</v>
      </c>
      <c r="N2" s="56">
        <v>1.44391152776146E-07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-2.93859837E-05</v>
      </c>
      <c r="L3" s="55">
        <v>1.0334152663386182E-07</v>
      </c>
      <c r="M3" s="55">
        <v>1.0306779999999996E-05</v>
      </c>
      <c r="N3" s="56">
        <v>2.2086868632746385E-07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-0.0037549025774548947</v>
      </c>
      <c r="L4" s="55">
        <v>-3.7865915608056446E-05</v>
      </c>
      <c r="M4" s="55">
        <v>9.11290097249644E-08</v>
      </c>
      <c r="N4" s="56">
        <v>5.0420259000000005</v>
      </c>
    </row>
    <row r="5" spans="1:14" ht="15" customHeight="1" thickBot="1">
      <c r="A5" t="s">
        <v>18</v>
      </c>
      <c r="B5" s="59">
        <v>37896.426770833335</v>
      </c>
      <c r="D5" s="60"/>
      <c r="E5" s="61" t="s">
        <v>71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2347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-2.8568258999999996</v>
      </c>
      <c r="E8" s="78">
        <v>0.018136809464225426</v>
      </c>
      <c r="F8" s="78">
        <v>1.7070098000000002</v>
      </c>
      <c r="G8" s="78">
        <v>0.007151135326603247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0.79024775</v>
      </c>
      <c r="E9" s="80">
        <v>0.03376506443146396</v>
      </c>
      <c r="F9" s="80">
        <v>1.429871</v>
      </c>
      <c r="G9" s="80">
        <v>0.03255070084038953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1.7039671000000003</v>
      </c>
      <c r="E10" s="80">
        <v>0.007525066952481957</v>
      </c>
      <c r="F10" s="80">
        <v>-0.26214426</v>
      </c>
      <c r="G10" s="80">
        <v>0.010513376411096292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3.4524833</v>
      </c>
      <c r="E11" s="78">
        <v>0.009002965281522961</v>
      </c>
      <c r="F11" s="78">
        <v>0.105627391</v>
      </c>
      <c r="G11" s="78">
        <v>0.010299396849324816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7">
        <v>0.68605374</v>
      </c>
      <c r="E12" s="80">
        <v>0.0027583210466651945</v>
      </c>
      <c r="F12" s="80">
        <v>0.30972564999999996</v>
      </c>
      <c r="G12" s="80">
        <v>0.004624063132139407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21.936036</v>
      </c>
      <c r="D13" s="83">
        <v>0.22562155</v>
      </c>
      <c r="E13" s="80">
        <v>0.0035976386162301964</v>
      </c>
      <c r="F13" s="80">
        <v>0.26998429</v>
      </c>
      <c r="G13" s="80">
        <v>0.0053592135370213465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0.029579501</v>
      </c>
      <c r="E14" s="80">
        <v>0.0029376070150692437</v>
      </c>
      <c r="F14" s="80">
        <v>0.25102999000000004</v>
      </c>
      <c r="G14" s="80">
        <v>0.004141992817763558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-0.037957635</v>
      </c>
      <c r="E15" s="78">
        <v>0.0029064016972744555</v>
      </c>
      <c r="F15" s="78">
        <v>-0.0037824716</v>
      </c>
      <c r="G15" s="78">
        <v>0.002399295253430253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12.506499999999999</v>
      </c>
      <c r="D16" s="83">
        <v>0.08935623</v>
      </c>
      <c r="E16" s="80">
        <v>0.0021199049254389474</v>
      </c>
      <c r="F16" s="80">
        <v>0.00624468555</v>
      </c>
      <c r="G16" s="80">
        <v>0.002605111986900842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-0.24400000274181366</v>
      </c>
      <c r="D17" s="83">
        <v>0.102197633</v>
      </c>
      <c r="E17" s="80">
        <v>0.0012838793230305666</v>
      </c>
      <c r="F17" s="80">
        <v>0.06195455600000001</v>
      </c>
      <c r="G17" s="80">
        <v>0.001675723728952359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78.83699798583984</v>
      </c>
      <c r="D18" s="83">
        <v>-0.026833495999999995</v>
      </c>
      <c r="E18" s="80">
        <v>0.00135802132883998</v>
      </c>
      <c r="F18" s="86">
        <v>0.15332398</v>
      </c>
      <c r="G18" s="80">
        <v>0.0017733389629747862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-0.39500001072883606</v>
      </c>
      <c r="D19" s="87">
        <v>-0.18156718</v>
      </c>
      <c r="E19" s="80">
        <v>0.0004450091387855657</v>
      </c>
      <c r="F19" s="80">
        <v>0.008772376699999999</v>
      </c>
      <c r="G19" s="80">
        <v>0.0016406741342923832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-0.10659769999999999</v>
      </c>
      <c r="D20" s="89">
        <v>-0.0038376630920000003</v>
      </c>
      <c r="E20" s="90">
        <v>0.001123973506551843</v>
      </c>
      <c r="F20" s="90">
        <v>0.004000617400000001</v>
      </c>
      <c r="G20" s="90">
        <v>0.0013894314851500003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0.7536572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0.28888704827810124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-3.7550935</v>
      </c>
      <c r="I25" s="102" t="s">
        <v>49</v>
      </c>
      <c r="J25" s="103"/>
      <c r="K25" s="102"/>
      <c r="L25" s="105">
        <v>3.454098736647283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3.3279628423717185</v>
      </c>
      <c r="I26" s="107" t="s">
        <v>53</v>
      </c>
      <c r="J26" s="108"/>
      <c r="K26" s="107"/>
      <c r="L26" s="110">
        <v>0.03814563076156995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HCMQAP098_pos4ap2res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2.0584678E-05</v>
      </c>
      <c r="L2" s="55">
        <v>1.6662391096696163E-07</v>
      </c>
      <c r="M2" s="55">
        <v>0.00012566435</v>
      </c>
      <c r="N2" s="56">
        <v>2.8478179716700583E-07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-3.1617639999999996E-05</v>
      </c>
      <c r="L3" s="55">
        <v>1.057855152193621E-07</v>
      </c>
      <c r="M3" s="55">
        <v>1.0034469999999998E-05</v>
      </c>
      <c r="N3" s="56">
        <v>2.0437133262762578E-07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-0.0020918626416165558</v>
      </c>
      <c r="L4" s="55">
        <v>-2.7568855099468627E-05</v>
      </c>
      <c r="M4" s="55">
        <v>5.8994571333468314E-08</v>
      </c>
      <c r="N4" s="56">
        <v>6.5891657</v>
      </c>
    </row>
    <row r="5" spans="1:14" ht="15" customHeight="1" thickBot="1">
      <c r="A5" t="s">
        <v>18</v>
      </c>
      <c r="B5" s="59">
        <v>37896.43126157407</v>
      </c>
      <c r="D5" s="60"/>
      <c r="E5" s="61" t="s">
        <v>78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2347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-1.9144162000000002</v>
      </c>
      <c r="E8" s="78">
        <v>0.024198953251323218</v>
      </c>
      <c r="F8" s="115">
        <v>9.489267100000001</v>
      </c>
      <c r="G8" s="78">
        <v>0.022316770552999972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7">
        <v>-3.4193593</v>
      </c>
      <c r="E9" s="80">
        <v>0.0461980062519937</v>
      </c>
      <c r="F9" s="86">
        <v>3.8122732999999998</v>
      </c>
      <c r="G9" s="80">
        <v>0.08657537690684847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-0.22128387</v>
      </c>
      <c r="E10" s="80">
        <v>0.013065810118572281</v>
      </c>
      <c r="F10" s="86">
        <v>-8.3055468</v>
      </c>
      <c r="G10" s="80">
        <v>0.02463277453411389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6">
        <v>13.310101</v>
      </c>
      <c r="E11" s="78">
        <v>0.010837922032968971</v>
      </c>
      <c r="F11" s="78">
        <v>1.5702330999999998</v>
      </c>
      <c r="G11" s="78">
        <v>0.007450185329271157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0.5796862600000001</v>
      </c>
      <c r="E12" s="80">
        <v>0.012838910275228536</v>
      </c>
      <c r="F12" s="80">
        <v>0.51647087</v>
      </c>
      <c r="G12" s="80">
        <v>0.011569627226085597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22.207642</v>
      </c>
      <c r="D13" s="83">
        <v>0.035156172000000006</v>
      </c>
      <c r="E13" s="80">
        <v>0.004272940221757778</v>
      </c>
      <c r="F13" s="80">
        <v>0.055860771</v>
      </c>
      <c r="G13" s="80">
        <v>0.0068608840252306035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0.102990078</v>
      </c>
      <c r="E14" s="80">
        <v>0.0024067921623686173</v>
      </c>
      <c r="F14" s="80">
        <v>0.36198141</v>
      </c>
      <c r="G14" s="80">
        <v>0.0017872997010602706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-0.29305293</v>
      </c>
      <c r="E15" s="78">
        <v>0.0032224928872854994</v>
      </c>
      <c r="F15" s="78">
        <v>0.13995546</v>
      </c>
      <c r="G15" s="78">
        <v>0.004725570717849916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12.506499999999999</v>
      </c>
      <c r="D16" s="83">
        <v>0.032352959</v>
      </c>
      <c r="E16" s="80">
        <v>0.0049740559098922265</v>
      </c>
      <c r="F16" s="80">
        <v>-0.00890727454</v>
      </c>
      <c r="G16" s="80">
        <v>0.004238291905095549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0.09300000220537186</v>
      </c>
      <c r="D17" s="83">
        <v>0.12938089</v>
      </c>
      <c r="E17" s="80">
        <v>0.0024897465329629933</v>
      </c>
      <c r="F17" s="80">
        <v>0.02180066055</v>
      </c>
      <c r="G17" s="80">
        <v>0.0020962760617623567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9.154999732971191</v>
      </c>
      <c r="D18" s="83">
        <v>-0.029945461</v>
      </c>
      <c r="E18" s="80">
        <v>0.0013299262630589602</v>
      </c>
      <c r="F18" s="80">
        <v>0.14104918</v>
      </c>
      <c r="G18" s="80">
        <v>0.0021827076491368566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0.006000000052154064</v>
      </c>
      <c r="D19" s="83">
        <v>-0.13712115000000002</v>
      </c>
      <c r="E19" s="80">
        <v>0.0008264740994079645</v>
      </c>
      <c r="F19" s="80">
        <v>-0.030297607999999997</v>
      </c>
      <c r="G19" s="80">
        <v>0.0023521253787300604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0.1537991</v>
      </c>
      <c r="D20" s="89">
        <v>-0.00076713878</v>
      </c>
      <c r="E20" s="90">
        <v>0.0015646519797806264</v>
      </c>
      <c r="F20" s="90">
        <v>0.0054401022000000005</v>
      </c>
      <c r="G20" s="90">
        <v>0.0013351938533174316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1.023258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0.377531704009753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-2.0920443</v>
      </c>
      <c r="I25" s="102" t="s">
        <v>49</v>
      </c>
      <c r="J25" s="103"/>
      <c r="K25" s="102"/>
      <c r="L25" s="105">
        <v>13.402403538863341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9.680453475016803</v>
      </c>
      <c r="I26" s="107" t="s">
        <v>53</v>
      </c>
      <c r="J26" s="108"/>
      <c r="K26" s="107"/>
      <c r="L26" s="110">
        <v>0.3247576797635377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HCMQAP098_pos5ap2res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118</v>
      </c>
      <c r="B1" s="131" t="s">
        <v>68</v>
      </c>
      <c r="C1" s="121" t="s">
        <v>72</v>
      </c>
      <c r="D1" s="121" t="s">
        <v>74</v>
      </c>
      <c r="E1" s="121" t="s">
        <v>76</v>
      </c>
      <c r="F1" s="128" t="s">
        <v>79</v>
      </c>
      <c r="G1" s="163" t="s">
        <v>119</v>
      </c>
    </row>
    <row r="2" spans="1:7" ht="13.5" thickBot="1">
      <c r="A2" s="140" t="s">
        <v>88</v>
      </c>
      <c r="B2" s="132">
        <v>-2.2500667</v>
      </c>
      <c r="C2" s="123">
        <v>-3.7548676000000003</v>
      </c>
      <c r="D2" s="123">
        <v>-3.7545786999999997</v>
      </c>
      <c r="E2" s="123">
        <v>-3.7550935</v>
      </c>
      <c r="F2" s="129">
        <v>-2.0920443</v>
      </c>
      <c r="G2" s="164">
        <v>3.1168856365317295</v>
      </c>
    </row>
    <row r="3" spans="1:7" ht="14.25" thickBot="1" thickTop="1">
      <c r="A3" s="148" t="s">
        <v>87</v>
      </c>
      <c r="B3" s="149" t="s">
        <v>82</v>
      </c>
      <c r="C3" s="150" t="s">
        <v>83</v>
      </c>
      <c r="D3" s="150" t="s">
        <v>84</v>
      </c>
      <c r="E3" s="150" t="s">
        <v>85</v>
      </c>
      <c r="F3" s="151" t="s">
        <v>86</v>
      </c>
      <c r="G3" s="158" t="s">
        <v>120</v>
      </c>
    </row>
    <row r="4" spans="1:7" ht="12.75">
      <c r="A4" s="145" t="s">
        <v>89</v>
      </c>
      <c r="B4" s="146">
        <v>-2.2259509</v>
      </c>
      <c r="C4" s="147">
        <v>-4.271297799999999</v>
      </c>
      <c r="D4" s="147">
        <v>-4.0258057</v>
      </c>
      <c r="E4" s="147">
        <v>-2.8568258999999996</v>
      </c>
      <c r="F4" s="152">
        <v>-1.9144162000000002</v>
      </c>
      <c r="G4" s="159">
        <v>-3.261083531991002</v>
      </c>
    </row>
    <row r="5" spans="1:7" ht="12.75">
      <c r="A5" s="140" t="s">
        <v>91</v>
      </c>
      <c r="B5" s="134">
        <v>-0.7576889899999999</v>
      </c>
      <c r="C5" s="118">
        <v>-0.48225819999999997</v>
      </c>
      <c r="D5" s="118">
        <v>-0.48259975</v>
      </c>
      <c r="E5" s="118">
        <v>0.79024775</v>
      </c>
      <c r="F5" s="153">
        <v>-3.4193593</v>
      </c>
      <c r="G5" s="160">
        <v>-0.6095876856005289</v>
      </c>
    </row>
    <row r="6" spans="1:7" ht="12.75">
      <c r="A6" s="140" t="s">
        <v>93</v>
      </c>
      <c r="B6" s="134">
        <v>-0.36180144000000003</v>
      </c>
      <c r="C6" s="118">
        <v>1.3703863000000003</v>
      </c>
      <c r="D6" s="118">
        <v>1.167374</v>
      </c>
      <c r="E6" s="118">
        <v>1.7039671000000003</v>
      </c>
      <c r="F6" s="154">
        <v>-0.22128387</v>
      </c>
      <c r="G6" s="160">
        <v>0.9387125790653329</v>
      </c>
    </row>
    <row r="7" spans="1:7" ht="12.75">
      <c r="A7" s="140" t="s">
        <v>95</v>
      </c>
      <c r="B7" s="133">
        <v>2.5113961000000002</v>
      </c>
      <c r="C7" s="117">
        <v>3.7770969</v>
      </c>
      <c r="D7" s="117">
        <v>3.721571</v>
      </c>
      <c r="E7" s="117">
        <v>3.4524833</v>
      </c>
      <c r="F7" s="155">
        <v>13.310101</v>
      </c>
      <c r="G7" s="160">
        <v>4.781035867240066</v>
      </c>
    </row>
    <row r="8" spans="1:7" ht="12.75">
      <c r="A8" s="140" t="s">
        <v>97</v>
      </c>
      <c r="B8" s="134">
        <v>-0.091751557</v>
      </c>
      <c r="C8" s="118">
        <v>0.32883608999999997</v>
      </c>
      <c r="D8" s="118">
        <v>0.44289670000000003</v>
      </c>
      <c r="E8" s="119">
        <v>0.68605374</v>
      </c>
      <c r="F8" s="154">
        <v>0.5796862600000001</v>
      </c>
      <c r="G8" s="160">
        <v>0.41521430394528536</v>
      </c>
    </row>
    <row r="9" spans="1:7" ht="12.75">
      <c r="A9" s="140" t="s">
        <v>99</v>
      </c>
      <c r="B9" s="134">
        <v>0.027250374499999997</v>
      </c>
      <c r="C9" s="118">
        <v>-0.0034269723999999996</v>
      </c>
      <c r="D9" s="118">
        <v>0.11793594599999999</v>
      </c>
      <c r="E9" s="118">
        <v>0.22562155</v>
      </c>
      <c r="F9" s="154">
        <v>0.035156172000000006</v>
      </c>
      <c r="G9" s="160">
        <v>0.09047587638197298</v>
      </c>
    </row>
    <row r="10" spans="1:7" ht="12.75">
      <c r="A10" s="140" t="s">
        <v>101</v>
      </c>
      <c r="B10" s="134">
        <v>0.13200784299999999</v>
      </c>
      <c r="C10" s="118">
        <v>0.071551528</v>
      </c>
      <c r="D10" s="118">
        <v>0.06054232</v>
      </c>
      <c r="E10" s="118">
        <v>0.029579501</v>
      </c>
      <c r="F10" s="154">
        <v>0.102990078</v>
      </c>
      <c r="G10" s="160">
        <v>0.07173463947730566</v>
      </c>
    </row>
    <row r="11" spans="1:7" ht="12.75">
      <c r="A11" s="140" t="s">
        <v>103</v>
      </c>
      <c r="B11" s="133">
        <v>-0.38159064000000004</v>
      </c>
      <c r="C11" s="117">
        <v>-0.07825802899999999</v>
      </c>
      <c r="D11" s="117">
        <v>-0.069977064</v>
      </c>
      <c r="E11" s="117">
        <v>-0.037957635</v>
      </c>
      <c r="F11" s="156">
        <v>-0.29305293</v>
      </c>
      <c r="G11" s="160">
        <v>-0.13909464187404363</v>
      </c>
    </row>
    <row r="12" spans="1:7" ht="12.75">
      <c r="A12" s="140" t="s">
        <v>105</v>
      </c>
      <c r="B12" s="134">
        <v>-0.071363799</v>
      </c>
      <c r="C12" s="118">
        <v>0.05205239500000001</v>
      </c>
      <c r="D12" s="118">
        <v>0.043525289999999994</v>
      </c>
      <c r="E12" s="118">
        <v>0.08935623</v>
      </c>
      <c r="F12" s="154">
        <v>0.032352959</v>
      </c>
      <c r="G12" s="160">
        <v>0.03854257394158011</v>
      </c>
    </row>
    <row r="13" spans="1:7" ht="12.75">
      <c r="A13" s="140" t="s">
        <v>107</v>
      </c>
      <c r="B13" s="134">
        <v>0.115148585</v>
      </c>
      <c r="C13" s="118">
        <v>0.072892684</v>
      </c>
      <c r="D13" s="119">
        <v>0.15787230000000002</v>
      </c>
      <c r="E13" s="118">
        <v>0.102197633</v>
      </c>
      <c r="F13" s="154">
        <v>0.12938089</v>
      </c>
      <c r="G13" s="161">
        <v>0.11405205336153099</v>
      </c>
    </row>
    <row r="14" spans="1:7" ht="12.75">
      <c r="A14" s="140" t="s">
        <v>109</v>
      </c>
      <c r="B14" s="134">
        <v>0.051231748</v>
      </c>
      <c r="C14" s="118">
        <v>-0.054907467</v>
      </c>
      <c r="D14" s="118">
        <v>0.027756278000000002</v>
      </c>
      <c r="E14" s="118">
        <v>-0.026833495999999995</v>
      </c>
      <c r="F14" s="154">
        <v>-0.029945461</v>
      </c>
      <c r="G14" s="160">
        <v>-0.009617169490105928</v>
      </c>
    </row>
    <row r="15" spans="1:7" ht="12.75">
      <c r="A15" s="140" t="s">
        <v>111</v>
      </c>
      <c r="B15" s="135">
        <v>-0.19767943999999998</v>
      </c>
      <c r="C15" s="119">
        <v>-0.19225116</v>
      </c>
      <c r="D15" s="119">
        <v>-0.18848652</v>
      </c>
      <c r="E15" s="119">
        <v>-0.18156718</v>
      </c>
      <c r="F15" s="154">
        <v>-0.13712115000000002</v>
      </c>
      <c r="G15" s="161">
        <v>-0.18216735572070739</v>
      </c>
    </row>
    <row r="16" spans="1:7" ht="12.75">
      <c r="A16" s="140" t="s">
        <v>113</v>
      </c>
      <c r="B16" s="134">
        <v>-0.003540214918</v>
      </c>
      <c r="C16" s="118">
        <v>-0.00144290251</v>
      </c>
      <c r="D16" s="118">
        <v>-0.0029431280999999998</v>
      </c>
      <c r="E16" s="118">
        <v>-0.0038376630920000003</v>
      </c>
      <c r="F16" s="154">
        <v>-0.00076713878</v>
      </c>
      <c r="G16" s="160">
        <v>-0.002591812056318402</v>
      </c>
    </row>
    <row r="17" spans="1:7" ht="12.75">
      <c r="A17" s="140" t="s">
        <v>90</v>
      </c>
      <c r="B17" s="133">
        <v>-1.1927868</v>
      </c>
      <c r="C17" s="117">
        <v>1.2127805999999999</v>
      </c>
      <c r="D17" s="117">
        <v>1.3054121000000003</v>
      </c>
      <c r="E17" s="117">
        <v>1.7070098000000002</v>
      </c>
      <c r="F17" s="155">
        <v>9.489267100000001</v>
      </c>
      <c r="G17" s="160">
        <v>2.1166105503879216</v>
      </c>
    </row>
    <row r="18" spans="1:7" ht="12.75">
      <c r="A18" s="140" t="s">
        <v>92</v>
      </c>
      <c r="B18" s="134">
        <v>-0.23505808</v>
      </c>
      <c r="C18" s="118">
        <v>0.52227878</v>
      </c>
      <c r="D18" s="118">
        <v>0.56404505</v>
      </c>
      <c r="E18" s="118">
        <v>1.429871</v>
      </c>
      <c r="F18" s="153">
        <v>3.8122732999999998</v>
      </c>
      <c r="G18" s="160">
        <v>1.082531222306308</v>
      </c>
    </row>
    <row r="19" spans="1:7" ht="12.75">
      <c r="A19" s="140" t="s">
        <v>94</v>
      </c>
      <c r="B19" s="134">
        <v>-1.9879323</v>
      </c>
      <c r="C19" s="118">
        <v>-0.74134352</v>
      </c>
      <c r="D19" s="118">
        <v>-1.415728</v>
      </c>
      <c r="E19" s="118">
        <v>-0.26214426</v>
      </c>
      <c r="F19" s="153">
        <v>-8.3055468</v>
      </c>
      <c r="G19" s="161">
        <v>-1.9819779190361275</v>
      </c>
    </row>
    <row r="20" spans="1:7" ht="12.75">
      <c r="A20" s="140" t="s">
        <v>96</v>
      </c>
      <c r="B20" s="133">
        <v>0.11719388099999999</v>
      </c>
      <c r="C20" s="117">
        <v>-0.48269805000000005</v>
      </c>
      <c r="D20" s="117">
        <v>0.031096530330000004</v>
      </c>
      <c r="E20" s="117">
        <v>0.105627391</v>
      </c>
      <c r="F20" s="156">
        <v>1.5702330999999998</v>
      </c>
      <c r="G20" s="160">
        <v>0.14414489794741817</v>
      </c>
    </row>
    <row r="21" spans="1:7" ht="12.75">
      <c r="A21" s="140" t="s">
        <v>98</v>
      </c>
      <c r="B21" s="134">
        <v>-0.16317698</v>
      </c>
      <c r="C21" s="118">
        <v>0.36233978</v>
      </c>
      <c r="D21" s="118">
        <v>0.18297097999999998</v>
      </c>
      <c r="E21" s="118">
        <v>0.30972564999999996</v>
      </c>
      <c r="F21" s="154">
        <v>0.51647087</v>
      </c>
      <c r="G21" s="160">
        <v>0.25142399356000866</v>
      </c>
    </row>
    <row r="22" spans="1:7" ht="12.75">
      <c r="A22" s="140" t="s">
        <v>100</v>
      </c>
      <c r="B22" s="134">
        <v>-0.12380438899999999</v>
      </c>
      <c r="C22" s="118">
        <v>0.10836937709999998</v>
      </c>
      <c r="D22" s="118">
        <v>0.15848023699999997</v>
      </c>
      <c r="E22" s="118">
        <v>0.26998429</v>
      </c>
      <c r="F22" s="154">
        <v>0.055860771</v>
      </c>
      <c r="G22" s="160">
        <v>0.11879874394054155</v>
      </c>
    </row>
    <row r="23" spans="1:7" ht="12.75">
      <c r="A23" s="140" t="s">
        <v>102</v>
      </c>
      <c r="B23" s="134">
        <v>0.23927832</v>
      </c>
      <c r="C23" s="118">
        <v>0.14575447999999996</v>
      </c>
      <c r="D23" s="118">
        <v>0.17142635</v>
      </c>
      <c r="E23" s="118">
        <v>0.25102999000000004</v>
      </c>
      <c r="F23" s="154">
        <v>0.36198141</v>
      </c>
      <c r="G23" s="160">
        <v>0.2197292007039758</v>
      </c>
    </row>
    <row r="24" spans="1:7" ht="12.75">
      <c r="A24" s="140" t="s">
        <v>104</v>
      </c>
      <c r="B24" s="133">
        <v>0.055315555</v>
      </c>
      <c r="C24" s="117">
        <v>-0.029452359</v>
      </c>
      <c r="D24" s="117">
        <v>-0.02523060704</v>
      </c>
      <c r="E24" s="117">
        <v>-0.0037824716</v>
      </c>
      <c r="F24" s="156">
        <v>0.13995546</v>
      </c>
      <c r="G24" s="160">
        <v>0.012669801504892993</v>
      </c>
    </row>
    <row r="25" spans="1:7" ht="12.75">
      <c r="A25" s="140" t="s">
        <v>106</v>
      </c>
      <c r="B25" s="134">
        <v>-0.050136111</v>
      </c>
      <c r="C25" s="118">
        <v>-0.0034290287000000004</v>
      </c>
      <c r="D25" s="118">
        <v>-0.081318641</v>
      </c>
      <c r="E25" s="118">
        <v>0.00624468555</v>
      </c>
      <c r="F25" s="154">
        <v>-0.00890727454</v>
      </c>
      <c r="G25" s="160">
        <v>-0.02730806374016158</v>
      </c>
    </row>
    <row r="26" spans="1:7" ht="12.75">
      <c r="A26" s="140" t="s">
        <v>108</v>
      </c>
      <c r="B26" s="134">
        <v>-0.080265067</v>
      </c>
      <c r="C26" s="118">
        <v>0.092482197</v>
      </c>
      <c r="D26" s="118">
        <v>-0.00423673641</v>
      </c>
      <c r="E26" s="118">
        <v>0.06195455600000001</v>
      </c>
      <c r="F26" s="154">
        <v>0.02180066055</v>
      </c>
      <c r="G26" s="160">
        <v>0.027488446691617926</v>
      </c>
    </row>
    <row r="27" spans="1:7" ht="12.75">
      <c r="A27" s="140" t="s">
        <v>110</v>
      </c>
      <c r="B27" s="135">
        <v>0.15995792999999997</v>
      </c>
      <c r="C27" s="118">
        <v>0.13201758000000002</v>
      </c>
      <c r="D27" s="119">
        <v>0.17886895</v>
      </c>
      <c r="E27" s="119">
        <v>0.15332398</v>
      </c>
      <c r="F27" s="154">
        <v>0.14104918</v>
      </c>
      <c r="G27" s="161">
        <v>0.15365430672406075</v>
      </c>
    </row>
    <row r="28" spans="1:7" ht="12.75">
      <c r="A28" s="140" t="s">
        <v>112</v>
      </c>
      <c r="B28" s="134">
        <v>0.003800563965</v>
      </c>
      <c r="C28" s="118">
        <v>0.0023607073869999994</v>
      </c>
      <c r="D28" s="118">
        <v>0.0081823942</v>
      </c>
      <c r="E28" s="118">
        <v>0.008772376699999999</v>
      </c>
      <c r="F28" s="154">
        <v>-0.030297607999999997</v>
      </c>
      <c r="G28" s="160">
        <v>0.0011337644386458642</v>
      </c>
    </row>
    <row r="29" spans="1:7" ht="13.5" thickBot="1">
      <c r="A29" s="141" t="s">
        <v>114</v>
      </c>
      <c r="B29" s="136">
        <v>-0.003755963893</v>
      </c>
      <c r="C29" s="120">
        <v>-0.0011908610499999999</v>
      </c>
      <c r="D29" s="120">
        <v>-0.0015297177999999997</v>
      </c>
      <c r="E29" s="120">
        <v>0.004000617400000001</v>
      </c>
      <c r="F29" s="157">
        <v>0.0054401022000000005</v>
      </c>
      <c r="G29" s="162">
        <v>0.0004957813543168955</v>
      </c>
    </row>
    <row r="30" spans="1:7" ht="13.5" thickTop="1">
      <c r="A30" s="142" t="s">
        <v>115</v>
      </c>
      <c r="B30" s="137">
        <v>0.2718469367422229</v>
      </c>
      <c r="C30" s="126">
        <v>0.2905127543696026</v>
      </c>
      <c r="D30" s="126">
        <v>0.30248225962012865</v>
      </c>
      <c r="E30" s="126">
        <v>0.28888704827810124</v>
      </c>
      <c r="F30" s="122">
        <v>0.377531704009753</v>
      </c>
      <c r="G30" s="163" t="s">
        <v>126</v>
      </c>
    </row>
    <row r="31" spans="1:7" ht="13.5" thickBot="1">
      <c r="A31" s="143" t="s">
        <v>116</v>
      </c>
      <c r="B31" s="132">
        <v>20.996094</v>
      </c>
      <c r="C31" s="123">
        <v>21.298218</v>
      </c>
      <c r="D31" s="123">
        <v>21.615601</v>
      </c>
      <c r="E31" s="123">
        <v>21.936036</v>
      </c>
      <c r="F31" s="124">
        <v>22.207642</v>
      </c>
      <c r="G31" s="165">
        <v>-209.74</v>
      </c>
    </row>
    <row r="32" spans="1:7" ht="15.75" thickBot="1" thickTop="1">
      <c r="A32" s="144" t="s">
        <v>117</v>
      </c>
      <c r="B32" s="138">
        <v>0.36249999701976776</v>
      </c>
      <c r="C32" s="127">
        <v>-0.30299999564886093</v>
      </c>
      <c r="D32" s="127">
        <v>0.2410000041127205</v>
      </c>
      <c r="E32" s="127">
        <v>-0.31950000673532486</v>
      </c>
      <c r="F32" s="125">
        <v>0.04950000112876296</v>
      </c>
      <c r="G32" s="130" t="s">
        <v>125</v>
      </c>
    </row>
    <row r="33" spans="1:7" ht="15" thickTop="1">
      <c r="A33" t="s">
        <v>121</v>
      </c>
      <c r="G33" s="32" t="s">
        <v>122</v>
      </c>
    </row>
    <row r="34" ht="14.25">
      <c r="A34" t="s">
        <v>123</v>
      </c>
    </row>
    <row r="35" spans="1:2" ht="12.75">
      <c r="A35" t="s">
        <v>124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9" bestFit="1" customWidth="1"/>
    <col min="2" max="2" width="15.66015625" style="169" bestFit="1" customWidth="1"/>
    <col min="3" max="3" width="14.83203125" style="169" bestFit="1" customWidth="1"/>
    <col min="4" max="4" width="16" style="169" bestFit="1" customWidth="1"/>
    <col min="5" max="5" width="21.33203125" style="169" bestFit="1" customWidth="1"/>
    <col min="6" max="7" width="14.83203125" style="169" bestFit="1" customWidth="1"/>
    <col min="8" max="8" width="14.16015625" style="169" bestFit="1" customWidth="1"/>
    <col min="9" max="9" width="14.83203125" style="169" bestFit="1" customWidth="1"/>
    <col min="10" max="10" width="6.33203125" style="169" bestFit="1" customWidth="1"/>
    <col min="11" max="11" width="15" style="169" bestFit="1" customWidth="1"/>
    <col min="12" max="16384" width="10.66015625" style="169" customWidth="1"/>
  </cols>
  <sheetData>
    <row r="1" spans="1:5" ht="12.75">
      <c r="A1" s="169" t="s">
        <v>127</v>
      </c>
      <c r="B1" s="169" t="s">
        <v>128</v>
      </c>
      <c r="C1" s="169" t="s">
        <v>129</v>
      </c>
      <c r="D1" s="169" t="s">
        <v>130</v>
      </c>
      <c r="E1" s="169" t="s">
        <v>131</v>
      </c>
    </row>
    <row r="3" spans="1:7" ht="12.75">
      <c r="A3" s="169" t="s">
        <v>132</v>
      </c>
      <c r="B3" s="169" t="s">
        <v>82</v>
      </c>
      <c r="C3" s="169" t="s">
        <v>83</v>
      </c>
      <c r="D3" s="169" t="s">
        <v>84</v>
      </c>
      <c r="E3" s="169" t="s">
        <v>85</v>
      </c>
      <c r="F3" s="169" t="s">
        <v>86</v>
      </c>
      <c r="G3" s="169" t="s">
        <v>133</v>
      </c>
    </row>
    <row r="4" spans="1:7" ht="12.75">
      <c r="A4" s="169" t="s">
        <v>134</v>
      </c>
      <c r="B4" s="169">
        <v>0.002249</v>
      </c>
      <c r="C4" s="169">
        <v>0.003753</v>
      </c>
      <c r="D4" s="169">
        <v>0.003753</v>
      </c>
      <c r="E4" s="169">
        <v>0.003753</v>
      </c>
      <c r="F4" s="169">
        <v>0.002091</v>
      </c>
      <c r="G4" s="169">
        <v>0.011697</v>
      </c>
    </row>
    <row r="5" spans="1:7" ht="12.75">
      <c r="A5" s="169" t="s">
        <v>135</v>
      </c>
      <c r="B5" s="169">
        <v>0.709932</v>
      </c>
      <c r="C5" s="169">
        <v>-0.176572</v>
      </c>
      <c r="D5" s="169">
        <v>0.249607</v>
      </c>
      <c r="E5" s="169">
        <v>0.098797</v>
      </c>
      <c r="F5" s="169">
        <v>-1.026342</v>
      </c>
      <c r="G5" s="169">
        <v>-5.281704</v>
      </c>
    </row>
    <row r="6" spans="1:7" ht="12.75">
      <c r="A6" s="169" t="s">
        <v>136</v>
      </c>
      <c r="B6" s="170">
        <v>-143.5785</v>
      </c>
      <c r="C6" s="170">
        <v>170.5281</v>
      </c>
      <c r="D6" s="170">
        <v>-108.4014</v>
      </c>
      <c r="E6" s="170">
        <v>58.08049</v>
      </c>
      <c r="F6" s="170">
        <v>-98.55314</v>
      </c>
      <c r="G6" s="170">
        <v>951.3867</v>
      </c>
    </row>
    <row r="7" spans="1:7" ht="12.75">
      <c r="A7" s="169" t="s">
        <v>137</v>
      </c>
      <c r="B7" s="170">
        <v>10000</v>
      </c>
      <c r="C7" s="170">
        <v>10000</v>
      </c>
      <c r="D7" s="170">
        <v>10000</v>
      </c>
      <c r="E7" s="170">
        <v>10000</v>
      </c>
      <c r="F7" s="170">
        <v>10000</v>
      </c>
      <c r="G7" s="170">
        <v>10000</v>
      </c>
    </row>
    <row r="8" spans="1:7" ht="12.75">
      <c r="A8" s="169" t="s">
        <v>89</v>
      </c>
      <c r="B8" s="170">
        <v>-2.253042</v>
      </c>
      <c r="C8" s="170">
        <v>-4.225633</v>
      </c>
      <c r="D8" s="170">
        <v>-4.051078</v>
      </c>
      <c r="E8" s="170">
        <v>-2.859102</v>
      </c>
      <c r="F8" s="170">
        <v>-2.10238</v>
      </c>
      <c r="G8" s="170">
        <v>2.11098</v>
      </c>
    </row>
    <row r="9" spans="1:7" ht="12.75">
      <c r="A9" s="169" t="s">
        <v>91</v>
      </c>
      <c r="B9" s="170">
        <v>-0.7585547</v>
      </c>
      <c r="C9" s="170">
        <v>-0.6030551</v>
      </c>
      <c r="D9" s="170">
        <v>-0.3997142</v>
      </c>
      <c r="E9" s="170">
        <v>0.7424509</v>
      </c>
      <c r="F9" s="170">
        <v>-3.038177</v>
      </c>
      <c r="G9" s="170">
        <v>0.5792366</v>
      </c>
    </row>
    <row r="10" spans="1:7" ht="12.75">
      <c r="A10" s="169" t="s">
        <v>138</v>
      </c>
      <c r="B10" s="170">
        <v>-0.1791173</v>
      </c>
      <c r="C10" s="170">
        <v>1.009113</v>
      </c>
      <c r="D10" s="170">
        <v>1.361182</v>
      </c>
      <c r="E10" s="170">
        <v>1.596555</v>
      </c>
      <c r="F10" s="170">
        <v>0.2465075</v>
      </c>
      <c r="G10" s="170">
        <v>1.879394</v>
      </c>
    </row>
    <row r="11" spans="1:7" ht="12.75">
      <c r="A11" s="169" t="s">
        <v>95</v>
      </c>
      <c r="B11" s="170">
        <v>2.500454</v>
      </c>
      <c r="C11" s="170">
        <v>3.761374</v>
      </c>
      <c r="D11" s="170">
        <v>3.737998</v>
      </c>
      <c r="E11" s="170">
        <v>3.428661</v>
      </c>
      <c r="F11" s="170">
        <v>13.3069</v>
      </c>
      <c r="G11" s="170">
        <v>4.773558</v>
      </c>
    </row>
    <row r="12" spans="1:7" ht="12.75">
      <c r="A12" s="169" t="s">
        <v>97</v>
      </c>
      <c r="B12" s="170">
        <v>-0.08928818</v>
      </c>
      <c r="C12" s="170">
        <v>0.3356284</v>
      </c>
      <c r="D12" s="170">
        <v>0.4433551</v>
      </c>
      <c r="E12" s="170">
        <v>0.6807405</v>
      </c>
      <c r="F12" s="170">
        <v>0.5769555</v>
      </c>
      <c r="G12" s="170">
        <v>0.2405494</v>
      </c>
    </row>
    <row r="13" spans="1:7" ht="12.75">
      <c r="A13" s="169" t="s">
        <v>99</v>
      </c>
      <c r="B13" s="170">
        <v>0.03634174</v>
      </c>
      <c r="C13" s="170">
        <v>-0.0009667924</v>
      </c>
      <c r="D13" s="170">
        <v>0.1138997</v>
      </c>
      <c r="E13" s="170">
        <v>0.2301784</v>
      </c>
      <c r="F13" s="170">
        <v>0.00834871</v>
      </c>
      <c r="G13" s="170">
        <v>-0.08891566</v>
      </c>
    </row>
    <row r="14" spans="1:7" ht="12.75">
      <c r="A14" s="169" t="s">
        <v>101</v>
      </c>
      <c r="B14" s="170">
        <v>0.08155113</v>
      </c>
      <c r="C14" s="170">
        <v>0.08190687</v>
      </c>
      <c r="D14" s="170">
        <v>0.05514702</v>
      </c>
      <c r="E14" s="170">
        <v>0.0312663</v>
      </c>
      <c r="F14" s="170">
        <v>0.06537169</v>
      </c>
      <c r="G14" s="170">
        <v>-0.2177241</v>
      </c>
    </row>
    <row r="15" spans="1:7" ht="12.75">
      <c r="A15" s="169" t="s">
        <v>103</v>
      </c>
      <c r="B15" s="170">
        <v>-0.3859639</v>
      </c>
      <c r="C15" s="170">
        <v>-0.08695983</v>
      </c>
      <c r="D15" s="170">
        <v>-0.05796345</v>
      </c>
      <c r="E15" s="170">
        <v>-0.04160793</v>
      </c>
      <c r="F15" s="170">
        <v>-0.2873681</v>
      </c>
      <c r="G15" s="170">
        <v>-0.1390449</v>
      </c>
    </row>
    <row r="16" spans="1:7" ht="12.75">
      <c r="A16" s="169" t="s">
        <v>105</v>
      </c>
      <c r="B16" s="170">
        <v>-0.0533439</v>
      </c>
      <c r="C16" s="170">
        <v>0.04519968</v>
      </c>
      <c r="D16" s="170">
        <v>0.06047412</v>
      </c>
      <c r="E16" s="170">
        <v>0.0842882</v>
      </c>
      <c r="F16" s="170">
        <v>0.0406323</v>
      </c>
      <c r="G16" s="170">
        <v>-0.0300031</v>
      </c>
    </row>
    <row r="17" spans="1:7" ht="12.75">
      <c r="A17" s="169" t="s">
        <v>139</v>
      </c>
      <c r="B17" s="170">
        <v>0.120415</v>
      </c>
      <c r="C17" s="170">
        <v>0.1016196</v>
      </c>
      <c r="D17" s="170">
        <v>0.1485403</v>
      </c>
      <c r="E17" s="170">
        <v>0.1103258</v>
      </c>
      <c r="F17" s="170">
        <v>0.1063907</v>
      </c>
      <c r="G17" s="170">
        <v>-0.1183538</v>
      </c>
    </row>
    <row r="18" spans="1:7" ht="12.75">
      <c r="A18" s="169" t="s">
        <v>140</v>
      </c>
      <c r="B18" s="170">
        <v>0.03857768</v>
      </c>
      <c r="C18" s="170">
        <v>-0.04086916</v>
      </c>
      <c r="D18" s="170">
        <v>0.01912718</v>
      </c>
      <c r="E18" s="170">
        <v>-0.02223389</v>
      </c>
      <c r="F18" s="170">
        <v>-0.03159899</v>
      </c>
      <c r="G18" s="170">
        <v>-0.1541372</v>
      </c>
    </row>
    <row r="19" spans="1:7" ht="12.75">
      <c r="A19" s="169" t="s">
        <v>141</v>
      </c>
      <c r="B19" s="170">
        <v>-0.1977391</v>
      </c>
      <c r="C19" s="170">
        <v>-0.1922483</v>
      </c>
      <c r="D19" s="170">
        <v>-0.1886246</v>
      </c>
      <c r="E19" s="170">
        <v>-0.1816367</v>
      </c>
      <c r="F19" s="170">
        <v>-0.1376434</v>
      </c>
      <c r="G19" s="170">
        <v>-0.1822947</v>
      </c>
    </row>
    <row r="20" spans="1:7" ht="12.75">
      <c r="A20" s="169" t="s">
        <v>113</v>
      </c>
      <c r="B20" s="170">
        <v>-0.003478489</v>
      </c>
      <c r="C20" s="170">
        <v>-0.001414108</v>
      </c>
      <c r="D20" s="170">
        <v>-0.002915484</v>
      </c>
      <c r="E20" s="170">
        <v>-0.003898637</v>
      </c>
      <c r="F20" s="170">
        <v>-0.0006565342</v>
      </c>
      <c r="G20" s="170">
        <v>0.0004888356</v>
      </c>
    </row>
    <row r="21" spans="1:7" ht="12.75">
      <c r="A21" s="169" t="s">
        <v>142</v>
      </c>
      <c r="B21" s="170">
        <v>-971.7296</v>
      </c>
      <c r="C21" s="170">
        <v>-841.6719</v>
      </c>
      <c r="D21" s="170">
        <v>-1011.066</v>
      </c>
      <c r="E21" s="170">
        <v>-919.3332</v>
      </c>
      <c r="F21" s="170">
        <v>-1076.848</v>
      </c>
      <c r="G21" s="170">
        <v>-4.993276</v>
      </c>
    </row>
    <row r="22" spans="1:7" ht="12.75">
      <c r="A22" s="169" t="s">
        <v>143</v>
      </c>
      <c r="B22" s="170">
        <v>14.19864</v>
      </c>
      <c r="C22" s="170">
        <v>-3.531432</v>
      </c>
      <c r="D22" s="170">
        <v>4.99214</v>
      </c>
      <c r="E22" s="170">
        <v>1.975941</v>
      </c>
      <c r="F22" s="170">
        <v>-20.52687</v>
      </c>
      <c r="G22" s="170">
        <v>0</v>
      </c>
    </row>
    <row r="23" spans="1:7" ht="12.75">
      <c r="A23" s="169" t="s">
        <v>90</v>
      </c>
      <c r="B23" s="170">
        <v>-1.204477</v>
      </c>
      <c r="C23" s="170">
        <v>1.211696</v>
      </c>
      <c r="D23" s="170">
        <v>1.317356</v>
      </c>
      <c r="E23" s="170">
        <v>1.677104</v>
      </c>
      <c r="F23" s="170">
        <v>9.492988</v>
      </c>
      <c r="G23" s="170">
        <v>3.28578</v>
      </c>
    </row>
    <row r="24" spans="1:7" ht="12.75">
      <c r="A24" s="169" t="s">
        <v>92</v>
      </c>
      <c r="B24" s="170">
        <v>-0.3467751</v>
      </c>
      <c r="C24" s="170">
        <v>0.5302204</v>
      </c>
      <c r="D24" s="170">
        <v>0.538505</v>
      </c>
      <c r="E24" s="170">
        <v>1.417784</v>
      </c>
      <c r="F24" s="170">
        <v>3.555399</v>
      </c>
      <c r="G24" s="170">
        <v>-1.024891</v>
      </c>
    </row>
    <row r="25" spans="1:7" ht="12.75">
      <c r="A25" s="169" t="s">
        <v>94</v>
      </c>
      <c r="B25" s="170">
        <v>-1.952614</v>
      </c>
      <c r="C25" s="170">
        <v>-0.9028784</v>
      </c>
      <c r="D25" s="170">
        <v>-1.298725</v>
      </c>
      <c r="E25" s="170">
        <v>-0.3187641</v>
      </c>
      <c r="F25" s="170">
        <v>-7.39608</v>
      </c>
      <c r="G25" s="170">
        <v>0.9615577</v>
      </c>
    </row>
    <row r="26" spans="1:7" ht="12.75">
      <c r="A26" s="169" t="s">
        <v>96</v>
      </c>
      <c r="B26" s="170">
        <v>0.1142291</v>
      </c>
      <c r="C26" s="170">
        <v>-0.5462082</v>
      </c>
      <c r="D26" s="170">
        <v>0.06497107</v>
      </c>
      <c r="E26" s="170">
        <v>0.0830043</v>
      </c>
      <c r="F26" s="170">
        <v>1.5608</v>
      </c>
      <c r="G26" s="170">
        <v>0.1297174</v>
      </c>
    </row>
    <row r="27" spans="1:7" ht="12.75">
      <c r="A27" s="169" t="s">
        <v>98</v>
      </c>
      <c r="B27" s="170">
        <v>-0.1837776</v>
      </c>
      <c r="C27" s="170">
        <v>0.3441679</v>
      </c>
      <c r="D27" s="170">
        <v>0.1949927</v>
      </c>
      <c r="E27" s="170">
        <v>0.2874442</v>
      </c>
      <c r="F27" s="170">
        <v>0.5086414</v>
      </c>
      <c r="G27" s="170">
        <v>-0.4156826</v>
      </c>
    </row>
    <row r="28" spans="1:7" ht="12.75">
      <c r="A28" s="169" t="s">
        <v>100</v>
      </c>
      <c r="B28" s="170">
        <v>-0.09754403</v>
      </c>
      <c r="C28" s="170">
        <v>0.08033079</v>
      </c>
      <c r="D28" s="170">
        <v>0.175957</v>
      </c>
      <c r="E28" s="170">
        <v>0.2567088</v>
      </c>
      <c r="F28" s="170">
        <v>0.08768963</v>
      </c>
      <c r="G28" s="170">
        <v>-0.1211117</v>
      </c>
    </row>
    <row r="29" spans="1:7" ht="12.75">
      <c r="A29" s="169" t="s">
        <v>102</v>
      </c>
      <c r="B29" s="170">
        <v>0.2366458</v>
      </c>
      <c r="C29" s="170">
        <v>0.1579409</v>
      </c>
      <c r="D29" s="170">
        <v>0.1642486</v>
      </c>
      <c r="E29" s="170">
        <v>0.2517737</v>
      </c>
      <c r="F29" s="170">
        <v>0.3395457</v>
      </c>
      <c r="G29" s="170">
        <v>0.0610287</v>
      </c>
    </row>
    <row r="30" spans="1:7" ht="12.75">
      <c r="A30" s="169" t="s">
        <v>104</v>
      </c>
      <c r="B30" s="170">
        <v>0.04509973</v>
      </c>
      <c r="C30" s="170">
        <v>-0.03179076</v>
      </c>
      <c r="D30" s="170">
        <v>-0.03029532</v>
      </c>
      <c r="E30" s="170">
        <v>-0.006910757</v>
      </c>
      <c r="F30" s="170">
        <v>0.1473323</v>
      </c>
      <c r="G30" s="170">
        <v>0.009661734</v>
      </c>
    </row>
    <row r="31" spans="1:7" ht="12.75">
      <c r="A31" s="169" t="s">
        <v>106</v>
      </c>
      <c r="B31" s="170">
        <v>-0.0563497</v>
      </c>
      <c r="C31" s="170">
        <v>-0.02813274</v>
      </c>
      <c r="D31" s="170">
        <v>-0.06857673</v>
      </c>
      <c r="E31" s="170">
        <v>0.0002361248</v>
      </c>
      <c r="F31" s="170">
        <v>0.009945154</v>
      </c>
      <c r="G31" s="170">
        <v>-0.04345797</v>
      </c>
    </row>
    <row r="32" spans="1:7" ht="12.75">
      <c r="A32" s="169" t="s">
        <v>108</v>
      </c>
      <c r="B32" s="170">
        <v>-0.05278435</v>
      </c>
      <c r="C32" s="170">
        <v>0.06957982</v>
      </c>
      <c r="D32" s="170">
        <v>0.01955053</v>
      </c>
      <c r="E32" s="170">
        <v>0.05114139</v>
      </c>
      <c r="F32" s="170">
        <v>0.03050215</v>
      </c>
      <c r="G32" s="170">
        <v>-0.030219179999999998</v>
      </c>
    </row>
    <row r="33" spans="1:7" ht="12.75">
      <c r="A33" s="169" t="s">
        <v>110</v>
      </c>
      <c r="B33" s="170">
        <v>0.1590968</v>
      </c>
      <c r="C33" s="170">
        <v>0.1405465</v>
      </c>
      <c r="D33" s="170">
        <v>0.1748826</v>
      </c>
      <c r="E33" s="170">
        <v>0.1554753</v>
      </c>
      <c r="F33" s="170">
        <v>0.1335585</v>
      </c>
      <c r="G33" s="170">
        <v>-0.009243068</v>
      </c>
    </row>
    <row r="34" spans="1:7" ht="12.75">
      <c r="A34" s="169" t="s">
        <v>112</v>
      </c>
      <c r="B34" s="170">
        <v>0.001786962</v>
      </c>
      <c r="C34" s="170">
        <v>0.002874087</v>
      </c>
      <c r="D34" s="170">
        <v>0.007494693</v>
      </c>
      <c r="E34" s="170">
        <v>0.008517772</v>
      </c>
      <c r="F34" s="170">
        <v>-0.02827241</v>
      </c>
      <c r="G34" s="170">
        <v>0.00102703</v>
      </c>
    </row>
    <row r="35" spans="1:7" ht="12.75">
      <c r="A35" s="169" t="s">
        <v>114</v>
      </c>
      <c r="B35" s="170">
        <v>-0.003793398</v>
      </c>
      <c r="C35" s="170">
        <v>-0.001185167</v>
      </c>
      <c r="D35" s="170">
        <v>-0.001540083</v>
      </c>
      <c r="E35" s="170">
        <v>0.003989931</v>
      </c>
      <c r="F35" s="170">
        <v>0.005453919</v>
      </c>
      <c r="G35" s="170">
        <v>0.002569113</v>
      </c>
    </row>
    <row r="36" spans="1:6" ht="12.75">
      <c r="A36" s="169" t="s">
        <v>144</v>
      </c>
      <c r="B36" s="170">
        <v>22.20764</v>
      </c>
      <c r="C36" s="170">
        <v>22.21069</v>
      </c>
      <c r="D36" s="170">
        <v>22.21985</v>
      </c>
      <c r="E36" s="170">
        <v>22.21375</v>
      </c>
      <c r="F36" s="170">
        <v>22.21985</v>
      </c>
    </row>
    <row r="37" spans="1:6" ht="12.75">
      <c r="A37" s="169" t="s">
        <v>145</v>
      </c>
      <c r="B37" s="170">
        <v>0.06663005</v>
      </c>
      <c r="C37" s="170">
        <v>0.03967285</v>
      </c>
      <c r="D37" s="170">
        <v>0.03306071</v>
      </c>
      <c r="E37" s="170">
        <v>0.03255208</v>
      </c>
      <c r="F37" s="170">
        <v>0.02950033</v>
      </c>
    </row>
    <row r="38" spans="1:7" ht="12.75">
      <c r="A38" s="169" t="s">
        <v>146</v>
      </c>
      <c r="B38" s="170">
        <v>0.0002464285</v>
      </c>
      <c r="C38" s="170">
        <v>-0.000290403</v>
      </c>
      <c r="D38" s="170">
        <v>0.0001851403</v>
      </c>
      <c r="E38" s="170">
        <v>-9.842802E-05</v>
      </c>
      <c r="F38" s="170">
        <v>0.0001637819</v>
      </c>
      <c r="G38" s="170">
        <v>0</v>
      </c>
    </row>
    <row r="39" spans="1:7" ht="12.75">
      <c r="A39" s="169" t="s">
        <v>147</v>
      </c>
      <c r="B39" s="170">
        <v>0.00165159</v>
      </c>
      <c r="C39" s="170">
        <v>0.00143074</v>
      </c>
      <c r="D39" s="170">
        <v>0.001718719</v>
      </c>
      <c r="E39" s="170">
        <v>0.001562886</v>
      </c>
      <c r="F39" s="170">
        <v>0.001830978</v>
      </c>
      <c r="G39" s="170">
        <v>0.0008086822</v>
      </c>
    </row>
    <row r="40" spans="2:5" ht="12.75">
      <c r="B40" s="169" t="s">
        <v>148</v>
      </c>
      <c r="C40" s="169">
        <v>0.003753</v>
      </c>
      <c r="D40" s="169" t="s">
        <v>149</v>
      </c>
      <c r="E40" s="169">
        <v>3.116888</v>
      </c>
    </row>
    <row r="42" ht="12.75">
      <c r="A42" s="169" t="s">
        <v>150</v>
      </c>
    </row>
    <row r="50" spans="1:7" ht="12.75">
      <c r="A50" s="169" t="s">
        <v>151</v>
      </c>
      <c r="B50" s="169">
        <f>-0.017/(B7*B7+B22*B22)*(B21*B22+B6*B7)</f>
        <v>0.0002464284837872978</v>
      </c>
      <c r="C50" s="169">
        <f>-0.017/(C7*C7+C22*C22)*(C21*C22+C6*C7)</f>
        <v>-0.00029040302598760124</v>
      </c>
      <c r="D50" s="169">
        <f>-0.017/(D7*D7+D22*D22)*(D21*D22+D6*D7)</f>
        <v>0.00018514038897391954</v>
      </c>
      <c r="E50" s="169">
        <f>-0.017/(E7*E7+E22*E22)*(E21*E22+E6*E7)</f>
        <v>-9.842801596940082E-05</v>
      </c>
      <c r="F50" s="169">
        <f>-0.017/(F7*F7+F22*F22)*(F21*F22+F6*F7)</f>
        <v>0.00016378191368700984</v>
      </c>
      <c r="G50" s="169">
        <f>(B50*B$4+C50*C$4+D50*D$4+E50*E$4+F50*F$4)/SUM(B$4:F$4)</f>
        <v>8.477121668803232E-06</v>
      </c>
    </row>
    <row r="51" spans="1:7" ht="12.75">
      <c r="A51" s="169" t="s">
        <v>152</v>
      </c>
      <c r="B51" s="169">
        <f>-0.017/(B7*B7+B22*B22)*(B21*B7-B6*B22)</f>
        <v>0.0016515904250672961</v>
      </c>
      <c r="C51" s="169">
        <f>-0.017/(C7*C7+C22*C22)*(C21*C7-C6*C22)</f>
        <v>0.0014307396761461134</v>
      </c>
      <c r="D51" s="169">
        <f>-0.017/(D7*D7+D22*D22)*(D21*D7-D6*D22)</f>
        <v>0.001718719775325859</v>
      </c>
      <c r="E51" s="169">
        <f>-0.017/(E7*E7+E22*E22)*(E21*E7-E6*E22)</f>
        <v>0.0015628858887952305</v>
      </c>
      <c r="F51" s="169">
        <f>-0.017/(F7*F7+F22*F22)*(F21*F7-F6*F22)</f>
        <v>0.0018309777930050604</v>
      </c>
      <c r="G51" s="169">
        <f>(B51*B$4+C51*C$4+D51*D$4+E51*E$4+F51*F$4)/SUM(B$4:F$4)</f>
        <v>0.0016173109489821618</v>
      </c>
    </row>
    <row r="58" ht="12.75">
      <c r="A58" s="169" t="s">
        <v>154</v>
      </c>
    </row>
    <row r="60" spans="2:6" ht="12.75">
      <c r="B60" s="169" t="s">
        <v>82</v>
      </c>
      <c r="C60" s="169" t="s">
        <v>83</v>
      </c>
      <c r="D60" s="169" t="s">
        <v>84</v>
      </c>
      <c r="E60" s="169" t="s">
        <v>85</v>
      </c>
      <c r="F60" s="169" t="s">
        <v>86</v>
      </c>
    </row>
    <row r="61" spans="1:6" ht="12.75">
      <c r="A61" s="169" t="s">
        <v>156</v>
      </c>
      <c r="B61" s="169">
        <f>B6+(1/0.017)*(B7*B50-B22*B51)</f>
        <v>0</v>
      </c>
      <c r="C61" s="169">
        <f>C6+(1/0.017)*(C7*C50-C22*C51)</f>
        <v>0</v>
      </c>
      <c r="D61" s="169">
        <f>D6+(1/0.017)*(D7*D50-D22*D51)</f>
        <v>0</v>
      </c>
      <c r="E61" s="169">
        <f>E6+(1/0.017)*(E7*E50-E22*E51)</f>
        <v>0</v>
      </c>
      <c r="F61" s="169">
        <f>F6+(1/0.017)*(F7*F50-F22*F51)</f>
        <v>0</v>
      </c>
    </row>
    <row r="62" spans="1:6" ht="12.75">
      <c r="A62" s="169" t="s">
        <v>159</v>
      </c>
      <c r="B62" s="169">
        <f>B7+(2/0.017)*(B8*B50-B23*B51)</f>
        <v>10000.168716347816</v>
      </c>
      <c r="C62" s="169">
        <f>C7+(2/0.017)*(C8*C50-C23*C51)</f>
        <v>9999.940413537328</v>
      </c>
      <c r="D62" s="169">
        <f>D7+(2/0.017)*(D8*D50-D23*D51)</f>
        <v>9999.645390121761</v>
      </c>
      <c r="E62" s="169">
        <f>E7+(2/0.017)*(E8*E50-E23*E51)</f>
        <v>9999.72474041902</v>
      </c>
      <c r="F62" s="169">
        <f>F7+(2/0.017)*(F8*F50-F23*F51)</f>
        <v>9997.914613878005</v>
      </c>
    </row>
    <row r="63" spans="1:6" ht="12.75">
      <c r="A63" s="169" t="s">
        <v>160</v>
      </c>
      <c r="B63" s="169">
        <f>B8+(3/0.017)*(B9*B50-B24*B51)</f>
        <v>-2.1849594793727602</v>
      </c>
      <c r="C63" s="169">
        <f>C8+(3/0.017)*(C9*C50-C24*C51)</f>
        <v>-4.328599765442025</v>
      </c>
      <c r="D63" s="169">
        <f>D8+(3/0.017)*(D9*D50-D24*D51)</f>
        <v>-4.227467841484398</v>
      </c>
      <c r="E63" s="169">
        <f>E8+(3/0.017)*(E9*E50-E24*E51)</f>
        <v>-3.2630277487061212</v>
      </c>
      <c r="F63" s="169">
        <f>F8+(3/0.017)*(F9*F50-F24*F51)</f>
        <v>-3.3389897160209867</v>
      </c>
    </row>
    <row r="64" spans="1:6" ht="12.75">
      <c r="A64" s="169" t="s">
        <v>161</v>
      </c>
      <c r="B64" s="169">
        <f>B9+(4/0.017)*(B10*B50-B25*B51)</f>
        <v>-0.0101361160956992</v>
      </c>
      <c r="C64" s="169">
        <f>C9+(4/0.017)*(C10*C50-C25*C51)</f>
        <v>-0.36805875156426004</v>
      </c>
      <c r="D64" s="169">
        <f>D9+(4/0.017)*(D10*D50-D25*D51)</f>
        <v>0.18479264827161723</v>
      </c>
      <c r="E64" s="169">
        <f>E9+(4/0.017)*(E10*E50-E25*E51)</f>
        <v>0.8226970582843495</v>
      </c>
      <c r="F64" s="169">
        <f>F9+(4/0.017)*(F10*F50-F25*F51)</f>
        <v>0.1576892836181334</v>
      </c>
    </row>
    <row r="65" spans="1:6" ht="12.75">
      <c r="A65" s="169" t="s">
        <v>162</v>
      </c>
      <c r="B65" s="169">
        <f>B10+(5/0.017)*(B11*B50-B26*B51)</f>
        <v>-0.05337512347769727</v>
      </c>
      <c r="C65" s="169">
        <f>C10+(5/0.017)*(C11*C50-C26*C51)</f>
        <v>0.9176916328544893</v>
      </c>
      <c r="D65" s="169">
        <f>D10+(5/0.017)*(D11*D50-D26*D51)</f>
        <v>1.5318841590796035</v>
      </c>
      <c r="E65" s="169">
        <f>E10+(5/0.017)*(E11*E50-E26*E51)</f>
        <v>1.4591424856350035</v>
      </c>
      <c r="F65" s="169">
        <f>F10+(5/0.017)*(F11*F50-F26*F51)</f>
        <v>0.04698967879981558</v>
      </c>
    </row>
    <row r="66" spans="1:6" ht="12.75">
      <c r="A66" s="169" t="s">
        <v>163</v>
      </c>
      <c r="B66" s="169">
        <f>B11+(6/0.017)*(B12*B50-B27*B51)</f>
        <v>2.599814767182701</v>
      </c>
      <c r="C66" s="169">
        <f>C11+(6/0.017)*(C12*C50-C27*C51)</f>
        <v>3.553180291969436</v>
      </c>
      <c r="D66" s="169">
        <f>D11+(6/0.017)*(D12*D50-D27*D51)</f>
        <v>3.6486845151059017</v>
      </c>
      <c r="E66" s="169">
        <f>E11+(6/0.017)*(E12*E50-E27*E51)</f>
        <v>3.246456380893746</v>
      </c>
      <c r="F66" s="169">
        <f>F11+(6/0.017)*(F12*F50-F27*F51)</f>
        <v>13.011553094552674</v>
      </c>
    </row>
    <row r="67" spans="1:6" ht="12.75">
      <c r="A67" s="169" t="s">
        <v>164</v>
      </c>
      <c r="B67" s="169">
        <f>B12+(7/0.017)*(B13*B50-B28*B51)</f>
        <v>-0.0192641222942303</v>
      </c>
      <c r="C67" s="169">
        <f>C12+(7/0.017)*(C13*C50-C28*C51)</f>
        <v>0.28841888098735896</v>
      </c>
      <c r="D67" s="169">
        <f>D12+(7/0.017)*(D13*D50-D28*D51)</f>
        <v>0.32751195969323554</v>
      </c>
      <c r="E67" s="169">
        <f>E12+(7/0.017)*(E13*E50-E28*E51)</f>
        <v>0.5062088558844718</v>
      </c>
      <c r="F67" s="169">
        <f>F12+(7/0.017)*(F13*F50-F28*F51)</f>
        <v>0.5114065127915595</v>
      </c>
    </row>
    <row r="68" spans="1:6" ht="12.75">
      <c r="A68" s="169" t="s">
        <v>165</v>
      </c>
      <c r="B68" s="169">
        <f>B13+(8/0.017)*(B14*B50-B29*B51)</f>
        <v>-0.1381266911036939</v>
      </c>
      <c r="C68" s="169">
        <f>C13+(8/0.017)*(C14*C50-C29*C51)</f>
        <v>-0.11850011711218765</v>
      </c>
      <c r="D68" s="169">
        <f>D13+(8/0.017)*(D14*D50-D29*D51)</f>
        <v>-0.014141418191074964</v>
      </c>
      <c r="E68" s="169">
        <f>E13+(8/0.017)*(E14*E50-E29*E51)</f>
        <v>0.04355673281154457</v>
      </c>
      <c r="F68" s="169">
        <f>F13+(8/0.017)*(F14*F50-F29*F51)</f>
        <v>-0.2791778480805668</v>
      </c>
    </row>
    <row r="69" spans="1:6" ht="12.75">
      <c r="A69" s="169" t="s">
        <v>166</v>
      </c>
      <c r="B69" s="169">
        <f>B14+(9/0.017)*(B15*B50-B30*B51)</f>
        <v>-0.008236459896045448</v>
      </c>
      <c r="C69" s="169">
        <f>C14+(9/0.017)*(C15*C50-C30*C51)</f>
        <v>0.11935624029081505</v>
      </c>
      <c r="D69" s="169">
        <f>D14+(9/0.017)*(D15*D50-D30*D51)</f>
        <v>0.07703173230241128</v>
      </c>
      <c r="E69" s="169">
        <f>E14+(9/0.017)*(E15*E50-E30*E51)</f>
        <v>0.03915247619718701</v>
      </c>
      <c r="F69" s="169">
        <f>F14+(9/0.017)*(F15*F50-F30*F51)</f>
        <v>-0.10236071009333146</v>
      </c>
    </row>
    <row r="70" spans="1:6" ht="12.75">
      <c r="A70" s="169" t="s">
        <v>167</v>
      </c>
      <c r="B70" s="169">
        <f>B15+(10/0.017)*(B16*B50-B31*B51)</f>
        <v>-0.3389514478946392</v>
      </c>
      <c r="C70" s="169">
        <f>C15+(10/0.017)*(C16*C50-C31*C51)</f>
        <v>-0.07100423972292262</v>
      </c>
      <c r="D70" s="169">
        <f>D15+(10/0.017)*(D16*D50-D31*D51)</f>
        <v>0.017954422986963287</v>
      </c>
      <c r="E70" s="169">
        <f>E15+(10/0.017)*(E16*E50-E31*E51)</f>
        <v>-0.04670519847855685</v>
      </c>
      <c r="F70" s="169">
        <f>F15+(10/0.017)*(F16*F50-F31*F51)</f>
        <v>-0.29416487662971225</v>
      </c>
    </row>
    <row r="71" spans="1:6" ht="12.75">
      <c r="A71" s="169" t="s">
        <v>168</v>
      </c>
      <c r="B71" s="169">
        <f>B16+(11/0.017)*(B17*B50-B32*B51)</f>
        <v>0.02226609660089013</v>
      </c>
      <c r="C71" s="169">
        <f>C16+(11/0.017)*(C17*C50-C32*C51)</f>
        <v>-0.03831053960001762</v>
      </c>
      <c r="D71" s="169">
        <f>D16+(11/0.017)*(D17*D50-D32*D51)</f>
        <v>0.05652636648842432</v>
      </c>
      <c r="E71" s="169">
        <f>E16+(11/0.017)*(E17*E50-E32*E51)</f>
        <v>0.025543472349722658</v>
      </c>
      <c r="F71" s="169">
        <f>F16+(11/0.017)*(F17*F50-F32*F51)</f>
        <v>0.015769784983029646</v>
      </c>
    </row>
    <row r="72" spans="1:6" ht="12.75">
      <c r="A72" s="169" t="s">
        <v>169</v>
      </c>
      <c r="B72" s="169">
        <f>B17+(12/0.017)*(B18*B50-B33*B51)</f>
        <v>-0.05835402048123417</v>
      </c>
      <c r="C72" s="169">
        <f>C17+(12/0.017)*(C18*C50-C33*C51)</f>
        <v>-0.03194528905404581</v>
      </c>
      <c r="D72" s="169">
        <f>D17+(12/0.017)*(D18*D50-D33*D51)</f>
        <v>-0.0611300313660432</v>
      </c>
      <c r="E72" s="169">
        <f>E17+(12/0.017)*(E18*E50-E33*E51)</f>
        <v>-0.05965188099733404</v>
      </c>
      <c r="F72" s="169">
        <f>F17+(12/0.017)*(F18*F50-F33*F51)</f>
        <v>-0.06988082279047744</v>
      </c>
    </row>
    <row r="73" spans="1:6" ht="12.75">
      <c r="A73" s="169" t="s">
        <v>170</v>
      </c>
      <c r="B73" s="169">
        <f>B18+(13/0.017)*(B19*B50-B34*B51)</f>
        <v>-0.0009422251211241989</v>
      </c>
      <c r="C73" s="169">
        <f>C18+(13/0.017)*(C19*C50-C34*C51)</f>
        <v>-0.0013205464208298143</v>
      </c>
      <c r="D73" s="169">
        <f>D18+(13/0.017)*(D19*D50-D34*D51)</f>
        <v>-0.017428291498876564</v>
      </c>
      <c r="E73" s="169">
        <f>E18+(13/0.017)*(E19*E50-E34*E51)</f>
        <v>-0.01874236961818213</v>
      </c>
      <c r="F73" s="169">
        <f>F18+(13/0.017)*(F19*F50-F34*F51)</f>
        <v>-0.00925225351279299</v>
      </c>
    </row>
    <row r="74" spans="1:6" ht="12.75">
      <c r="A74" s="169" t="s">
        <v>171</v>
      </c>
      <c r="B74" s="169">
        <f>B19+(14/0.017)*(B20*B50-B35*B51)</f>
        <v>-0.193285501492247</v>
      </c>
      <c r="C74" s="169">
        <f>C19+(14/0.017)*(C20*C50-C35*C51)</f>
        <v>-0.19051367801832633</v>
      </c>
      <c r="D74" s="169">
        <f>D19+(14/0.017)*(D20*D50-D35*D51)</f>
        <v>-0.18688926107511158</v>
      </c>
      <c r="E74" s="169">
        <f>E19+(14/0.017)*(E20*E50-E35*E51)</f>
        <v>-0.18645605320775321</v>
      </c>
      <c r="F74" s="169">
        <f>F19+(14/0.017)*(F20*F50-F35*F51)</f>
        <v>-0.14595572129537382</v>
      </c>
    </row>
    <row r="75" spans="1:6" ht="12.75">
      <c r="A75" s="169" t="s">
        <v>172</v>
      </c>
      <c r="B75" s="170">
        <f>B20</f>
        <v>-0.003478489</v>
      </c>
      <c r="C75" s="170">
        <f>C20</f>
        <v>-0.001414108</v>
      </c>
      <c r="D75" s="170">
        <f>D20</f>
        <v>-0.002915484</v>
      </c>
      <c r="E75" s="170">
        <f>E20</f>
        <v>-0.003898637</v>
      </c>
      <c r="F75" s="170">
        <f>F20</f>
        <v>-0.0006565342</v>
      </c>
    </row>
    <row r="78" ht="12.75">
      <c r="A78" s="169" t="s">
        <v>154</v>
      </c>
    </row>
    <row r="80" spans="2:6" ht="12.75">
      <c r="B80" s="169" t="s">
        <v>82</v>
      </c>
      <c r="C80" s="169" t="s">
        <v>83</v>
      </c>
      <c r="D80" s="169" t="s">
        <v>84</v>
      </c>
      <c r="E80" s="169" t="s">
        <v>85</v>
      </c>
      <c r="F80" s="169" t="s">
        <v>86</v>
      </c>
    </row>
    <row r="81" spans="1:6" ht="12.75">
      <c r="A81" s="169" t="s">
        <v>173</v>
      </c>
      <c r="B81" s="169">
        <f>B21+(1/0.017)*(B7*B51+B22*B50)</f>
        <v>0</v>
      </c>
      <c r="C81" s="169">
        <f>C21+(1/0.017)*(C7*C51+C22*C50)</f>
        <v>0</v>
      </c>
      <c r="D81" s="169">
        <f>D21+(1/0.017)*(D7*D51+D22*D50)</f>
        <v>0</v>
      </c>
      <c r="E81" s="169">
        <f>E21+(1/0.017)*(E7*E51+E22*E50)</f>
        <v>0</v>
      </c>
      <c r="F81" s="169">
        <f>F21+(1/0.017)*(F7*F51+F22*F50)</f>
        <v>0</v>
      </c>
    </row>
    <row r="82" spans="1:6" ht="12.75">
      <c r="A82" s="169" t="s">
        <v>174</v>
      </c>
      <c r="B82" s="169">
        <f>B22+(2/0.017)*(B8*B51+B23*B50)</f>
        <v>13.725943525253982</v>
      </c>
      <c r="C82" s="169">
        <f>C22+(2/0.017)*(C8*C51+C23*C50)</f>
        <v>-4.284097997048165</v>
      </c>
      <c r="D82" s="169">
        <f>D22+(2/0.017)*(D8*D51+D23*D50)</f>
        <v>4.201696227325835</v>
      </c>
      <c r="E82" s="169">
        <f>E22+(2/0.017)*(E8*E51+E23*E50)</f>
        <v>1.430820507091698</v>
      </c>
      <c r="F82" s="169">
        <f>F22+(2/0.017)*(F8*F51+F23*F50)</f>
        <v>-20.796826629554136</v>
      </c>
    </row>
    <row r="83" spans="1:6" ht="12.75">
      <c r="A83" s="169" t="s">
        <v>175</v>
      </c>
      <c r="B83" s="169">
        <f>B23+(3/0.017)*(B9*B51+B24*B50)</f>
        <v>-1.4406435190914089</v>
      </c>
      <c r="C83" s="169">
        <f>C23+(3/0.017)*(C9*C51+C24*C50)</f>
        <v>1.0322620352224792</v>
      </c>
      <c r="D83" s="169">
        <f>D23+(3/0.017)*(D9*D51+D24*D50)</f>
        <v>1.2137152338492667</v>
      </c>
      <c r="E83" s="169">
        <f>E23+(3/0.017)*(E9*E51+E24*E50)</f>
        <v>1.8572480650364984</v>
      </c>
      <c r="F83" s="169">
        <f>F23+(3/0.017)*(F9*F51+F24*F50)</f>
        <v>8.614071900103909</v>
      </c>
    </row>
    <row r="84" spans="1:6" ht="12.75">
      <c r="A84" s="169" t="s">
        <v>176</v>
      </c>
      <c r="B84" s="169">
        <f>B24+(4/0.017)*(B10*B51+B25*B50)</f>
        <v>-0.5296005411966487</v>
      </c>
      <c r="C84" s="169">
        <f>C24+(4/0.017)*(C10*C51+C25*C50)</f>
        <v>0.9316266650055709</v>
      </c>
      <c r="D84" s="169">
        <f>D24+(4/0.017)*(D10*D51+D25*D50)</f>
        <v>1.032397698717047</v>
      </c>
      <c r="E84" s="169">
        <f>E24+(4/0.017)*(E10*E51+E25*E50)</f>
        <v>2.012280140731939</v>
      </c>
      <c r="F84" s="169">
        <f>F24+(4/0.017)*(F10*F51+F25*F50)</f>
        <v>3.3765767934416413</v>
      </c>
    </row>
    <row r="85" spans="1:6" ht="12.75">
      <c r="A85" s="169" t="s">
        <v>177</v>
      </c>
      <c r="B85" s="169">
        <f>B25+(5/0.017)*(B11*B51+B26*B50)</f>
        <v>-0.7297095327533505</v>
      </c>
      <c r="C85" s="169">
        <f>C25+(5/0.017)*(C11*C51+C26*C50)</f>
        <v>0.7265826390363682</v>
      </c>
      <c r="D85" s="169">
        <f>D25+(5/0.017)*(D11*D51+D26*D50)</f>
        <v>0.5943926035001066</v>
      </c>
      <c r="E85" s="169">
        <f>E25+(5/0.017)*(E11*E51+E26*E50)</f>
        <v>1.2548935311166516</v>
      </c>
      <c r="F85" s="169">
        <f>F25+(5/0.017)*(F11*F51+F26*F50)</f>
        <v>-0.15482435158184682</v>
      </c>
    </row>
    <row r="86" spans="1:6" ht="12.75">
      <c r="A86" s="169" t="s">
        <v>178</v>
      </c>
      <c r="B86" s="169">
        <f>B26+(6/0.017)*(B12*B51+B27*B50)</f>
        <v>0.04619773347702809</v>
      </c>
      <c r="C86" s="169">
        <f>C26+(6/0.017)*(C12*C51+C27*C50)</f>
        <v>-0.4120025051598918</v>
      </c>
      <c r="D86" s="169">
        <f>D26+(6/0.017)*(D12*D51+D27*D50)</f>
        <v>0.34665490606587596</v>
      </c>
      <c r="E86" s="169">
        <f>E26+(6/0.017)*(E12*E51+E27*E50)</f>
        <v>0.4485197679082934</v>
      </c>
      <c r="F86" s="169">
        <f>F26+(6/0.017)*(F12*F51+F27*F50)</f>
        <v>1.9630466952674954</v>
      </c>
    </row>
    <row r="87" spans="1:6" ht="12.75">
      <c r="A87" s="169" t="s">
        <v>179</v>
      </c>
      <c r="B87" s="169">
        <f>B27+(7/0.017)*(B13*B51+B28*B50)</f>
        <v>-0.16896064136516606</v>
      </c>
      <c r="C87" s="169">
        <f>C27+(7/0.017)*(C13*C51+C28*C50)</f>
        <v>0.3339925629888966</v>
      </c>
      <c r="D87" s="169">
        <f>D27+(7/0.017)*(D13*D51+D28*D50)</f>
        <v>0.28901439997144507</v>
      </c>
      <c r="E87" s="169">
        <f>E27+(7/0.017)*(E13*E51+E28*E50)</f>
        <v>0.4251692969292381</v>
      </c>
      <c r="F87" s="169">
        <f>F27+(7/0.017)*(F13*F51+F28*F50)</f>
        <v>0.5208495144797068</v>
      </c>
    </row>
    <row r="88" spans="1:6" ht="12.75">
      <c r="A88" s="169" t="s">
        <v>180</v>
      </c>
      <c r="B88" s="169">
        <f>B28+(8/0.017)*(B14*B51+B29*B50)</f>
        <v>-0.006717991811740973</v>
      </c>
      <c r="C88" s="169">
        <f>C28+(8/0.017)*(C14*C51+C29*C50)</f>
        <v>0.11389356335093492</v>
      </c>
      <c r="D88" s="169">
        <f>D28+(8/0.017)*(D14*D51+D29*D50)</f>
        <v>0.23487056400786466</v>
      </c>
      <c r="E88" s="169">
        <f>E28+(8/0.017)*(E14*E51+E29*E50)</f>
        <v>0.2680424815532062</v>
      </c>
      <c r="F88" s="169">
        <f>F28+(8/0.017)*(F14*F51+F29*F50)</f>
        <v>0.17018636280536767</v>
      </c>
    </row>
    <row r="89" spans="1:6" ht="12.75">
      <c r="A89" s="169" t="s">
        <v>181</v>
      </c>
      <c r="B89" s="169">
        <f>B29+(9/0.017)*(B15*B51+B30*B50)</f>
        <v>-0.09494618895333143</v>
      </c>
      <c r="C89" s="169">
        <f>C29+(9/0.017)*(C15*C51+C30*C50)</f>
        <v>0.09696074029498356</v>
      </c>
      <c r="D89" s="169">
        <f>D29+(9/0.017)*(D15*D51+D30*D50)</f>
        <v>0.10853763906999946</v>
      </c>
      <c r="E89" s="169">
        <f>E29+(9/0.017)*(E15*E51+E30*E50)</f>
        <v>0.21770698758661128</v>
      </c>
      <c r="F89" s="169">
        <f>F29+(9/0.017)*(F15*F51+F30*F50)</f>
        <v>0.07376286521850944</v>
      </c>
    </row>
    <row r="90" spans="1:6" ht="12.75">
      <c r="A90" s="169" t="s">
        <v>182</v>
      </c>
      <c r="B90" s="169">
        <f>B30+(10/0.017)*(B16*B51+B31*B50)</f>
        <v>-0.014893473299186138</v>
      </c>
      <c r="C90" s="169">
        <f>C30+(10/0.017)*(C16*C51+C31*C50)</f>
        <v>0.011055597853194342</v>
      </c>
      <c r="D90" s="169">
        <f>D30+(10/0.017)*(D16*D51+D31*D50)</f>
        <v>0.023376293807452687</v>
      </c>
      <c r="E90" s="169">
        <f>E30+(10/0.017)*(E16*E51+E31*E50)</f>
        <v>0.07056547657433233</v>
      </c>
      <c r="F90" s="169">
        <f>F30+(10/0.017)*(F16*F51+F31*F50)</f>
        <v>0.19205328548985384</v>
      </c>
    </row>
    <row r="91" spans="1:6" ht="12.75">
      <c r="A91" s="169" t="s">
        <v>183</v>
      </c>
      <c r="B91" s="169">
        <f>B31+(11/0.017)*(B17*B51+B32*B50)</f>
        <v>0.06391827827406377</v>
      </c>
      <c r="C91" s="169">
        <f>C31+(11/0.017)*(C17*C51+C32*C50)</f>
        <v>0.052869320970745565</v>
      </c>
      <c r="D91" s="169">
        <f>D31+(11/0.017)*(D17*D51+D32*D50)</f>
        <v>0.09895892773461767</v>
      </c>
      <c r="E91" s="169">
        <f>E31+(11/0.017)*(E17*E51+E32*E50)</f>
        <v>0.1085491715542766</v>
      </c>
      <c r="F91" s="169">
        <f>F31+(11/0.017)*(F17*F51+F32*F50)</f>
        <v>0.13922408372877346</v>
      </c>
    </row>
    <row r="92" spans="1:6" ht="12.75">
      <c r="A92" s="169" t="s">
        <v>184</v>
      </c>
      <c r="B92" s="169">
        <f>B32+(12/0.017)*(B18*B51+B33*B50)</f>
        <v>0.01986542184145019</v>
      </c>
      <c r="C92" s="169">
        <f>C32+(12/0.017)*(C18*C51+C33*C50)</f>
        <v>-0.0005060089186330052</v>
      </c>
      <c r="D92" s="169">
        <f>D32+(12/0.017)*(D18*D51+D33*D50)</f>
        <v>0.06561083242422658</v>
      </c>
      <c r="E92" s="169">
        <f>E32+(12/0.017)*(E18*E51+E33*E50)</f>
        <v>0.01581045476804275</v>
      </c>
      <c r="F92" s="169">
        <f>F32+(12/0.017)*(F18*F51+F33*F50)</f>
        <v>0.005102680174901782</v>
      </c>
    </row>
    <row r="93" spans="1:6" ht="12.75">
      <c r="A93" s="169" t="s">
        <v>185</v>
      </c>
      <c r="B93" s="169">
        <f>B33+(13/0.017)*(B19*B51+B34*B50)</f>
        <v>-0.090307164500431</v>
      </c>
      <c r="C93" s="169">
        <f>C33+(13/0.017)*(C19*C51+C34*C50)</f>
        <v>-0.07042966956259428</v>
      </c>
      <c r="D93" s="169">
        <f>D33+(13/0.017)*(D19*D51+D34*D50)</f>
        <v>-0.07196848098962991</v>
      </c>
      <c r="E93" s="169">
        <f>E33+(13/0.017)*(E19*E51+E34*E50)</f>
        <v>-0.062248564429708275</v>
      </c>
      <c r="F93" s="169">
        <f>F33+(13/0.017)*(F19*F51+F34*F50)</f>
        <v>-0.0627051903638079</v>
      </c>
    </row>
    <row r="94" spans="1:6" ht="12.75">
      <c r="A94" s="169" t="s">
        <v>186</v>
      </c>
      <c r="B94" s="169">
        <f>B34+(14/0.017)*(B20*B51+B35*B50)</f>
        <v>-0.0037140830712359733</v>
      </c>
      <c r="C94" s="169">
        <f>C34+(14/0.017)*(C20*C51+C35*C50)</f>
        <v>0.0014913446032958982</v>
      </c>
      <c r="D94" s="169">
        <f>D34+(14/0.017)*(D20*D51+D35*D50)</f>
        <v>0.0031332552355496715</v>
      </c>
      <c r="E94" s="169">
        <f>E34+(14/0.017)*(E20*E51+E35*E50)</f>
        <v>0.0031764872688072408</v>
      </c>
      <c r="F94" s="169">
        <f>F34+(14/0.017)*(F20*F51+F35*F50)</f>
        <v>-0.028526753970287155</v>
      </c>
    </row>
    <row r="95" spans="1:6" ht="12.75">
      <c r="A95" s="169" t="s">
        <v>187</v>
      </c>
      <c r="B95" s="170">
        <f>B35</f>
        <v>-0.003793398</v>
      </c>
      <c r="C95" s="170">
        <f>C35</f>
        <v>-0.001185167</v>
      </c>
      <c r="D95" s="170">
        <f>D35</f>
        <v>-0.001540083</v>
      </c>
      <c r="E95" s="170">
        <f>E35</f>
        <v>0.003989931</v>
      </c>
      <c r="F95" s="170">
        <f>F35</f>
        <v>0.005453919</v>
      </c>
    </row>
    <row r="98" ht="12.75">
      <c r="A98" s="169" t="s">
        <v>155</v>
      </c>
    </row>
    <row r="100" spans="2:11" ht="12.75">
      <c r="B100" s="169" t="s">
        <v>82</v>
      </c>
      <c r="C100" s="169" t="s">
        <v>83</v>
      </c>
      <c r="D100" s="169" t="s">
        <v>84</v>
      </c>
      <c r="E100" s="169" t="s">
        <v>85</v>
      </c>
      <c r="F100" s="169" t="s">
        <v>86</v>
      </c>
      <c r="G100" s="169" t="s">
        <v>157</v>
      </c>
      <c r="H100" s="169" t="s">
        <v>158</v>
      </c>
      <c r="I100" s="169" t="s">
        <v>153</v>
      </c>
      <c r="K100" s="169" t="s">
        <v>188</v>
      </c>
    </row>
    <row r="101" spans="1:9" ht="12.75">
      <c r="A101" s="169" t="s">
        <v>156</v>
      </c>
      <c r="B101" s="169">
        <f>B61*10000/B62</f>
        <v>0</v>
      </c>
      <c r="C101" s="169">
        <f>C61*10000/C62</f>
        <v>0</v>
      </c>
      <c r="D101" s="169">
        <f>D61*10000/D62</f>
        <v>0</v>
      </c>
      <c r="E101" s="169">
        <f>E61*10000/E62</f>
        <v>0</v>
      </c>
      <c r="F101" s="169">
        <f>F61*10000/F62</f>
        <v>0</v>
      </c>
      <c r="G101" s="169">
        <f>AVERAGE(C101:E101)</f>
        <v>0</v>
      </c>
      <c r="H101" s="169">
        <f>STDEV(C101:E101)</f>
        <v>0</v>
      </c>
      <c r="I101" s="169">
        <f>(B101*B4+C101*C4+D101*D4+E101*E4+F101*F4)/SUM(B4:F4)</f>
        <v>0</v>
      </c>
    </row>
    <row r="102" spans="1:9" ht="12.75">
      <c r="A102" s="169" t="s">
        <v>159</v>
      </c>
      <c r="B102" s="169">
        <f>B62*10000/B62</f>
        <v>10000</v>
      </c>
      <c r="C102" s="169">
        <f>C62*10000/C62</f>
        <v>10000</v>
      </c>
      <c r="D102" s="169">
        <f>D62*10000/D62</f>
        <v>10000</v>
      </c>
      <c r="E102" s="169">
        <f>E62*10000/E62</f>
        <v>10000</v>
      </c>
      <c r="F102" s="169">
        <f>F62*10000/F62</f>
        <v>10000</v>
      </c>
      <c r="G102" s="169">
        <f>AVERAGE(C102:E102)</f>
        <v>10000</v>
      </c>
      <c r="H102" s="169">
        <f>STDEV(C102:E102)</f>
        <v>0</v>
      </c>
      <c r="I102" s="169">
        <f>(B102*B4+C102*C4+D102*D4+E102*E4+F102*F4)/SUM(B4:F4)</f>
        <v>10000.000000000002</v>
      </c>
    </row>
    <row r="103" spans="1:11" ht="12.75">
      <c r="A103" s="169" t="s">
        <v>160</v>
      </c>
      <c r="B103" s="169">
        <f>B63*10000/B62</f>
        <v>-2.184922616156354</v>
      </c>
      <c r="C103" s="169">
        <f>C63*10000/C62</f>
        <v>-4.3286255581905495</v>
      </c>
      <c r="D103" s="169">
        <f>D63*10000/D62</f>
        <v>-4.227617756986202</v>
      </c>
      <c r="E103" s="169">
        <f>E63*10000/E62</f>
        <v>-3.2631175691435983</v>
      </c>
      <c r="F103" s="169">
        <f>F63*10000/F62</f>
        <v>-3.3396861695399647</v>
      </c>
      <c r="G103" s="169">
        <f>AVERAGE(C103:E103)</f>
        <v>-3.9397869614401166</v>
      </c>
      <c r="H103" s="169">
        <f>STDEV(C103:E103)</f>
        <v>0.5881851271744659</v>
      </c>
      <c r="I103" s="169">
        <f>(B103*B4+C103*C4+D103*D4+E103*E4+F103*F4)/SUM(B4:F4)</f>
        <v>-3.6063360563560476</v>
      </c>
      <c r="K103" s="169">
        <f>(LN(H103)+LN(H123))/2-LN(K114*K115^3)</f>
        <v>-4.561788914621506</v>
      </c>
    </row>
    <row r="104" spans="1:11" ht="12.75">
      <c r="A104" s="169" t="s">
        <v>161</v>
      </c>
      <c r="B104" s="169">
        <f>B64*10000/B62</f>
        <v>-0.010135945085735546</v>
      </c>
      <c r="C104" s="169">
        <f>C64*10000/C62</f>
        <v>-0.36806094470923434</v>
      </c>
      <c r="D104" s="169">
        <f>D64*10000/D62</f>
        <v>0.18479920143384915</v>
      </c>
      <c r="E104" s="169">
        <f>E64*10000/E62</f>
        <v>0.82271970443246</v>
      </c>
      <c r="F104" s="169">
        <f>F64*10000/F62</f>
        <v>0.15772217478157544</v>
      </c>
      <c r="G104" s="169">
        <f>AVERAGE(C104:E104)</f>
        <v>0.21315265371902492</v>
      </c>
      <c r="H104" s="169">
        <f>STDEV(C104:E104)</f>
        <v>0.5958964484580728</v>
      </c>
      <c r="I104" s="169">
        <f>(B104*B4+C104*C4+D104*D4+E104*E4+F104*F4)/SUM(B4:F4)</f>
        <v>0.17352952466138577</v>
      </c>
      <c r="K104" s="169">
        <f>(LN(H104)+LN(H124))/2-LN(K114*K115^4)</f>
        <v>-3.8040204595916807</v>
      </c>
    </row>
    <row r="105" spans="1:11" ht="12.75">
      <c r="A105" s="169" t="s">
        <v>162</v>
      </c>
      <c r="B105" s="169">
        <f>B65*10000/B62</f>
        <v>-0.05337422296730061</v>
      </c>
      <c r="C105" s="169">
        <f>C65*10000/C62</f>
        <v>0.9176971010868951</v>
      </c>
      <c r="D105" s="169">
        <f>D65*10000/D62</f>
        <v>1.5319384831315008</v>
      </c>
      <c r="E105" s="169">
        <f>E65*10000/E62</f>
        <v>1.4591826510355133</v>
      </c>
      <c r="F105" s="169">
        <f>F65*10000/F62</f>
        <v>0.04699948000615017</v>
      </c>
      <c r="G105" s="169">
        <f>AVERAGE(C105:E105)</f>
        <v>1.3029394117513031</v>
      </c>
      <c r="H105" s="169">
        <f>STDEV(C105:E105)</f>
        <v>0.33560703392589</v>
      </c>
      <c r="I105" s="169">
        <f>(B105*B4+C105*C4+D105*D4+E105*E4+F105*F4)/SUM(B4:F4)</f>
        <v>0.9390366127410298</v>
      </c>
      <c r="K105" s="169">
        <f>(LN(H105)+LN(H125))/2-LN(K114*K115^5)</f>
        <v>-3.7674606135024677</v>
      </c>
    </row>
    <row r="106" spans="1:11" ht="12.75">
      <c r="A106" s="169" t="s">
        <v>163</v>
      </c>
      <c r="B106" s="169">
        <f>B66*10000/B62</f>
        <v>2.5997709047974795</v>
      </c>
      <c r="C106" s="169">
        <f>C66*10000/C62</f>
        <v>3.5532014642400775</v>
      </c>
      <c r="D106" s="169">
        <f>D66*10000/D62</f>
        <v>3.6488139056513815</v>
      </c>
      <c r="E106" s="169">
        <f>E66*10000/E62</f>
        <v>3.246545745175891</v>
      </c>
      <c r="F106" s="169">
        <f>F66*10000/F62</f>
        <v>13.014267071746609</v>
      </c>
      <c r="G106" s="169">
        <f>AVERAGE(C106:E106)</f>
        <v>3.4828537050224497</v>
      </c>
      <c r="H106" s="169">
        <f>STDEV(C106:E106)</f>
        <v>0.21015832996408204</v>
      </c>
      <c r="I106" s="169">
        <f>(B106*B4+C106*C4+D106*D4+E106*E4+F106*F4)/SUM(B4:F4)</f>
        <v>4.633192324941308</v>
      </c>
      <c r="K106" s="169">
        <f>(LN(H106)+LN(H126))/2-LN(K114*K115^6)</f>
        <v>-3.261865888438421</v>
      </c>
    </row>
    <row r="107" spans="1:11" ht="12.75">
      <c r="A107" s="169" t="s">
        <v>164</v>
      </c>
      <c r="B107" s="169">
        <f>B67*10000/B62</f>
        <v>-0.019263797282478044</v>
      </c>
      <c r="C107" s="169">
        <f>C67*10000/C62</f>
        <v>0.28842059958368804</v>
      </c>
      <c r="D107" s="169">
        <f>D67*10000/D62</f>
        <v>0.32752357400270526</v>
      </c>
      <c r="E107" s="169">
        <f>E67*10000/E62</f>
        <v>0.5062227901517817</v>
      </c>
      <c r="F107" s="169">
        <f>F67*10000/F62</f>
        <v>0.5115131830408726</v>
      </c>
      <c r="G107" s="169">
        <f>AVERAGE(C107:E107)</f>
        <v>0.37405565457939166</v>
      </c>
      <c r="H107" s="169">
        <f>STDEV(C107:E107)</f>
        <v>0.11611793335295582</v>
      </c>
      <c r="I107" s="169">
        <f>(B107*B4+C107*C4+D107*D4+E107*E4+F107*F4)/SUM(B4:F4)</f>
        <v>0.3357742419744562</v>
      </c>
      <c r="K107" s="169">
        <f>(LN(H107)+LN(H127))/2-LN(K114*K115^7)</f>
        <v>-3.924001136899009</v>
      </c>
    </row>
    <row r="108" spans="1:9" ht="12.75">
      <c r="A108" s="169" t="s">
        <v>165</v>
      </c>
      <c r="B108" s="169">
        <f>B68*10000/B62</f>
        <v>-0.1381243607199254</v>
      </c>
      <c r="C108" s="169">
        <f>C68*10000/C62</f>
        <v>-0.11850082321667557</v>
      </c>
      <c r="D108" s="169">
        <f>D68*10000/D62</f>
        <v>-0.014141919677516455</v>
      </c>
      <c r="E108" s="169">
        <f>E68*10000/E62</f>
        <v>0.043557931785349724</v>
      </c>
      <c r="F108" s="169">
        <f>F68*10000/F62</f>
        <v>-0.27923607958507946</v>
      </c>
      <c r="G108" s="169">
        <f>AVERAGE(C108:E108)</f>
        <v>-0.02969493703628077</v>
      </c>
      <c r="H108" s="169">
        <f>STDEV(C108:E108)</f>
        <v>0.08214123373752753</v>
      </c>
      <c r="I108" s="169">
        <f>(B108*B4+C108*C4+D108*D4+E108*E4+F108*F4)/SUM(B4:F4)</f>
        <v>-0.07877810281191093</v>
      </c>
    </row>
    <row r="109" spans="1:9" ht="12.75">
      <c r="A109" s="169" t="s">
        <v>166</v>
      </c>
      <c r="B109" s="169">
        <f>B69*10000/B62</f>
        <v>-0.008236320935846673</v>
      </c>
      <c r="C109" s="169">
        <f>C69*10000/C62</f>
        <v>0.11935695149666856</v>
      </c>
      <c r="D109" s="169">
        <f>D69*10000/D62</f>
        <v>0.07703446402060193</v>
      </c>
      <c r="E109" s="169">
        <f>E69*10000/E62</f>
        <v>0.03915355393627205</v>
      </c>
      <c r="F109" s="169">
        <f>F69*10000/F62</f>
        <v>-0.10238206070618526</v>
      </c>
      <c r="G109" s="169">
        <f>AVERAGE(C109:E109)</f>
        <v>0.0785149898178475</v>
      </c>
      <c r="H109" s="169">
        <f>STDEV(C109:E109)</f>
        <v>0.04012219102360919</v>
      </c>
      <c r="I109" s="169">
        <f>(B109*B4+C109*C4+D109*D4+E109*E4+F109*F4)/SUM(B4:F4)</f>
        <v>0.041758824003961324</v>
      </c>
    </row>
    <row r="110" spans="1:11" ht="12.75">
      <c r="A110" s="169" t="s">
        <v>167</v>
      </c>
      <c r="B110" s="169">
        <f>B70*10000/B62</f>
        <v>-0.33894572932608324</v>
      </c>
      <c r="C110" s="169">
        <f>C70*10000/C62</f>
        <v>-0.07100466281459165</v>
      </c>
      <c r="D110" s="169">
        <f>D70*10000/D62</f>
        <v>0.01795505969111637</v>
      </c>
      <c r="E110" s="169">
        <f>E70*10000/E62</f>
        <v>-0.04670648411928162</v>
      </c>
      <c r="F110" s="169">
        <f>F70*10000/F62</f>
        <v>-0.2942262341602567</v>
      </c>
      <c r="G110" s="169">
        <f>AVERAGE(C110:E110)</f>
        <v>-0.03325202908091897</v>
      </c>
      <c r="H110" s="169">
        <f>STDEV(C110:E110)</f>
        <v>0.04598070059663766</v>
      </c>
      <c r="I110" s="169">
        <f>(B110*B4+C110*C4+D110*D4+E110*E4+F110*F4)/SUM(B4:F4)</f>
        <v>-0.11230851954006826</v>
      </c>
      <c r="K110" s="169">
        <f>EXP(AVERAGE(K103:K107))</f>
        <v>0.02098751792265814</v>
      </c>
    </row>
    <row r="111" spans="1:9" ht="12.75">
      <c r="A111" s="169" t="s">
        <v>168</v>
      </c>
      <c r="B111" s="169">
        <f>B71*10000/B62</f>
        <v>0.02226572094177825</v>
      </c>
      <c r="C111" s="169">
        <f>C71*10000/C62</f>
        <v>-0.038310767880331636</v>
      </c>
      <c r="D111" s="169">
        <f>D71*10000/D62</f>
        <v>0.056528371040301485</v>
      </c>
      <c r="E111" s="169">
        <f>E71*10000/E62</f>
        <v>0.025544175477626503</v>
      </c>
      <c r="F111" s="169">
        <f>F71*10000/F62</f>
        <v>0.01577307427804971</v>
      </c>
      <c r="G111" s="169">
        <f>AVERAGE(C111:E111)</f>
        <v>0.01458725954586545</v>
      </c>
      <c r="H111" s="169">
        <f>STDEV(C111:E111)</f>
        <v>0.048359653357458496</v>
      </c>
      <c r="I111" s="169">
        <f>(B111*B4+C111*C4+D111*D4+E111*E4+F111*F4)/SUM(B4:F4)</f>
        <v>0.015853263666924824</v>
      </c>
    </row>
    <row r="112" spans="1:9" ht="12.75">
      <c r="A112" s="169" t="s">
        <v>169</v>
      </c>
      <c r="B112" s="169">
        <f>B72*10000/B62</f>
        <v>-0.05835303597012288</v>
      </c>
      <c r="C112" s="169">
        <f>C72*10000/C62</f>
        <v>-0.03194547940585742</v>
      </c>
      <c r="D112" s="169">
        <f>D72*10000/D62</f>
        <v>-0.06113219917421376</v>
      </c>
      <c r="E112" s="169">
        <f>E72*10000/E62</f>
        <v>-0.059653523017709015</v>
      </c>
      <c r="F112" s="169">
        <f>F72*10000/F62</f>
        <v>-0.06989539867991729</v>
      </c>
      <c r="G112" s="169">
        <f>AVERAGE(C112:E112)</f>
        <v>-0.0509104005325934</v>
      </c>
      <c r="H112" s="169">
        <f>STDEV(C112:E112)</f>
        <v>0.016440735865570034</v>
      </c>
      <c r="I112" s="169">
        <f>(B112*B4+C112*C4+D112*D4+E112*E4+F112*F4)/SUM(B4:F4)</f>
        <v>-0.05452833233752052</v>
      </c>
    </row>
    <row r="113" spans="1:9" ht="12.75">
      <c r="A113" s="169" t="s">
        <v>170</v>
      </c>
      <c r="B113" s="169">
        <f>B73*10000/B62</f>
        <v>-0.000942209224514275</v>
      </c>
      <c r="C113" s="169">
        <f>C73*10000/C62</f>
        <v>-0.0013205542895457023</v>
      </c>
      <c r="D113" s="169">
        <f>D73*10000/D62</f>
        <v>-0.017428909545225732</v>
      </c>
      <c r="E113" s="169">
        <f>E73*10000/E62</f>
        <v>-0.018742885534063974</v>
      </c>
      <c r="F113" s="169">
        <f>F73*10000/F62</f>
        <v>-0.009254183367349457</v>
      </c>
      <c r="G113" s="169">
        <f>AVERAGE(C113:E113)</f>
        <v>-0.012497449789611802</v>
      </c>
      <c r="H113" s="169">
        <f>STDEV(C113:E113)</f>
        <v>0.00970174613094773</v>
      </c>
      <c r="I113" s="169">
        <f>(B113*B4+C113*C4+D113*D4+E113*E4+F113*F4)/SUM(B4:F4)</f>
        <v>-0.010396712170542959</v>
      </c>
    </row>
    <row r="114" spans="1:11" ht="12.75">
      <c r="A114" s="169" t="s">
        <v>171</v>
      </c>
      <c r="B114" s="169">
        <f>B74*10000/B62</f>
        <v>-0.1932822405048754</v>
      </c>
      <c r="C114" s="169">
        <f>C74*10000/C62</f>
        <v>-0.190514813228707</v>
      </c>
      <c r="D114" s="169">
        <f>D74*10000/D62</f>
        <v>-0.18689588858794115</v>
      </c>
      <c r="E114" s="169">
        <f>E74*10000/E62</f>
        <v>-0.18646118573053852</v>
      </c>
      <c r="F114" s="169">
        <f>F74*10000/F62</f>
        <v>-0.14598616504763318</v>
      </c>
      <c r="G114" s="169">
        <f>AVERAGE(C114:E114)</f>
        <v>-0.1879572958490622</v>
      </c>
      <c r="H114" s="169">
        <f>STDEV(C114:E114)</f>
        <v>0.00222551409880047</v>
      </c>
      <c r="I114" s="169">
        <f>(B114*B4+C114*C4+D114*D4+E114*E4+F114*F4)/SUM(B4:F4)</f>
        <v>-0.18309891813415333</v>
      </c>
      <c r="J114" s="169" t="s">
        <v>189</v>
      </c>
      <c r="K114" s="169">
        <v>285</v>
      </c>
    </row>
    <row r="115" spans="1:11" ht="12.75">
      <c r="A115" s="169" t="s">
        <v>172</v>
      </c>
      <c r="B115" s="169">
        <f>B75*10000/B62</f>
        <v>-0.0034784303131941423</v>
      </c>
      <c r="C115" s="169">
        <f>C75*10000/C62</f>
        <v>-0.0014141164262195646</v>
      </c>
      <c r="D115" s="169">
        <f>D75*10000/D62</f>
        <v>-0.0029155873896089222</v>
      </c>
      <c r="E115" s="169">
        <f>E75*10000/E62</f>
        <v>-0.0038987443166726954</v>
      </c>
      <c r="F115" s="169">
        <f>F75*10000/F62</f>
        <v>-0.0006566711412884758</v>
      </c>
      <c r="G115" s="169">
        <f>AVERAGE(C115:E115)</f>
        <v>-0.002742816044167061</v>
      </c>
      <c r="H115" s="169">
        <f>STDEV(C115:E115)</f>
        <v>0.0012512918891524618</v>
      </c>
      <c r="I115" s="169">
        <f>(B115*B4+C115*C4+D115*D4+E115*E4+F115*F4)/SUM(B4:F4)</f>
        <v>-0.0025692323207952283</v>
      </c>
      <c r="J115" s="169" t="s">
        <v>190</v>
      </c>
      <c r="K115" s="169">
        <v>0.5536</v>
      </c>
    </row>
    <row r="118" ht="12.75">
      <c r="A118" s="169" t="s">
        <v>155</v>
      </c>
    </row>
    <row r="120" spans="2:9" ht="12.75">
      <c r="B120" s="169" t="s">
        <v>82</v>
      </c>
      <c r="C120" s="169" t="s">
        <v>83</v>
      </c>
      <c r="D120" s="169" t="s">
        <v>84</v>
      </c>
      <c r="E120" s="169" t="s">
        <v>85</v>
      </c>
      <c r="F120" s="169" t="s">
        <v>86</v>
      </c>
      <c r="G120" s="169" t="s">
        <v>157</v>
      </c>
      <c r="H120" s="169" t="s">
        <v>158</v>
      </c>
      <c r="I120" s="169" t="s">
        <v>153</v>
      </c>
    </row>
    <row r="121" spans="1:9" ht="12.75">
      <c r="A121" s="169" t="s">
        <v>173</v>
      </c>
      <c r="B121" s="169">
        <f>B81*10000/B62</f>
        <v>0</v>
      </c>
      <c r="C121" s="169">
        <f>C81*10000/C62</f>
        <v>0</v>
      </c>
      <c r="D121" s="169">
        <f>D81*10000/D62</f>
        <v>0</v>
      </c>
      <c r="E121" s="169">
        <f>E81*10000/E62</f>
        <v>0</v>
      </c>
      <c r="F121" s="169">
        <f>F81*10000/F62</f>
        <v>0</v>
      </c>
      <c r="G121" s="169">
        <f>AVERAGE(C121:E121)</f>
        <v>0</v>
      </c>
      <c r="H121" s="169">
        <f>STDEV(C121:E121)</f>
        <v>0</v>
      </c>
      <c r="I121" s="169">
        <f>(B121*B4+C121*C4+D121*D4+E121*E4+F121*F4)/SUM(B4:F4)</f>
        <v>0</v>
      </c>
    </row>
    <row r="122" spans="1:9" ht="12.75">
      <c r="A122" s="169" t="s">
        <v>174</v>
      </c>
      <c r="B122" s="169">
        <f>B82*10000/B62</f>
        <v>13.725711950054842</v>
      </c>
      <c r="C122" s="169">
        <f>C82*10000/C62</f>
        <v>-4.284123524624813</v>
      </c>
      <c r="D122" s="169">
        <f>D82*10000/D62</f>
        <v>4.201845228908335</v>
      </c>
      <c r="E122" s="169">
        <f>E82*10000/E62</f>
        <v>1.4308598928811536</v>
      </c>
      <c r="F122" s="169">
        <f>F82*10000/F62</f>
        <v>-20.801164475525997</v>
      </c>
      <c r="G122" s="169">
        <f>AVERAGE(C122:E122)</f>
        <v>0.4495271990548917</v>
      </c>
      <c r="H122" s="169">
        <f>STDEV(C122:E122)</f>
        <v>4.327259734920526</v>
      </c>
      <c r="I122" s="169">
        <f>(B122*B4+C122*C4+D122*D4+E122*E4+F122*F4)/SUM(B4:F4)</f>
        <v>-0.4849594210200971</v>
      </c>
    </row>
    <row r="123" spans="1:9" ht="12.75">
      <c r="A123" s="169" t="s">
        <v>175</v>
      </c>
      <c r="B123" s="169">
        <f>B83*10000/B62</f>
        <v>-1.4406192134901794</v>
      </c>
      <c r="C123" s="169">
        <f>C83*10000/C62</f>
        <v>1.0322681861434533</v>
      </c>
      <c r="D123" s="169">
        <f>D83*10000/D62</f>
        <v>1.2137582749166747</v>
      </c>
      <c r="E123" s="169">
        <f>E83*10000/E62</f>
        <v>1.8572991889761497</v>
      </c>
      <c r="F123" s="169">
        <f>F83*10000/F62</f>
        <v>8.615868641393279</v>
      </c>
      <c r="G123" s="169">
        <f>AVERAGE(C123:E123)</f>
        <v>1.3677752166787591</v>
      </c>
      <c r="H123" s="169">
        <f>STDEV(C123:E123)</f>
        <v>0.43354348417556715</v>
      </c>
      <c r="I123" s="169">
        <f>(B123*B4+C123*C4+D123*D4+E123*E4+F123*F4)/SUM(B4:F4)</f>
        <v>1.9344579705493996</v>
      </c>
    </row>
    <row r="124" spans="1:9" ht="12.75">
      <c r="A124" s="169" t="s">
        <v>176</v>
      </c>
      <c r="B124" s="169">
        <f>B84*10000/B62</f>
        <v>-0.5295916061204867</v>
      </c>
      <c r="C124" s="169">
        <f>C84*10000/C62</f>
        <v>0.9316322162723989</v>
      </c>
      <c r="D124" s="169">
        <f>D84*10000/D62</f>
        <v>1.0324343098575377</v>
      </c>
      <c r="E124" s="169">
        <f>E84*10000/E62</f>
        <v>2.0123355321954777</v>
      </c>
      <c r="F124" s="169">
        <f>F84*10000/F62</f>
        <v>3.377281086952522</v>
      </c>
      <c r="G124" s="169">
        <f>AVERAGE(C124:E124)</f>
        <v>1.325467352775138</v>
      </c>
      <c r="H124" s="169">
        <f>STDEV(C124:E124)</f>
        <v>0.5969767059466775</v>
      </c>
      <c r="I124" s="169">
        <f>(B124*B4+C124*C4+D124*D4+E124*E4+F124*F4)/SUM(B4:F4)</f>
        <v>1.3330521286972261</v>
      </c>
    </row>
    <row r="125" spans="1:9" ht="12.75">
      <c r="A125" s="169" t="s">
        <v>177</v>
      </c>
      <c r="B125" s="169">
        <f>B85*10000/B62</f>
        <v>-0.7296972215683271</v>
      </c>
      <c r="C125" s="169">
        <f>C85*10000/C62</f>
        <v>0.7265869685110959</v>
      </c>
      <c r="D125" s="169">
        <f>D85*10000/D62</f>
        <v>0.5944136819964462</v>
      </c>
      <c r="E125" s="169">
        <f>E85*10000/E62</f>
        <v>1.2549280742142384</v>
      </c>
      <c r="F125" s="169">
        <f>F85*10000/F62</f>
        <v>-0.1548566451717208</v>
      </c>
      <c r="G125" s="169">
        <f>AVERAGE(C125:E125)</f>
        <v>0.8586429082405935</v>
      </c>
      <c r="H125" s="169">
        <f>STDEV(C125:E125)</f>
        <v>0.3494980600734292</v>
      </c>
      <c r="I125" s="169">
        <f>(B125*B4+C125*C4+D125*D4+E125*E4+F125*F4)/SUM(B4:F4)</f>
        <v>0.4937858970138859</v>
      </c>
    </row>
    <row r="126" spans="1:9" ht="12.75">
      <c r="A126" s="169" t="s">
        <v>178</v>
      </c>
      <c r="B126" s="169">
        <f>B86*10000/B62</f>
        <v>0.04619695405889118</v>
      </c>
      <c r="C126" s="169">
        <f>C86*10000/C62</f>
        <v>-0.41200496015170973</v>
      </c>
      <c r="D126" s="169">
        <f>D86*10000/D62</f>
        <v>0.3466671992272067</v>
      </c>
      <c r="E126" s="169">
        <f>E86*10000/E62</f>
        <v>0.44853211418447403</v>
      </c>
      <c r="F126" s="169">
        <f>F86*10000/F62</f>
        <v>1.963456151688483</v>
      </c>
      <c r="G126" s="169">
        <f>AVERAGE(C126:E126)</f>
        <v>0.12773145108665698</v>
      </c>
      <c r="H126" s="169">
        <f>STDEV(C126:E126)</f>
        <v>0.4701921526750168</v>
      </c>
      <c r="I126" s="169">
        <f>(B126*B4+C126*C4+D126*D4+E126*E4+F126*F4)/SUM(B4:F4)</f>
        <v>0.3620496295046949</v>
      </c>
    </row>
    <row r="127" spans="1:9" ht="12.75">
      <c r="A127" s="169" t="s">
        <v>179</v>
      </c>
      <c r="B127" s="169">
        <f>B87*10000/B62</f>
        <v>-0.16895779077102666</v>
      </c>
      <c r="C127" s="169">
        <f>C87*10000/C62</f>
        <v>0.333994553144294</v>
      </c>
      <c r="D127" s="169">
        <f>D87*10000/D62</f>
        <v>0.2890246490710066</v>
      </c>
      <c r="E127" s="169">
        <f>E87*10000/E62</f>
        <v>0.4251810004436404</v>
      </c>
      <c r="F127" s="169">
        <f>F87*10000/F62</f>
        <v>0.5209581543702333</v>
      </c>
      <c r="G127" s="169">
        <f>AVERAGE(C127:E127)</f>
        <v>0.3494000675529803</v>
      </c>
      <c r="H127" s="169">
        <f>STDEV(C127:E127)</f>
        <v>0.0693731605912849</v>
      </c>
      <c r="I127" s="169">
        <f>(B127*B4+C127*C4+D127*D4+E127*E4+F127*F4)/SUM(B4:F4)</f>
        <v>0.297662208469974</v>
      </c>
    </row>
    <row r="128" spans="1:9" ht="12.75">
      <c r="A128" s="169" t="s">
        <v>180</v>
      </c>
      <c r="B128" s="169">
        <f>B88*10000/B62</f>
        <v>-0.006717878470148917</v>
      </c>
      <c r="C128" s="169">
        <f>C88*10000/C62</f>
        <v>0.1138942420064349</v>
      </c>
      <c r="D128" s="169">
        <f>D88*10000/D62</f>
        <v>0.23487889304543103</v>
      </c>
      <c r="E128" s="169">
        <f>E88*10000/E62</f>
        <v>0.2680498598824175</v>
      </c>
      <c r="F128" s="169">
        <f>F88*10000/F62</f>
        <v>0.17022186063595068</v>
      </c>
      <c r="G128" s="169">
        <f>AVERAGE(C128:E128)</f>
        <v>0.20560766497809446</v>
      </c>
      <c r="H128" s="169">
        <f>STDEV(C128:E128)</f>
        <v>0.0811393383329506</v>
      </c>
      <c r="I128" s="169">
        <f>(B128*B4+C128*C4+D128*D4+E128*E4+F128*F4)/SUM(B4:F4)</f>
        <v>0.17025207397261197</v>
      </c>
    </row>
    <row r="129" spans="1:9" ht="12.75">
      <c r="A129" s="169" t="s">
        <v>181</v>
      </c>
      <c r="B129" s="169">
        <f>B89*10000/B62</f>
        <v>-0.09494458708293367</v>
      </c>
      <c r="C129" s="169">
        <f>C89*10000/C62</f>
        <v>0.09696131805317944</v>
      </c>
      <c r="D129" s="169">
        <f>D89*10000/D62</f>
        <v>0.10854148805838588</v>
      </c>
      <c r="E129" s="169">
        <f>E89*10000/E62</f>
        <v>0.21771298034498565</v>
      </c>
      <c r="F129" s="169">
        <f>F89*10000/F62</f>
        <v>0.07377825083254858</v>
      </c>
      <c r="G129" s="169">
        <f>AVERAGE(C129:E129)</f>
        <v>0.14107192881885033</v>
      </c>
      <c r="H129" s="169">
        <f>STDEV(C129:E129)</f>
        <v>0.06662516918260818</v>
      </c>
      <c r="I129" s="169">
        <f>(B129*B4+C129*C4+D129*D4+E129*E4+F129*F4)/SUM(B4:F4)</f>
        <v>0.09802351386068191</v>
      </c>
    </row>
    <row r="130" spans="1:9" ht="12.75">
      <c r="A130" s="169" t="s">
        <v>182</v>
      </c>
      <c r="B130" s="169">
        <f>B90*10000/B62</f>
        <v>-0.01489322202618339</v>
      </c>
      <c r="C130" s="169">
        <f>C90*10000/C62</f>
        <v>0.011055663729983758</v>
      </c>
      <c r="D130" s="169">
        <f>D90*10000/D62</f>
        <v>0.023377122783319066</v>
      </c>
      <c r="E130" s="169">
        <f>E90*10000/E62</f>
        <v>0.07056741901015108</v>
      </c>
      <c r="F130" s="169">
        <f>F90*10000/F62</f>
        <v>0.1920933443693014</v>
      </c>
      <c r="G130" s="169">
        <f>AVERAGE(C130:E130)</f>
        <v>0.03500006850781797</v>
      </c>
      <c r="H130" s="169">
        <f>STDEV(C130:E130)</f>
        <v>0.03141228907000596</v>
      </c>
      <c r="I130" s="169">
        <f>(B130*B4+C130*C4+D130*D4+E130*E4+F130*F4)/SUM(B4:F4)</f>
        <v>0.04886454888575199</v>
      </c>
    </row>
    <row r="131" spans="1:9" ht="12.75">
      <c r="A131" s="169" t="s">
        <v>183</v>
      </c>
      <c r="B131" s="169">
        <f>B91*10000/B62</f>
        <v>0.06391719988641102</v>
      </c>
      <c r="C131" s="169">
        <f>C91*10000/C62</f>
        <v>0.052869636002204776</v>
      </c>
      <c r="D131" s="169">
        <f>D91*10000/D62</f>
        <v>0.09896243704039258</v>
      </c>
      <c r="E131" s="169">
        <f>E91*10000/E62</f>
        <v>0.10855215955647199</v>
      </c>
      <c r="F131" s="169">
        <f>F91*10000/F62</f>
        <v>0.13925312338186796</v>
      </c>
      <c r="G131" s="169">
        <f>AVERAGE(C131:E131)</f>
        <v>0.08679474419968979</v>
      </c>
      <c r="H131" s="169">
        <f>STDEV(C131:E131)</f>
        <v>0.029768698647104942</v>
      </c>
      <c r="I131" s="169">
        <f>(B131*B4+C131*C4+D131*D4+E131*E4+F131*F4)/SUM(B4:F4)</f>
        <v>0.09052824466185855</v>
      </c>
    </row>
    <row r="132" spans="1:9" ht="12.75">
      <c r="A132" s="169" t="s">
        <v>184</v>
      </c>
      <c r="B132" s="169">
        <f>B92*10000/B62</f>
        <v>0.019865086684962733</v>
      </c>
      <c r="C132" s="169">
        <f>C92*10000/C62</f>
        <v>-0.0005060119337791256</v>
      </c>
      <c r="D132" s="169">
        <f>D92*10000/D62</f>
        <v>0.06561315913166363</v>
      </c>
      <c r="E132" s="169">
        <f>E92*10000/E62</f>
        <v>0.015810889977937774</v>
      </c>
      <c r="F132" s="169">
        <f>F92*10000/F62</f>
        <v>0.005103744502697395</v>
      </c>
      <c r="G132" s="169">
        <f>AVERAGE(C132:E132)</f>
        <v>0.026972679058607424</v>
      </c>
      <c r="H132" s="169">
        <f>STDEV(C132:E132)</f>
        <v>0.03444379983692766</v>
      </c>
      <c r="I132" s="169">
        <f>(B132*B4+C132*C4+D132*D4+E132*E4+F132*F4)/SUM(B4:F4)</f>
        <v>0.02301646921151885</v>
      </c>
    </row>
    <row r="133" spans="1:9" ht="12.75">
      <c r="A133" s="169" t="s">
        <v>185</v>
      </c>
      <c r="B133" s="169">
        <f>B93*10000/B62</f>
        <v>-0.09030564089663906</v>
      </c>
      <c r="C133" s="169">
        <f>C93*10000/C62</f>
        <v>-0.07043008923058257</v>
      </c>
      <c r="D133" s="169">
        <f>D93*10000/D62</f>
        <v>-0.07197103315356024</v>
      </c>
      <c r="E133" s="169">
        <f>E93*10000/E62</f>
        <v>-0.06225027792825012</v>
      </c>
      <c r="F133" s="169">
        <f>F93*10000/F62</f>
        <v>-0.0627182695446983</v>
      </c>
      <c r="G133" s="169">
        <f>AVERAGE(C133:E133)</f>
        <v>-0.06821713343746431</v>
      </c>
      <c r="H133" s="169">
        <f>STDEV(C133:E133)</f>
        <v>0.005224571804877292</v>
      </c>
      <c r="I133" s="169">
        <f>(B133*B4+C133*C4+D133*D4+E133*E4+F133*F4)/SUM(B4:F4)</f>
        <v>-0.07066465756567192</v>
      </c>
    </row>
    <row r="134" spans="1:9" ht="12.75">
      <c r="A134" s="169" t="s">
        <v>186</v>
      </c>
      <c r="B134" s="169">
        <f>B94*10000/B62</f>
        <v>-0.00371402040964005</v>
      </c>
      <c r="C134" s="169">
        <f>C94*10000/C62</f>
        <v>0.001491353489743803</v>
      </c>
      <c r="D134" s="169">
        <f>D94*10000/D62</f>
        <v>0.003133366347815579</v>
      </c>
      <c r="E134" s="169">
        <f>E94*10000/E62</f>
        <v>0.003176574707069523</v>
      </c>
      <c r="F134" s="169">
        <f>F94*10000/F62</f>
        <v>-0.028532704140810976</v>
      </c>
      <c r="G134" s="169">
        <f>AVERAGE(C134:E134)</f>
        <v>0.0026004315148763016</v>
      </c>
      <c r="H134" s="169">
        <f>STDEV(C134:E134)</f>
        <v>0.0009607326839195218</v>
      </c>
      <c r="I134" s="169">
        <f>(B134*B4+C134*C4+D134*D4+E134*E4+F134*F4)/SUM(B4:F4)</f>
        <v>-0.0024832654550755785</v>
      </c>
    </row>
    <row r="135" spans="1:9" ht="12.75">
      <c r="A135" s="169" t="s">
        <v>187</v>
      </c>
      <c r="B135" s="169">
        <f>B95*10000/B62</f>
        <v>-0.003793334000254143</v>
      </c>
      <c r="C135" s="169">
        <f>C95*10000/C62</f>
        <v>-0.0011851740620330007</v>
      </c>
      <c r="D135" s="169">
        <f>D95*10000/D62</f>
        <v>-0.0015401376148012056</v>
      </c>
      <c r="E135" s="169">
        <f>E95*10000/E62</f>
        <v>0.003990040829696688</v>
      </c>
      <c r="F135" s="169">
        <f>F95*10000/F62</f>
        <v>0.005455056589930733</v>
      </c>
      <c r="G135" s="169">
        <f>AVERAGE(C135:E135)</f>
        <v>0.0004215763842874941</v>
      </c>
      <c r="H135" s="169">
        <f>STDEV(C135:E135)</f>
        <v>0.0030954730905890008</v>
      </c>
      <c r="I135" s="169">
        <f>(B135*B4+C135*C4+D135*D4+E135*E4+F135*F4)/SUM(B4:F4)</f>
        <v>0.0004886110438916912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2003-07-03T13:57:32Z</cp:lastPrinted>
  <dcterms:created xsi:type="dcterms:W3CDTF">1999-06-17T15:15:05Z</dcterms:created>
  <dcterms:modified xsi:type="dcterms:W3CDTF">2003-10-03T08:38:12Z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138990817</vt:i4>
  </property>
  <property fmtid="{D5CDD505-2E9C-101B-9397-08002B2CF9AE}" pid="3" name="_EmailSubject">
    <vt:lpwstr>WFM result of aperture 98 - with files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PreviousAdHocReviewCycleID">
    <vt:i4>1421584721</vt:i4>
  </property>
  <property fmtid="{D5CDD505-2E9C-101B-9397-08002B2CF9AE}" pid="7" name="_ReviewingToolsShownOnce">
    <vt:lpwstr/>
  </property>
</Properties>
</file>