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101_pos1ap2" sheetId="2" r:id="rId2"/>
    <sheet name="HCMQAP101_pos2ap2" sheetId="3" r:id="rId3"/>
    <sheet name="HCMQAP101_pos3ap2" sheetId="4" r:id="rId4"/>
    <sheet name="HCMQAP101_pos4ap2" sheetId="5" r:id="rId5"/>
    <sheet name="HCMQAP101_pos5ap2" sheetId="6" r:id="rId6"/>
    <sheet name="Lmag_hcmqap" sheetId="7" r:id="rId7"/>
    <sheet name="Result_HCMQAP" sheetId="8" r:id="rId8"/>
  </sheets>
  <definedNames>
    <definedName name="_xlnm.Print_Area" localSheetId="1">'HCMQAP101_pos1ap2'!$A$1:$N$28</definedName>
    <definedName name="_xlnm.Print_Area" localSheetId="2">'HCMQAP101_pos2ap2'!$A$1:$N$28</definedName>
    <definedName name="_xlnm.Print_Area" localSheetId="3">'HCMQAP101_pos3ap2'!$A$1:$N$28</definedName>
    <definedName name="_xlnm.Print_Area" localSheetId="4">'HCMQAP101_pos4ap2'!$A$1:$N$28</definedName>
    <definedName name="_xlnm.Print_Area" localSheetId="5">'HCMQAP101_pos5ap2'!$A$1:$N$28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<sst xmlns="http://schemas.openxmlformats.org/spreadsheetml/2006/main" count="505" uniqueCount="190">
  <si>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</si>
  <si>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</si>
  <si>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</si>
  <si>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</si>
  <si>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</si>
  <si>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</si>
  <si>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</si>
  <si>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</si>
  <si>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</si>
  <si>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</si>
  <si>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</si>
  <si>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</si>
  <si>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</si>
  <si>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</si>
  <si>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</si>
  <si>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hcmqap101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</si>
  <si>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</si>
  <si>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</si>
  <si>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</si>
  <si>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</si>
  <si>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</si>
  <si>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</si>
  <si>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</si>
  <si>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</si>
  <si>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</si>
  <si>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</si>
  <si>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</si>
  <si>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</si>
  <si>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</si>
  <si>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</si>
  <si>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</si>
  <si>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</si>
  <si>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</si>
  <si>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</si>
  <si>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</si>
  <si>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</si>
  <si>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</si>
  <si>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</si>
  <si>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</si>
  <si>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</si>
  <si>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</si>
  <si>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</si>
  <si>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</si>
  <si>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</si>
  <si>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</si>
  <si>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</si>
  <si>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</si>
  <si>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</si>
  <si>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</si>
  <si>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</si>
  <si>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</si>
  <si>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</si>
  <si>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</si>
  <si>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</si>
  <si>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</si>
  <si>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</si>
  <si>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</si>
  <si>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</si>
  <si>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</si>
  <si>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-2.256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</si>
  <si>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</si>
  <si>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</si>
  <si>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</si>
  <si>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</si>
  <si>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</si>
  <si>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</si>
  <si>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</si>
  <si>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</si>
  <si>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HCMQAP101_pos1ap2</t>
  </si>
  <si>
    <t>±12.5</t>
  </si>
  <si>
    <t>THCMQAP101_pos1ap2.xls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</si>
  <si>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-3.761 mT)</t>
    </r>
  </si>
  <si>
    <t>HCMQAP101_pos2ap2</t>
  </si>
  <si>
    <t>THCMQAP101_pos2ap2.xls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</si>
  <si>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 mT)</t>
    </r>
  </si>
  <si>
    <t>HCMQAP101_pos3ap2</t>
  </si>
  <si>
    <t>THCMQAP101_pos3ap2.xls</t>
  </si>
  <si>
    <t>HCMQAP101_pos4ap2</t>
  </si>
  <si>
    <t>THCMQAP101_pos4ap2.xls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</si>
  <si>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-2.092 mT)</t>
    </r>
  </si>
  <si>
    <t>HCMQAP101_pos5ap2</t>
  </si>
  <si>
    <t>THCMQAP101_pos5ap2.xls</t>
  </si>
  <si>
    <t>Sommaire : Valeurs intégrales calculées avec les fichiers: HCMQAP101_pos1ap2+HCMQAP101_pos2ap2+HCMQAP101_pos3ap2+HCMQAP101_pos4ap2+HCMQAP101_pos5ap2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</si>
  <si>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</si>
  <si>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</si>
  <si>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</si>
  <si>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</si>
  <si>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</si>
  <si>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</si>
  <si>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</si>
  <si>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</si>
  <si>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</si>
  <si>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</si>
  <si>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</si>
  <si>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</si>
  <si>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</si>
  <si>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</si>
  <si>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</si>
  <si>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</si>
  <si>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</si>
  <si>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</si>
  <si>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</si>
  <si>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</si>
  <si>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</si>
  <si>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</si>
  <si>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</si>
  <si>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</si>
  <si>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</si>
  <si>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</si>
  <si>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</si>
  <si>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</si>
  <si>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</si>
  <si>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</si>
  <si>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</si>
  <si>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</si>
  <si>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</si>
  <si>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</si>
  <si>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</si>
  <si>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</si>
  <si>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</si>
  <si>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</si>
  <si>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</si>
  <si>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</si>
  <si>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</si>
  <si>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</si>
  <si>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</si>
  <si>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</t>
    </r>
  </si>
  <si>
    <t>Gradient (T/m)</t>
  </si>
  <si>
    <t xml:space="preserve"> Tue 07/10/2003       08:48:50</t>
  </si>
  <si>
    <t>LISSNER</t>
  </si>
  <si>
    <t>HCMQAP101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</si>
  <si>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</si>
  <si>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</si>
  <si>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</si>
  <si>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</si>
  <si>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</si>
  <si>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</si>
  <si>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</si>
  <si>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</si>
  <si>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</si>
  <si>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b13*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</si>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</sst>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3" fillId="3" borderId="15" xfId="0" applyNumberFormat="1" applyFont="1" applyFill="1" applyBorder="1" applyAlignment="1">
      <alignment horizontal="center"/>
    </xf>
    <xf numFmtId="173" fontId="5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5" fillId="3" borderId="15" xfId="0" applyNumberFormat="1" applyFont="1" applyFill="1" applyBorder="1" applyAlignment="1">
      <alignment horizontal="center"/>
    </xf>
    <xf numFmtId="173" fontId="3" fillId="4" borderId="10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4" borderId="2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0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1" fillId="0" borderId="66" xfId="0" applyNumberFormat="1" applyFont="1" applyBorder="1" applyAlignment="1">
      <alignment horizontal="center"/>
    </xf>
    <xf numFmtId="179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101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/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/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/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/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/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/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/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/>
            </c:numRef>
          </c:val>
          <c:smooth val="0"/>
        </c:ser>
        <c:marker val="1"/>
        <c:axId val="44293832"/>
        <c:axId val="63100169"/>
      </c:lineChart>
      <c:catAx>
        <c:axId val="442938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3100169"/>
        <c:crosses val="autoZero"/>
        <c:auto val="1"/>
        <c:lblOffset val="100"/>
        <c:noMultiLvlLbl val="0"/>
      </c:catAx>
      <c:valAx>
        <c:axId val="63100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4429383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28575</xdr:rowOff>
    </xdr:from>
    <xdr:to>
      <xdr:col>7</xdr:col>
      <xdr:colOff>19050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71450" y="6010275"/>
        <a:ext cx="5381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7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>
        <v>37812</v>
      </c>
      <c r="B2" s="24">
        <v>80</v>
      </c>
      <c r="C2" s="24" t="s">
        <v>69</v>
      </c>
      <c r="D2" s="25">
        <v>5</v>
      </c>
      <c r="E2" s="25">
        <v>1</v>
      </c>
      <c r="F2" s="26"/>
      <c r="G2" s="26" t="s">
        <v>68</v>
      </c>
      <c r="H2" s="25">
        <v>2362</v>
      </c>
      <c r="I2" s="27" t="s">
        <v>70</v>
      </c>
      <c r="J2" s="30"/>
      <c r="K2" s="28"/>
      <c r="L2" s="28"/>
      <c r="M2" s="28"/>
      <c r="N2" s="28"/>
    </row>
    <row r="3" spans="1:14" s="29" customFormat="1" ht="15" customHeight="1">
      <c r="A3" s="40">
        <v>37812</v>
      </c>
      <c r="B3" s="24">
        <v>80</v>
      </c>
      <c r="C3" s="24" t="s">
        <v>69</v>
      </c>
      <c r="D3" s="25">
        <v>5</v>
      </c>
      <c r="E3" s="25">
        <v>2</v>
      </c>
      <c r="F3" s="26"/>
      <c r="G3" s="26" t="s">
        <v>72</v>
      </c>
      <c r="H3" s="25">
        <v>2362</v>
      </c>
      <c r="I3" s="27" t="s">
        <v>73</v>
      </c>
      <c r="J3" s="30"/>
      <c r="K3" s="28"/>
      <c r="L3" s="28"/>
      <c r="M3" s="28"/>
      <c r="N3" s="28"/>
    </row>
    <row r="4" spans="1:14" s="29" customFormat="1" ht="15" customHeight="1">
      <c r="A4" s="40">
        <v>37812</v>
      </c>
      <c r="B4" s="24">
        <v>80</v>
      </c>
      <c r="C4" s="24" t="s">
        <v>69</v>
      </c>
      <c r="D4" s="25">
        <v>5</v>
      </c>
      <c r="E4" s="25">
        <v>3</v>
      </c>
      <c r="F4" s="26"/>
      <c r="G4" s="26" t="s">
        <v>75</v>
      </c>
      <c r="H4" s="25">
        <v>2362</v>
      </c>
      <c r="I4" s="27" t="s">
        <v>76</v>
      </c>
      <c r="J4" s="30"/>
      <c r="K4" s="31"/>
      <c r="L4" s="31"/>
      <c r="M4" s="31"/>
      <c r="N4" s="28"/>
    </row>
    <row r="5" spans="1:14" s="29" customFormat="1" ht="15" customHeight="1">
      <c r="A5" s="40">
        <v>37812</v>
      </c>
      <c r="B5" s="24">
        <v>80</v>
      </c>
      <c r="C5" s="24" t="s">
        <v>69</v>
      </c>
      <c r="D5" s="25">
        <v>5</v>
      </c>
      <c r="E5" s="25">
        <v>4</v>
      </c>
      <c r="F5" s="26"/>
      <c r="G5" s="26" t="s">
        <v>77</v>
      </c>
      <c r="H5" s="25">
        <v>2362</v>
      </c>
      <c r="I5" s="27" t="s">
        <v>78</v>
      </c>
      <c r="J5" s="30"/>
      <c r="K5" s="28"/>
      <c r="L5" s="28"/>
      <c r="M5" s="28"/>
      <c r="N5" s="28"/>
    </row>
    <row r="6" spans="1:14" s="29" customFormat="1" ht="15" customHeight="1">
      <c r="A6" s="40">
        <v>37812</v>
      </c>
      <c r="B6" s="24">
        <v>80</v>
      </c>
      <c r="C6" s="24" t="s">
        <v>69</v>
      </c>
      <c r="D6" s="25">
        <v>5</v>
      </c>
      <c r="E6" s="25">
        <v>5</v>
      </c>
      <c r="F6" s="26"/>
      <c r="G6" s="26" t="s">
        <v>80</v>
      </c>
      <c r="H6" s="25">
        <v>2362</v>
      </c>
      <c r="I6" s="27" t="s">
        <v>81</v>
      </c>
      <c r="J6" s="30"/>
      <c r="K6" s="28"/>
      <c r="L6" s="28"/>
      <c r="M6" s="28"/>
      <c r="N6" s="28"/>
    </row>
    <row r="7" spans="1:14" s="29" customFormat="1" ht="15" customHeight="1">
      <c r="A7" s="40" t="s">
        <v>82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5" customHeight="1">
      <c r="A10" s="40"/>
      <c r="B10" s="24"/>
      <c r="C10" s="24"/>
      <c r="D10" s="25"/>
      <c r="E10" s="25"/>
      <c r="F10" s="26"/>
      <c r="G10" s="26"/>
      <c r="H10" s="25"/>
      <c r="I10" s="27"/>
      <c r="J10" s="30"/>
      <c r="K10" s="28"/>
      <c r="L10" s="28"/>
      <c r="M10" s="28"/>
      <c r="N10" s="28"/>
    </row>
    <row r="11" spans="1:14" s="29" customFormat="1" ht="18" customHeight="1">
      <c r="A11" s="41"/>
      <c r="B11" s="24"/>
      <c r="C11" s="24"/>
      <c r="D11" s="25"/>
      <c r="E11" s="33"/>
      <c r="F11" s="34"/>
      <c r="G11" s="4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38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8" customHeight="1">
      <c r="A13" s="40"/>
      <c r="B13" s="24"/>
      <c r="C13" s="24"/>
      <c r="D13" s="25"/>
      <c r="E13" s="33"/>
      <c r="F13" s="34"/>
      <c r="G13" s="34"/>
      <c r="H13" s="33"/>
      <c r="I13" s="35"/>
      <c r="J13" s="36"/>
      <c r="K13" s="37"/>
      <c r="L13" s="37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7"/>
      <c r="J14" s="30"/>
      <c r="K14" s="31"/>
      <c r="L14" s="28"/>
      <c r="M14" s="28"/>
      <c r="N14" s="28"/>
    </row>
    <row r="15" spans="1:14" s="29" customFormat="1" ht="15" customHeight="1">
      <c r="A15" s="40"/>
      <c r="B15" s="24"/>
      <c r="C15" s="24"/>
      <c r="D15" s="25"/>
      <c r="E15" s="25"/>
      <c r="F15" s="26"/>
      <c r="G15" s="26"/>
      <c r="H15" s="25"/>
      <c r="I15" s="28"/>
      <c r="J15" s="30"/>
      <c r="K15" s="31"/>
      <c r="L15" s="28"/>
      <c r="M15" s="28"/>
      <c r="N15" s="28"/>
    </row>
    <row r="16" spans="1:14" s="2" customFormat="1" ht="18" customHeight="1">
      <c r="A16" s="42"/>
      <c r="B16" s="20"/>
      <c r="C16" s="20"/>
      <c r="D16" s="15"/>
      <c r="E16" s="15"/>
      <c r="F16" s="22"/>
      <c r="G16" s="22"/>
      <c r="H16" s="15"/>
      <c r="I16" s="23"/>
      <c r="J16" s="17"/>
      <c r="K16"/>
      <c r="L16" s="4"/>
      <c r="M16" s="4"/>
      <c r="N16" s="4"/>
    </row>
    <row r="17" spans="10:14" ht="15" customHeight="1">
      <c r="J17" s="32"/>
      <c r="M17"/>
      <c r="N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4.2851702E-05</v>
      </c>
      <c r="L2" s="55">
        <v>4.791073307471516E-07</v>
      </c>
      <c r="M2" s="55">
        <v>0.00012410848</v>
      </c>
      <c r="N2" s="56">
        <v>1.392334859355535E-07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-3.1981166E-05</v>
      </c>
      <c r="L3" s="55">
        <v>1.4831034071888377E-07</v>
      </c>
      <c r="M3" s="55">
        <v>1.4022240000000002E-05</v>
      </c>
      <c r="N3" s="56">
        <v>6.612293399410342E-08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-0.0022563164015594384</v>
      </c>
      <c r="L4" s="55">
        <v>2.584346186615814E-05</v>
      </c>
      <c r="M4" s="55">
        <v>5.907062560369753E-08</v>
      </c>
      <c r="N4" s="56">
        <v>-5.726664</v>
      </c>
    </row>
    <row r="5" spans="1:14" ht="15" customHeight="1" thickBot="1">
      <c r="A5" t="s">
        <v>18</v>
      </c>
      <c r="B5" s="59">
        <v>37901.345185185186</v>
      </c>
      <c r="D5" s="60"/>
      <c r="E5" s="61" t="s">
        <v>59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2362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2.6707985</v>
      </c>
      <c r="E8" s="78">
        <v>0.026043784423533382</v>
      </c>
      <c r="F8" s="78">
        <v>1.370406</v>
      </c>
      <c r="G8" s="78">
        <v>0.01691031338858382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-0.5450682</v>
      </c>
      <c r="E9" s="80">
        <v>0.06227934765487646</v>
      </c>
      <c r="F9" s="80">
        <v>-1.5111426</v>
      </c>
      <c r="G9" s="80">
        <v>0.0418858613775592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-0.99105186</v>
      </c>
      <c r="E10" s="80">
        <v>0.017315285023450394</v>
      </c>
      <c r="F10" s="80">
        <v>-1.8407304</v>
      </c>
      <c r="G10" s="80">
        <v>0.005266473406386883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1</v>
      </c>
      <c r="D11" s="77">
        <v>4.525584199999999</v>
      </c>
      <c r="E11" s="78">
        <v>0.013493161496167033</v>
      </c>
      <c r="F11" s="78">
        <v>0.86039518</v>
      </c>
      <c r="G11" s="78">
        <v>0.007917972151283587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-0.4831137200000001</v>
      </c>
      <c r="E12" s="80">
        <v>0.013223776968723611</v>
      </c>
      <c r="F12" s="80">
        <v>0.07734495899999999</v>
      </c>
      <c r="G12" s="80">
        <v>0.0016207212832730362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21.505738</v>
      </c>
      <c r="D13" s="83">
        <v>0.108747401</v>
      </c>
      <c r="E13" s="80">
        <v>0.002327940200025361</v>
      </c>
      <c r="F13" s="85">
        <v>-0.4306559</v>
      </c>
      <c r="G13" s="80">
        <v>0.005769476406138734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0.18048705000000004</v>
      </c>
      <c r="E14" s="80">
        <v>0.003166217938169267</v>
      </c>
      <c r="F14" s="85">
        <v>0.49634280999999997</v>
      </c>
      <c r="G14" s="80">
        <v>0.0009817766958147942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-0.36548793</v>
      </c>
      <c r="E15" s="78">
        <v>0.0011794188982567446</v>
      </c>
      <c r="F15" s="78">
        <v>0.12116656399999999</v>
      </c>
      <c r="G15" s="78">
        <v>0.007834282462946904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-0.14461061</v>
      </c>
      <c r="E16" s="80">
        <v>0.002001584306094468</v>
      </c>
      <c r="F16" s="80">
        <v>-0.0390301323</v>
      </c>
      <c r="G16" s="80">
        <v>0.0019193947089707537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0.1679999977350235</v>
      </c>
      <c r="D17" s="83">
        <v>0.129834171</v>
      </c>
      <c r="E17" s="80">
        <v>0.002935682754169565</v>
      </c>
      <c r="F17" s="80">
        <v>-0.14477826</v>
      </c>
      <c r="G17" s="80">
        <v>0.003297536895836516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70.6989974975586</v>
      </c>
      <c r="D18" s="83">
        <v>0.08053920899999999</v>
      </c>
      <c r="E18" s="80">
        <v>0.001865446332274739</v>
      </c>
      <c r="F18" s="85">
        <v>0.17339162999999996</v>
      </c>
      <c r="G18" s="80">
        <v>0.003453654151563336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0.06400000303983688</v>
      </c>
      <c r="D19" s="87">
        <v>-0.18770620999999998</v>
      </c>
      <c r="E19" s="80">
        <v>0.0011572960811348696</v>
      </c>
      <c r="F19" s="80">
        <v>0.0007379093199999998</v>
      </c>
      <c r="G19" s="80">
        <v>0.0031731996156941786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0.33356240000000004</v>
      </c>
      <c r="D20" s="89">
        <v>-0.0057753475999999995</v>
      </c>
      <c r="E20" s="90">
        <v>0.0010123895118509204</v>
      </c>
      <c r="F20" s="90">
        <v>0.0017329854</v>
      </c>
      <c r="G20" s="90">
        <v>0.001944517925019371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0.9312448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-0.3281139550355075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-2.2564644000000005</v>
      </c>
      <c r="I25" s="102" t="s">
        <v>49</v>
      </c>
      <c r="J25" s="103"/>
      <c r="K25" s="102"/>
      <c r="L25" s="105">
        <v>4.606646526168126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3.001862294049854</v>
      </c>
      <c r="I26" s="107" t="s">
        <v>53</v>
      </c>
      <c r="J26" s="108"/>
      <c r="K26" s="107"/>
      <c r="L26" s="110">
        <v>0.3850490400030248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HCMQAP101_pos1ap2res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-5.5783251E-05</v>
      </c>
      <c r="L2" s="55">
        <v>2.0188879078219318E-07</v>
      </c>
      <c r="M2" s="55">
        <v>0.00012485023</v>
      </c>
      <c r="N2" s="56">
        <v>1.354393318055738E-07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-2.9633161E-05</v>
      </c>
      <c r="L3" s="55">
        <v>1.1351298420924357E-07</v>
      </c>
      <c r="M3" s="55">
        <v>1.261169E-05</v>
      </c>
      <c r="N3" s="56">
        <v>9.907828924652534E-08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-0.0037607111634049245</v>
      </c>
      <c r="L4" s="55">
        <v>2.0730454082434258E-05</v>
      </c>
      <c r="M4" s="55">
        <v>4.206852212026052E-08</v>
      </c>
      <c r="N4" s="56">
        <v>-2.7561601</v>
      </c>
    </row>
    <row r="5" spans="1:14" ht="15" customHeight="1" thickBot="1">
      <c r="A5" t="s">
        <v>18</v>
      </c>
      <c r="B5" s="59">
        <v>37901.349756944444</v>
      </c>
      <c r="D5" s="60"/>
      <c r="E5" s="61" t="s">
        <v>71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2362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1.9598795</v>
      </c>
      <c r="E8" s="78">
        <v>0.013533834892589977</v>
      </c>
      <c r="F8" s="78">
        <v>-0.8758483399999999</v>
      </c>
      <c r="G8" s="78">
        <v>0.00768204207119162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-0.5226898200000001</v>
      </c>
      <c r="E9" s="80">
        <v>0.008684348561436602</v>
      </c>
      <c r="F9" s="85">
        <v>2.7636433</v>
      </c>
      <c r="G9" s="80">
        <v>0.023717333293623934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0.008698770000000003</v>
      </c>
      <c r="E10" s="80">
        <v>0.004347630819262375</v>
      </c>
      <c r="F10" s="80">
        <v>-1.4155595</v>
      </c>
      <c r="G10" s="80">
        <v>0.010337057584257988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2</v>
      </c>
      <c r="D11" s="77">
        <v>3.8130243999999998</v>
      </c>
      <c r="E11" s="78">
        <v>0.004258833941462335</v>
      </c>
      <c r="F11" s="78">
        <v>-0.099445624</v>
      </c>
      <c r="G11" s="78">
        <v>0.004492900075610866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-0.44252028</v>
      </c>
      <c r="E12" s="80">
        <v>0.0027419638787976397</v>
      </c>
      <c r="F12" s="80">
        <v>-0.4260434</v>
      </c>
      <c r="G12" s="80">
        <v>0.005220241447767087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21.640015</v>
      </c>
      <c r="D13" s="83">
        <v>0.08887691</v>
      </c>
      <c r="E13" s="80">
        <v>0.0017834558443141995</v>
      </c>
      <c r="F13" s="80">
        <v>0.094976724</v>
      </c>
      <c r="G13" s="80">
        <v>0.004767699198424092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0.084602545</v>
      </c>
      <c r="E14" s="80">
        <v>0.002856907210731685</v>
      </c>
      <c r="F14" s="80">
        <v>0.19041223000000002</v>
      </c>
      <c r="G14" s="80">
        <v>0.002926454632587595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-0.16999561</v>
      </c>
      <c r="E15" s="78">
        <v>0.0016717539933866336</v>
      </c>
      <c r="F15" s="78">
        <v>0.034347628000000005</v>
      </c>
      <c r="G15" s="78">
        <v>0.0026829470058139138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12.5062</v>
      </c>
      <c r="D16" s="83">
        <v>-0.032149378</v>
      </c>
      <c r="E16" s="80">
        <v>0.0024766243687135946</v>
      </c>
      <c r="F16" s="80">
        <v>-0.027008744299999998</v>
      </c>
      <c r="G16" s="80">
        <v>0.0016041463255196211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-0.328000009059906</v>
      </c>
      <c r="D17" s="83">
        <v>0.077165442</v>
      </c>
      <c r="E17" s="80">
        <v>0.0020257182769125148</v>
      </c>
      <c r="F17" s="80">
        <v>0.0131992888</v>
      </c>
      <c r="G17" s="80">
        <v>0.0017324622344200681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42.215999603271484</v>
      </c>
      <c r="D18" s="83">
        <v>-0.0019038477999999998</v>
      </c>
      <c r="E18" s="80">
        <v>0.0024058574219337396</v>
      </c>
      <c r="F18" s="80">
        <v>0.09827156399999999</v>
      </c>
      <c r="G18" s="80">
        <v>0.0007875927708327954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-0.4189999997615814</v>
      </c>
      <c r="D19" s="87">
        <v>-0.15633686</v>
      </c>
      <c r="E19" s="80">
        <v>0.001426869392550554</v>
      </c>
      <c r="F19" s="80">
        <v>0.014744973</v>
      </c>
      <c r="G19" s="80">
        <v>0.0014827022312339057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-0.2490212</v>
      </c>
      <c r="D20" s="89">
        <v>0.004493532079999999</v>
      </c>
      <c r="E20" s="90">
        <v>0.001223571982666247</v>
      </c>
      <c r="F20" s="90">
        <v>0.004435269800000001</v>
      </c>
      <c r="G20" s="90">
        <v>0.0009631552841538873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0.5657587000000002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-0.15791647477869486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-3.7607682999999996</v>
      </c>
      <c r="I25" s="102" t="s">
        <v>49</v>
      </c>
      <c r="J25" s="103"/>
      <c r="K25" s="102"/>
      <c r="L25" s="105">
        <v>3.8143209758917913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2.146680686362321</v>
      </c>
      <c r="I26" s="107" t="s">
        <v>53</v>
      </c>
      <c r="J26" s="108"/>
      <c r="K26" s="107"/>
      <c r="L26" s="110">
        <v>0.1734308708635763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HCMQAP101_pos2ap2res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9.4056994E-05</v>
      </c>
      <c r="L2" s="55">
        <v>2.884818931487748E-07</v>
      </c>
      <c r="M2" s="55">
        <v>0.00016307335000000003</v>
      </c>
      <c r="N2" s="56">
        <v>1.3922905942581832E-07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-2.8625366E-05</v>
      </c>
      <c r="L3" s="55">
        <v>1.2152966944004446E-07</v>
      </c>
      <c r="M3" s="55">
        <v>1.093799E-05</v>
      </c>
      <c r="N3" s="56">
        <v>1.4227826046164893E-07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-0.0037601803203135557</v>
      </c>
      <c r="L4" s="55">
        <v>-8.575946866634516E-06</v>
      </c>
      <c r="M4" s="55">
        <v>6.917829040447474E-08</v>
      </c>
      <c r="N4" s="56">
        <v>1.1403618000000002</v>
      </c>
    </row>
    <row r="5" spans="1:14" ht="15" customHeight="1" thickBot="1">
      <c r="A5" t="s">
        <v>18</v>
      </c>
      <c r="B5" s="59">
        <v>37901.354583333334</v>
      </c>
      <c r="D5" s="60"/>
      <c r="E5" s="61" t="s">
        <v>74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2362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1.0687995000000001</v>
      </c>
      <c r="E8" s="78">
        <v>0.018295815278356657</v>
      </c>
      <c r="F8" s="78">
        <v>-1.4953654</v>
      </c>
      <c r="G8" s="78">
        <v>0.012657407674566759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-0.10678975359999998</v>
      </c>
      <c r="E9" s="80">
        <v>0.017488357871916625</v>
      </c>
      <c r="F9" s="80">
        <v>-0.5576395700000001</v>
      </c>
      <c r="G9" s="80">
        <v>0.04628527366139843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-1.2056892000000001</v>
      </c>
      <c r="E10" s="80">
        <v>0.00897654253929482</v>
      </c>
      <c r="F10" s="85">
        <v>-2.3711081999999997</v>
      </c>
      <c r="G10" s="80">
        <v>0.007838084214958043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3</v>
      </c>
      <c r="D11" s="77">
        <v>4.5002653</v>
      </c>
      <c r="E11" s="78">
        <v>0.004421622153183843</v>
      </c>
      <c r="F11" s="78">
        <v>-0.23111269</v>
      </c>
      <c r="G11" s="78">
        <v>0.004168864415450346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-0.41285989</v>
      </c>
      <c r="E12" s="80">
        <v>0.0026251811601081467</v>
      </c>
      <c r="F12" s="80">
        <v>0.17048893999999998</v>
      </c>
      <c r="G12" s="80">
        <v>0.002697400955253596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21.829224</v>
      </c>
      <c r="D13" s="83">
        <v>-0.00715662086</v>
      </c>
      <c r="E13" s="80">
        <v>0.003313577378411897</v>
      </c>
      <c r="F13" s="80">
        <v>-0.21674907000000002</v>
      </c>
      <c r="G13" s="80">
        <v>0.0017366381993911095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0.13663261999999998</v>
      </c>
      <c r="E14" s="80">
        <v>0.002574409550286829</v>
      </c>
      <c r="F14" s="80">
        <v>0.18160136000000002</v>
      </c>
      <c r="G14" s="80">
        <v>0.0036827605410061307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-0.07808806399999998</v>
      </c>
      <c r="E15" s="78">
        <v>0.0024439131417043902</v>
      </c>
      <c r="F15" s="78">
        <v>0.0503524</v>
      </c>
      <c r="G15" s="78">
        <v>0.0018987910212606885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12.5061</v>
      </c>
      <c r="D16" s="83">
        <v>-0.11745205299999999</v>
      </c>
      <c r="E16" s="80">
        <v>0.0048592005450419406</v>
      </c>
      <c r="F16" s="80">
        <v>0.041368102</v>
      </c>
      <c r="G16" s="80">
        <v>0.0029425334037333412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0.2930000126361847</v>
      </c>
      <c r="D17" s="83">
        <v>0.059772356000000006</v>
      </c>
      <c r="E17" s="80">
        <v>0.0027624321385771246</v>
      </c>
      <c r="F17" s="80">
        <v>-0.14207113000000002</v>
      </c>
      <c r="G17" s="80">
        <v>0.0028797404651450947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-9.154999732971191</v>
      </c>
      <c r="D18" s="83">
        <v>0.08519988099999999</v>
      </c>
      <c r="E18" s="80">
        <v>0.001880085622525019</v>
      </c>
      <c r="F18" s="80">
        <v>0.14314051</v>
      </c>
      <c r="G18" s="80">
        <v>0.0019451654796940594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-0.003000000026077032</v>
      </c>
      <c r="D19" s="87">
        <v>-0.16727704000000002</v>
      </c>
      <c r="E19" s="80">
        <v>0.0009523008964606007</v>
      </c>
      <c r="F19" s="80">
        <v>0.0075324402</v>
      </c>
      <c r="G19" s="80">
        <v>0.002089679153123481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0.42355459999999995</v>
      </c>
      <c r="D20" s="89">
        <v>-0.0038590414600000005</v>
      </c>
      <c r="E20" s="90">
        <v>0.001198746461132623</v>
      </c>
      <c r="F20" s="90">
        <v>-0.0038509547</v>
      </c>
      <c r="G20" s="90">
        <v>0.0010733734562220478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0.7382261999999999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0.06533797344656687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-3.7601901000000004</v>
      </c>
      <c r="I25" s="102" t="s">
        <v>49</v>
      </c>
      <c r="J25" s="103"/>
      <c r="K25" s="102"/>
      <c r="L25" s="105">
        <v>4.506195828618983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1.838056052115226</v>
      </c>
      <c r="I26" s="107" t="s">
        <v>53</v>
      </c>
      <c r="J26" s="108"/>
      <c r="K26" s="107"/>
      <c r="L26" s="110">
        <v>0.09291453021475217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HCMQAP101_pos3ap2res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-4.484901799999999E-05</v>
      </c>
      <c r="L2" s="55">
        <v>3.8507489430789283E-07</v>
      </c>
      <c r="M2" s="55">
        <v>0.00014652751</v>
      </c>
      <c r="N2" s="56">
        <v>2.090426138254615E-07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-2.9132540000000002E-05</v>
      </c>
      <c r="L3" s="55">
        <v>2.1450827688007152E-07</v>
      </c>
      <c r="M3" s="55">
        <v>1.0356910000000003E-05</v>
      </c>
      <c r="N3" s="56">
        <v>1.0818928043012591E-07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-0.00376019191562483</v>
      </c>
      <c r="L4" s="55">
        <v>-3.1683932123846785E-05</v>
      </c>
      <c r="M4" s="55">
        <v>6.536546058102842E-08</v>
      </c>
      <c r="N4" s="56">
        <v>4.212974099999999</v>
      </c>
    </row>
    <row r="5" spans="1:14" ht="15" customHeight="1" thickBot="1">
      <c r="A5" t="s">
        <v>18</v>
      </c>
      <c r="B5" s="59">
        <v>37901.35920138889</v>
      </c>
      <c r="D5" s="60"/>
      <c r="E5" s="61" t="s">
        <v>74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2362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3.3229413</v>
      </c>
      <c r="E8" s="78">
        <v>0.012164026885022812</v>
      </c>
      <c r="F8" s="78">
        <v>-0.0406481649</v>
      </c>
      <c r="G8" s="78">
        <v>0.010611493081803773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0.37552611</v>
      </c>
      <c r="E9" s="80">
        <v>0.01291808116054336</v>
      </c>
      <c r="F9" s="80">
        <v>0.11851780200000002</v>
      </c>
      <c r="G9" s="80">
        <v>0.03958647505428973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-0.240281461</v>
      </c>
      <c r="E10" s="80">
        <v>0.008914938455904334</v>
      </c>
      <c r="F10" s="80">
        <v>-1.4279126</v>
      </c>
      <c r="G10" s="80">
        <v>0.00867042588574437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4</v>
      </c>
      <c r="D11" s="77">
        <v>4.0752953</v>
      </c>
      <c r="E11" s="78">
        <v>0.006482159174217515</v>
      </c>
      <c r="F11" s="78">
        <v>-0.42149346000000004</v>
      </c>
      <c r="G11" s="78">
        <v>0.009388698137302552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-0.32526709</v>
      </c>
      <c r="E12" s="80">
        <v>0.004594755166213259</v>
      </c>
      <c r="F12" s="80">
        <v>-0.23840013999999998</v>
      </c>
      <c r="G12" s="80">
        <v>0.004993662794122905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22.006226</v>
      </c>
      <c r="D13" s="83">
        <v>0.19529559000000002</v>
      </c>
      <c r="E13" s="80">
        <v>0.0036950761165903206</v>
      </c>
      <c r="F13" s="80">
        <v>-0.23630665</v>
      </c>
      <c r="G13" s="80">
        <v>0.00668144935257306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0.005782746</v>
      </c>
      <c r="E14" s="80">
        <v>0.0015475686145699308</v>
      </c>
      <c r="F14" s="80">
        <v>0.19031842999999998</v>
      </c>
      <c r="G14" s="80">
        <v>0.0022711478511098088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-0.16974096000000002</v>
      </c>
      <c r="E15" s="78">
        <v>0.0015514629245951537</v>
      </c>
      <c r="F15" s="78">
        <v>0.056389809</v>
      </c>
      <c r="G15" s="78">
        <v>0.003473929495269571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12.506399999999998</v>
      </c>
      <c r="D16" s="83">
        <v>-0.061318096999999995</v>
      </c>
      <c r="E16" s="80">
        <v>0.002422248967659422</v>
      </c>
      <c r="F16" s="80">
        <v>-0.044097396</v>
      </c>
      <c r="G16" s="80">
        <v>0.003720660197031427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-0.03500000014901161</v>
      </c>
      <c r="D17" s="83">
        <v>0.081242267</v>
      </c>
      <c r="E17" s="80">
        <v>0.003616035958751874</v>
      </c>
      <c r="F17" s="80">
        <v>-0.023469283</v>
      </c>
      <c r="G17" s="80">
        <v>0.001868862934932893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203.95899963378906</v>
      </c>
      <c r="D18" s="83">
        <v>-0.0047761782</v>
      </c>
      <c r="E18" s="80">
        <v>0.0018807878348728916</v>
      </c>
      <c r="F18" s="80">
        <v>0.11874284000000002</v>
      </c>
      <c r="G18" s="80">
        <v>0.0019765696087921236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-0.382999986410141</v>
      </c>
      <c r="D19" s="87">
        <v>-0.16230405</v>
      </c>
      <c r="E19" s="80">
        <v>0.0003416853918442416</v>
      </c>
      <c r="F19" s="80">
        <v>0.008256492600000002</v>
      </c>
      <c r="G19" s="80">
        <v>0.0009537765446640648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-0.20829930000000002</v>
      </c>
      <c r="D20" s="89">
        <v>0.0007495765950000001</v>
      </c>
      <c r="E20" s="90">
        <v>0.000986701998953104</v>
      </c>
      <c r="F20" s="90">
        <v>0.0017220402000000003</v>
      </c>
      <c r="G20" s="90">
        <v>0.0014922157091896127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0.660712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0.24138583901782215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-3.7603253999999993</v>
      </c>
      <c r="I25" s="102" t="s">
        <v>49</v>
      </c>
      <c r="J25" s="103"/>
      <c r="K25" s="102"/>
      <c r="L25" s="105">
        <v>4.097034112504417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3.3231899067846586</v>
      </c>
      <c r="I26" s="107" t="s">
        <v>53</v>
      </c>
      <c r="J26" s="108"/>
      <c r="K26" s="107"/>
      <c r="L26" s="110">
        <v>0.17886252838640654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HCMQAP101_pos4ap2res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5.150105000000001E-06</v>
      </c>
      <c r="L2" s="55">
        <v>2.3816761284858962E-07</v>
      </c>
      <c r="M2" s="55">
        <v>0.00012411488</v>
      </c>
      <c r="N2" s="56">
        <v>1.2605676736661556E-07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-3.1135075E-05</v>
      </c>
      <c r="L3" s="55">
        <v>6.97527286200949E-08</v>
      </c>
      <c r="M3" s="55">
        <v>9.78572E-06</v>
      </c>
      <c r="N3" s="56">
        <v>9.482603334514587E-08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-0.0020916956504116726</v>
      </c>
      <c r="L4" s="55">
        <v>-3.195986346855819E-05</v>
      </c>
      <c r="M4" s="55">
        <v>4.304254662418844E-08</v>
      </c>
      <c r="N4" s="56">
        <v>7.639107700000001</v>
      </c>
    </row>
    <row r="5" spans="1:14" ht="15" customHeight="1" thickBot="1">
      <c r="A5" t="s">
        <v>18</v>
      </c>
      <c r="B5" s="59">
        <v>37901.363703703704</v>
      </c>
      <c r="D5" s="60"/>
      <c r="E5" s="61" t="s">
        <v>79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2362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0.020576838999999996</v>
      </c>
      <c r="E8" s="78">
        <v>0.018359467247694685</v>
      </c>
      <c r="F8" s="115">
        <v>8.0362719</v>
      </c>
      <c r="G8" s="78">
        <v>0.021409302254452728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116">
        <v>-2.5638249</v>
      </c>
      <c r="E9" s="80">
        <v>0.06500746417404168</v>
      </c>
      <c r="F9" s="80">
        <v>-0.676556036</v>
      </c>
      <c r="G9" s="80">
        <v>0.029647260717174675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-0.34024893</v>
      </c>
      <c r="E10" s="80">
        <v>0.01843983407559734</v>
      </c>
      <c r="F10" s="85">
        <v>-9.6099592</v>
      </c>
      <c r="G10" s="80">
        <v>0.016918875088213117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5</v>
      </c>
      <c r="D11" s="117">
        <v>15.362056</v>
      </c>
      <c r="E11" s="78">
        <v>0.015939113335909156</v>
      </c>
      <c r="F11" s="78">
        <v>1.1806256</v>
      </c>
      <c r="G11" s="78">
        <v>0.011735628276315618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-0.053557208999999995</v>
      </c>
      <c r="E12" s="80">
        <v>0.0024921065023940634</v>
      </c>
      <c r="F12" s="80">
        <v>0.26465093</v>
      </c>
      <c r="G12" s="80">
        <v>0.011099747222509341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22.155762</v>
      </c>
      <c r="D13" s="83">
        <v>0.11638885000000002</v>
      </c>
      <c r="E13" s="80">
        <v>0.005511620700574096</v>
      </c>
      <c r="F13" s="80">
        <v>-0.17945351999999998</v>
      </c>
      <c r="G13" s="80">
        <v>0.004416982484978259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0.11340804</v>
      </c>
      <c r="E14" s="80">
        <v>0.004835641401326913</v>
      </c>
      <c r="F14" s="85">
        <v>0.4852528400000001</v>
      </c>
      <c r="G14" s="80">
        <v>0.0036255397100729463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-0.41169531</v>
      </c>
      <c r="E15" s="78">
        <v>0.0032651024806911524</v>
      </c>
      <c r="F15" s="78">
        <v>0.14572823000000001</v>
      </c>
      <c r="G15" s="78">
        <v>0.0033311914758234204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12.506399999999998</v>
      </c>
      <c r="D16" s="83">
        <v>-0.0041891310000000005</v>
      </c>
      <c r="E16" s="80">
        <v>0.0036357928256054418</v>
      </c>
      <c r="F16" s="80">
        <v>-0.016413926000000002</v>
      </c>
      <c r="G16" s="80">
        <v>0.00466569346194487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0.4230000078678131</v>
      </c>
      <c r="D17" s="83">
        <v>0.07996856799999999</v>
      </c>
      <c r="E17" s="80">
        <v>0.0018830534776438437</v>
      </c>
      <c r="F17" s="80">
        <v>0.02060764097</v>
      </c>
      <c r="G17" s="80">
        <v>0.004959349067522644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-7.120999813079834</v>
      </c>
      <c r="D18" s="83">
        <v>-0.039755935</v>
      </c>
      <c r="E18" s="80">
        <v>0.0019855806443532724</v>
      </c>
      <c r="F18" s="80">
        <v>0.119183</v>
      </c>
      <c r="G18" s="80">
        <v>0.0036893823026358597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0.16699999570846558</v>
      </c>
      <c r="D19" s="83">
        <v>-0.13715522</v>
      </c>
      <c r="E19" s="80">
        <v>0.0006210151685722493</v>
      </c>
      <c r="F19" s="80">
        <v>-0.031166904000000002</v>
      </c>
      <c r="G19" s="80">
        <v>0.002081613631609851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0.0264561</v>
      </c>
      <c r="D20" s="89">
        <v>-0.0041570581099999995</v>
      </c>
      <c r="E20" s="90">
        <v>0.001819902399383365</v>
      </c>
      <c r="F20" s="90">
        <v>0.000691910133</v>
      </c>
      <c r="G20" s="90">
        <v>0.0012801831227440684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1.0091223999999999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0.43768900015597206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-2.0919398</v>
      </c>
      <c r="I25" s="102" t="s">
        <v>49</v>
      </c>
      <c r="J25" s="103"/>
      <c r="K25" s="102"/>
      <c r="L25" s="105">
        <v>15.407356728346086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8.036298243409886</v>
      </c>
      <c r="I26" s="107" t="s">
        <v>53</v>
      </c>
      <c r="J26" s="108"/>
      <c r="K26" s="107"/>
      <c r="L26" s="110">
        <v>0.43672616740347603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HCMQAP101_pos5ap2res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40" t="s">
        <v>119</v>
      </c>
      <c r="B1" s="132" t="s">
        <v>68</v>
      </c>
      <c r="C1" s="122" t="s">
        <v>72</v>
      </c>
      <c r="D1" s="122" t="s">
        <v>75</v>
      </c>
      <c r="E1" s="122" t="s">
        <v>77</v>
      </c>
      <c r="F1" s="129" t="s">
        <v>80</v>
      </c>
      <c r="G1" s="165" t="s">
        <v>120</v>
      </c>
    </row>
    <row r="2" spans="1:7" ht="13.5" thickBot="1">
      <c r="A2" s="141" t="s">
        <v>89</v>
      </c>
      <c r="B2" s="133">
        <v>-2.2564644000000005</v>
      </c>
      <c r="C2" s="124">
        <v>-3.7607682999999996</v>
      </c>
      <c r="D2" s="124">
        <v>-3.7601901000000004</v>
      </c>
      <c r="E2" s="124">
        <v>-3.7603253999999993</v>
      </c>
      <c r="F2" s="130">
        <v>-2.0919398</v>
      </c>
      <c r="G2" s="166">
        <v>3.1168535174693504</v>
      </c>
    </row>
    <row r="3" spans="1:7" ht="14.25" thickBot="1" thickTop="1">
      <c r="A3" s="149" t="s">
        <v>88</v>
      </c>
      <c r="B3" s="150" t="s">
        <v>83</v>
      </c>
      <c r="C3" s="151" t="s">
        <v>84</v>
      </c>
      <c r="D3" s="151" t="s">
        <v>85</v>
      </c>
      <c r="E3" s="151" t="s">
        <v>86</v>
      </c>
      <c r="F3" s="152" t="s">
        <v>87</v>
      </c>
      <c r="G3" s="160" t="s">
        <v>121</v>
      </c>
    </row>
    <row r="4" spans="1:7" ht="12.75">
      <c r="A4" s="146" t="s">
        <v>90</v>
      </c>
      <c r="B4" s="147">
        <v>2.6707985</v>
      </c>
      <c r="C4" s="148">
        <v>1.9598795</v>
      </c>
      <c r="D4" s="148">
        <v>1.0687995000000001</v>
      </c>
      <c r="E4" s="148">
        <v>3.3229413</v>
      </c>
      <c r="F4" s="153">
        <v>0.020576838999999996</v>
      </c>
      <c r="G4" s="161">
        <v>1.9165123328494793</v>
      </c>
    </row>
    <row r="5" spans="1:7" ht="12.75">
      <c r="A5" s="141" t="s">
        <v>92</v>
      </c>
      <c r="B5" s="135">
        <v>-0.5450682</v>
      </c>
      <c r="C5" s="119">
        <v>-0.5226898200000001</v>
      </c>
      <c r="D5" s="119">
        <v>-0.10678975359999998</v>
      </c>
      <c r="E5" s="119">
        <v>0.37552611</v>
      </c>
      <c r="F5" s="154">
        <v>-2.5638249</v>
      </c>
      <c r="G5" s="162">
        <v>-0.4829564766535181</v>
      </c>
    </row>
    <row r="6" spans="1:7" ht="12.75">
      <c r="A6" s="141" t="s">
        <v>94</v>
      </c>
      <c r="B6" s="135">
        <v>-0.99105186</v>
      </c>
      <c r="C6" s="119">
        <v>0.008698770000000003</v>
      </c>
      <c r="D6" s="119">
        <v>-1.2056892000000001</v>
      </c>
      <c r="E6" s="119">
        <v>-0.240281461</v>
      </c>
      <c r="F6" s="155">
        <v>-0.34024893</v>
      </c>
      <c r="G6" s="162">
        <v>-0.5343994413207441</v>
      </c>
    </row>
    <row r="7" spans="1:7" ht="12.75">
      <c r="A7" s="141" t="s">
        <v>96</v>
      </c>
      <c r="B7" s="134">
        <v>4.525584199999999</v>
      </c>
      <c r="C7" s="118">
        <v>3.8130243999999998</v>
      </c>
      <c r="D7" s="118">
        <v>4.5002653</v>
      </c>
      <c r="E7" s="118">
        <v>4.0752953</v>
      </c>
      <c r="F7" s="156">
        <v>15.362056</v>
      </c>
      <c r="G7" s="162">
        <v>5.690101218968795</v>
      </c>
    </row>
    <row r="8" spans="1:7" ht="12.75">
      <c r="A8" s="141" t="s">
        <v>98</v>
      </c>
      <c r="B8" s="135">
        <v>-0.4831137200000001</v>
      </c>
      <c r="C8" s="119">
        <v>-0.44252028</v>
      </c>
      <c r="D8" s="119">
        <v>-0.41285989</v>
      </c>
      <c r="E8" s="119">
        <v>-0.32526709</v>
      </c>
      <c r="F8" s="155">
        <v>-0.053557208999999995</v>
      </c>
      <c r="G8" s="162">
        <v>-0.36097492028778083</v>
      </c>
    </row>
    <row r="9" spans="1:7" ht="12.75">
      <c r="A9" s="141" t="s">
        <v>100</v>
      </c>
      <c r="B9" s="135">
        <v>0.108747401</v>
      </c>
      <c r="C9" s="119">
        <v>0.08887691</v>
      </c>
      <c r="D9" s="119">
        <v>-0.00715662086</v>
      </c>
      <c r="E9" s="119">
        <v>0.19529559000000002</v>
      </c>
      <c r="F9" s="155">
        <v>0.11638885000000002</v>
      </c>
      <c r="G9" s="162">
        <v>0.09792730891032296</v>
      </c>
    </row>
    <row r="10" spans="1:7" ht="12.75">
      <c r="A10" s="141" t="s">
        <v>102</v>
      </c>
      <c r="B10" s="135">
        <v>0.18048705000000004</v>
      </c>
      <c r="C10" s="119">
        <v>0.084602545</v>
      </c>
      <c r="D10" s="119">
        <v>0.13663261999999998</v>
      </c>
      <c r="E10" s="119">
        <v>0.005782746</v>
      </c>
      <c r="F10" s="155">
        <v>0.11340804</v>
      </c>
      <c r="G10" s="162">
        <v>0.09585511857715562</v>
      </c>
    </row>
    <row r="11" spans="1:7" ht="12.75">
      <c r="A11" s="141" t="s">
        <v>104</v>
      </c>
      <c r="B11" s="134">
        <v>-0.36548793</v>
      </c>
      <c r="C11" s="118">
        <v>-0.16999561</v>
      </c>
      <c r="D11" s="118">
        <v>-0.07808806399999998</v>
      </c>
      <c r="E11" s="118">
        <v>-0.16974096000000002</v>
      </c>
      <c r="F11" s="157">
        <v>-0.41169531</v>
      </c>
      <c r="G11" s="162">
        <v>-0.20839658583418583</v>
      </c>
    </row>
    <row r="12" spans="1:7" ht="12.75">
      <c r="A12" s="141" t="s">
        <v>106</v>
      </c>
      <c r="B12" s="135">
        <v>-0.14461061</v>
      </c>
      <c r="C12" s="119">
        <v>-0.032149378</v>
      </c>
      <c r="D12" s="119">
        <v>-0.11745205299999999</v>
      </c>
      <c r="E12" s="119">
        <v>-0.061318096999999995</v>
      </c>
      <c r="F12" s="155">
        <v>-0.0041891310000000005</v>
      </c>
      <c r="G12" s="162">
        <v>-0.07218291941494638</v>
      </c>
    </row>
    <row r="13" spans="1:7" ht="12.75">
      <c r="A13" s="141" t="s">
        <v>108</v>
      </c>
      <c r="B13" s="135">
        <v>0.129834171</v>
      </c>
      <c r="C13" s="119">
        <v>0.077165442</v>
      </c>
      <c r="D13" s="119">
        <v>0.059772356000000006</v>
      </c>
      <c r="E13" s="119">
        <v>0.081242267</v>
      </c>
      <c r="F13" s="155">
        <v>0.07996856799999999</v>
      </c>
      <c r="G13" s="162">
        <v>0.08194083877303661</v>
      </c>
    </row>
    <row r="14" spans="1:7" ht="12.75">
      <c r="A14" s="141" t="s">
        <v>110</v>
      </c>
      <c r="B14" s="135">
        <v>0.08053920899999999</v>
      </c>
      <c r="C14" s="119">
        <v>-0.0019038477999999998</v>
      </c>
      <c r="D14" s="119">
        <v>0.08519988099999999</v>
      </c>
      <c r="E14" s="119">
        <v>-0.0047761782</v>
      </c>
      <c r="F14" s="155">
        <v>-0.039755935</v>
      </c>
      <c r="G14" s="162">
        <v>0.025196579074558217</v>
      </c>
    </row>
    <row r="15" spans="1:7" ht="12.75">
      <c r="A15" s="141" t="s">
        <v>112</v>
      </c>
      <c r="B15" s="136">
        <v>-0.18770620999999998</v>
      </c>
      <c r="C15" s="120">
        <v>-0.15633686</v>
      </c>
      <c r="D15" s="120">
        <v>-0.16727704000000002</v>
      </c>
      <c r="E15" s="120">
        <v>-0.16230405</v>
      </c>
      <c r="F15" s="155">
        <v>-0.13715522</v>
      </c>
      <c r="G15" s="162">
        <v>-0.16236594503565213</v>
      </c>
    </row>
    <row r="16" spans="1:7" ht="12.75">
      <c r="A16" s="141" t="s">
        <v>114</v>
      </c>
      <c r="B16" s="135">
        <v>-0.0057753475999999995</v>
      </c>
      <c r="C16" s="119">
        <v>0.004493532079999999</v>
      </c>
      <c r="D16" s="119">
        <v>-0.0038590414600000005</v>
      </c>
      <c r="E16" s="119">
        <v>0.0007495765950000001</v>
      </c>
      <c r="F16" s="155">
        <v>-0.0041570581099999995</v>
      </c>
      <c r="G16" s="162">
        <v>-0.0010570349293413724</v>
      </c>
    </row>
    <row r="17" spans="1:7" ht="12.75">
      <c r="A17" s="141" t="s">
        <v>91</v>
      </c>
      <c r="B17" s="134">
        <v>1.370406</v>
      </c>
      <c r="C17" s="118">
        <v>-0.8758483399999999</v>
      </c>
      <c r="D17" s="118">
        <v>-1.4953654</v>
      </c>
      <c r="E17" s="118">
        <v>-0.0406481649</v>
      </c>
      <c r="F17" s="156">
        <v>8.0362719</v>
      </c>
      <c r="G17" s="162">
        <v>0.6931743110418453</v>
      </c>
    </row>
    <row r="18" spans="1:7" ht="12.75">
      <c r="A18" s="141" t="s">
        <v>93</v>
      </c>
      <c r="B18" s="135">
        <v>-1.5111426</v>
      </c>
      <c r="C18" s="120">
        <v>2.7636433</v>
      </c>
      <c r="D18" s="119">
        <v>-0.5576395700000001</v>
      </c>
      <c r="E18" s="119">
        <v>0.11851780200000002</v>
      </c>
      <c r="F18" s="155">
        <v>-0.676556036</v>
      </c>
      <c r="G18" s="162">
        <v>0.2506193883726809</v>
      </c>
    </row>
    <row r="19" spans="1:7" ht="12.75">
      <c r="A19" s="141" t="s">
        <v>95</v>
      </c>
      <c r="B19" s="135">
        <v>-1.8407304</v>
      </c>
      <c r="C19" s="119">
        <v>-1.4155595</v>
      </c>
      <c r="D19" s="120">
        <v>-2.3711081999999997</v>
      </c>
      <c r="E19" s="119">
        <v>-1.4279126</v>
      </c>
      <c r="F19" s="158">
        <v>-9.6099592</v>
      </c>
      <c r="G19" s="163">
        <v>-2.8065706517779905</v>
      </c>
    </row>
    <row r="20" spans="1:7" ht="12.75">
      <c r="A20" s="141" t="s">
        <v>97</v>
      </c>
      <c r="B20" s="134">
        <v>0.86039518</v>
      </c>
      <c r="C20" s="118">
        <v>-0.099445624</v>
      </c>
      <c r="D20" s="118">
        <v>-0.23111269</v>
      </c>
      <c r="E20" s="118">
        <v>-0.42149346000000004</v>
      </c>
      <c r="F20" s="157">
        <v>1.1806256</v>
      </c>
      <c r="G20" s="162">
        <v>0.10129931015470688</v>
      </c>
    </row>
    <row r="21" spans="1:7" ht="12.75">
      <c r="A21" s="141" t="s">
        <v>99</v>
      </c>
      <c r="B21" s="135">
        <v>0.07734495899999999</v>
      </c>
      <c r="C21" s="119">
        <v>-0.4260434</v>
      </c>
      <c r="D21" s="119">
        <v>0.17048893999999998</v>
      </c>
      <c r="E21" s="119">
        <v>-0.23840013999999998</v>
      </c>
      <c r="F21" s="155">
        <v>0.26465093</v>
      </c>
      <c r="G21" s="162">
        <v>-0.0722651552945464</v>
      </c>
    </row>
    <row r="22" spans="1:7" ht="12.75">
      <c r="A22" s="141" t="s">
        <v>101</v>
      </c>
      <c r="B22" s="136">
        <v>-0.4306559</v>
      </c>
      <c r="C22" s="119">
        <v>0.094976724</v>
      </c>
      <c r="D22" s="119">
        <v>-0.21674907000000002</v>
      </c>
      <c r="E22" s="119">
        <v>-0.23630665</v>
      </c>
      <c r="F22" s="155">
        <v>-0.17945351999999998</v>
      </c>
      <c r="G22" s="162">
        <v>-0.17233791360794432</v>
      </c>
    </row>
    <row r="23" spans="1:7" ht="12.75">
      <c r="A23" s="141" t="s">
        <v>103</v>
      </c>
      <c r="B23" s="136">
        <v>0.49634280999999997</v>
      </c>
      <c r="C23" s="119">
        <v>0.19041223000000002</v>
      </c>
      <c r="D23" s="119">
        <v>0.18160136000000002</v>
      </c>
      <c r="E23" s="119">
        <v>0.19031842999999998</v>
      </c>
      <c r="F23" s="158">
        <v>0.4852528400000001</v>
      </c>
      <c r="G23" s="162">
        <v>0.271899909388592</v>
      </c>
    </row>
    <row r="24" spans="1:7" ht="12.75">
      <c r="A24" s="141" t="s">
        <v>105</v>
      </c>
      <c r="B24" s="134">
        <v>0.12116656399999999</v>
      </c>
      <c r="C24" s="118">
        <v>0.034347628000000005</v>
      </c>
      <c r="D24" s="118">
        <v>0.0503524</v>
      </c>
      <c r="E24" s="118">
        <v>0.056389809</v>
      </c>
      <c r="F24" s="157">
        <v>0.14572823000000001</v>
      </c>
      <c r="G24" s="162">
        <v>0.07094286335687294</v>
      </c>
    </row>
    <row r="25" spans="1:7" ht="12.75">
      <c r="A25" s="141" t="s">
        <v>107</v>
      </c>
      <c r="B25" s="135">
        <v>-0.0390301323</v>
      </c>
      <c r="C25" s="119">
        <v>-0.027008744299999998</v>
      </c>
      <c r="D25" s="119">
        <v>0.041368102</v>
      </c>
      <c r="E25" s="119">
        <v>-0.044097396</v>
      </c>
      <c r="F25" s="155">
        <v>-0.016413926000000002</v>
      </c>
      <c r="G25" s="162">
        <v>-0.014987459070111236</v>
      </c>
    </row>
    <row r="26" spans="1:7" ht="12.75">
      <c r="A26" s="141" t="s">
        <v>109</v>
      </c>
      <c r="B26" s="135">
        <v>-0.14477826</v>
      </c>
      <c r="C26" s="119">
        <v>0.0131992888</v>
      </c>
      <c r="D26" s="119">
        <v>-0.14207113000000002</v>
      </c>
      <c r="E26" s="119">
        <v>-0.023469283</v>
      </c>
      <c r="F26" s="155">
        <v>0.02060764097</v>
      </c>
      <c r="G26" s="162">
        <v>-0.05479342747338313</v>
      </c>
    </row>
    <row r="27" spans="1:7" ht="12.75">
      <c r="A27" s="141" t="s">
        <v>111</v>
      </c>
      <c r="B27" s="136">
        <v>0.17339162999999996</v>
      </c>
      <c r="C27" s="119">
        <v>0.09827156399999999</v>
      </c>
      <c r="D27" s="119">
        <v>0.14314051</v>
      </c>
      <c r="E27" s="119">
        <v>0.11874284000000002</v>
      </c>
      <c r="F27" s="155">
        <v>0.119183</v>
      </c>
      <c r="G27" s="163">
        <v>0.1276352752626975</v>
      </c>
    </row>
    <row r="28" spans="1:7" ht="12.75">
      <c r="A28" s="141" t="s">
        <v>113</v>
      </c>
      <c r="B28" s="135">
        <v>0.0007379093199999998</v>
      </c>
      <c r="C28" s="119">
        <v>0.014744973</v>
      </c>
      <c r="D28" s="119">
        <v>0.0075324402</v>
      </c>
      <c r="E28" s="119">
        <v>0.008256492600000002</v>
      </c>
      <c r="F28" s="155">
        <v>-0.031166904000000002</v>
      </c>
      <c r="G28" s="162">
        <v>0.0032814930241063653</v>
      </c>
    </row>
    <row r="29" spans="1:7" ht="13.5" thickBot="1">
      <c r="A29" s="142" t="s">
        <v>115</v>
      </c>
      <c r="B29" s="137">
        <v>0.0017329854</v>
      </c>
      <c r="C29" s="121">
        <v>0.004435269800000001</v>
      </c>
      <c r="D29" s="121">
        <v>-0.0038509547</v>
      </c>
      <c r="E29" s="121">
        <v>0.0017220402000000003</v>
      </c>
      <c r="F29" s="159">
        <v>0.000691910133</v>
      </c>
      <c r="G29" s="164">
        <v>0.0008978417251352493</v>
      </c>
    </row>
    <row r="30" spans="1:7" ht="13.5" thickTop="1">
      <c r="A30" s="143" t="s">
        <v>116</v>
      </c>
      <c r="B30" s="138">
        <v>-0.3281139550355075</v>
      </c>
      <c r="C30" s="127">
        <v>-0.15791647477869486</v>
      </c>
      <c r="D30" s="127">
        <v>0.06533797344656687</v>
      </c>
      <c r="E30" s="127">
        <v>0.24138583901782215</v>
      </c>
      <c r="F30" s="123">
        <v>0.43768900015597206</v>
      </c>
      <c r="G30" s="165" t="s">
        <v>127</v>
      </c>
    </row>
    <row r="31" spans="1:7" ht="13.5" thickBot="1">
      <c r="A31" s="144" t="s">
        <v>117</v>
      </c>
      <c r="B31" s="133">
        <v>21.505738</v>
      </c>
      <c r="C31" s="124">
        <v>21.640015</v>
      </c>
      <c r="D31" s="124">
        <v>21.829224</v>
      </c>
      <c r="E31" s="124">
        <v>22.006226</v>
      </c>
      <c r="F31" s="125">
        <v>22.155762</v>
      </c>
      <c r="G31" s="167">
        <v>-210.05</v>
      </c>
    </row>
    <row r="32" spans="1:7" ht="15.75" thickBot="1" thickTop="1">
      <c r="A32" s="145" t="s">
        <v>118</v>
      </c>
      <c r="B32" s="139">
        <v>0.11600000038743019</v>
      </c>
      <c r="C32" s="128">
        <v>-0.3735000044107437</v>
      </c>
      <c r="D32" s="128">
        <v>0.14500000630505383</v>
      </c>
      <c r="E32" s="128">
        <v>-0.2089999932795763</v>
      </c>
      <c r="F32" s="126">
        <v>0.29500000178813934</v>
      </c>
      <c r="G32" s="131" t="s">
        <v>126</v>
      </c>
    </row>
    <row r="33" spans="1:7" ht="15" thickTop="1">
      <c r="A33" t="s">
        <v>122</v>
      </c>
      <c r="G33" s="32" t="s">
        <v>123</v>
      </c>
    </row>
    <row r="34" ht="14.25">
      <c r="A34" t="s">
        <v>124</v>
      </c>
    </row>
    <row r="35" spans="1:2" ht="12.75">
      <c r="A35" t="s">
        <v>125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71" bestFit="1" customWidth="1"/>
    <col min="2" max="2" width="15.66015625" style="171" bestFit="1" customWidth="1"/>
    <col min="3" max="3" width="14.83203125" style="171" bestFit="1" customWidth="1"/>
    <col min="4" max="4" width="16" style="171" bestFit="1" customWidth="1"/>
    <col min="5" max="5" width="21.33203125" style="171" bestFit="1" customWidth="1"/>
    <col min="6" max="7" width="14.83203125" style="171" bestFit="1" customWidth="1"/>
    <col min="8" max="8" width="14.16015625" style="171" bestFit="1" customWidth="1"/>
    <col min="9" max="9" width="14.83203125" style="171" bestFit="1" customWidth="1"/>
    <col min="10" max="10" width="6.33203125" style="171" bestFit="1" customWidth="1"/>
    <col min="11" max="11" width="15" style="171" bestFit="1" customWidth="1"/>
    <col min="12" max="16384" width="10.66015625" style="171" customWidth="1"/>
  </cols>
  <sheetData>
    <row r="1" spans="1:5" ht="12.75">
      <c r="A1" s="171" t="s">
        <v>128</v>
      </c>
      <c r="B1" s="171" t="s">
        <v>129</v>
      </c>
      <c r="C1" s="171" t="s">
        <v>130</v>
      </c>
      <c r="D1" s="171" t="s">
        <v>131</v>
      </c>
      <c r="E1" s="171" t="s">
        <v>132</v>
      </c>
    </row>
    <row r="3" spans="1:7" ht="12.75">
      <c r="A3" s="171" t="s">
        <v>133</v>
      </c>
      <c r="B3" s="171" t="s">
        <v>83</v>
      </c>
      <c r="C3" s="171" t="s">
        <v>84</v>
      </c>
      <c r="D3" s="171" t="s">
        <v>85</v>
      </c>
      <c r="E3" s="171" t="s">
        <v>86</v>
      </c>
      <c r="F3" s="171" t="s">
        <v>87</v>
      </c>
      <c r="G3" s="171" t="s">
        <v>134</v>
      </c>
    </row>
    <row r="4" spans="1:7" ht="12.75">
      <c r="A4" s="171" t="s">
        <v>135</v>
      </c>
      <c r="B4" s="171">
        <v>0.002255</v>
      </c>
      <c r="C4" s="171">
        <v>0.003759</v>
      </c>
      <c r="D4" s="171">
        <v>0.003758</v>
      </c>
      <c r="E4" s="171">
        <v>0.003758</v>
      </c>
      <c r="F4" s="171">
        <v>0.002091</v>
      </c>
      <c r="G4" s="171">
        <v>0.011714</v>
      </c>
    </row>
    <row r="5" spans="1:7" ht="12.75">
      <c r="A5" s="171" t="s">
        <v>136</v>
      </c>
      <c r="B5" s="171">
        <v>6.30645</v>
      </c>
      <c r="C5" s="171">
        <v>3.404471</v>
      </c>
      <c r="D5" s="171">
        <v>-0.032169</v>
      </c>
      <c r="E5" s="171">
        <v>-3.464181</v>
      </c>
      <c r="F5" s="171">
        <v>-6.761842</v>
      </c>
      <c r="G5" s="171">
        <v>-0.776364</v>
      </c>
    </row>
    <row r="6" spans="1:7" ht="12.75">
      <c r="A6" s="171" t="s">
        <v>137</v>
      </c>
      <c r="B6" s="172">
        <v>-210.2609</v>
      </c>
      <c r="C6" s="172">
        <v>125.3669</v>
      </c>
      <c r="D6" s="172">
        <v>-275.8545</v>
      </c>
      <c r="E6" s="172">
        <v>90.38159</v>
      </c>
      <c r="F6" s="172">
        <v>-56.17759</v>
      </c>
      <c r="G6" s="172">
        <v>873.6868</v>
      </c>
    </row>
    <row r="7" spans="1:7" ht="12.75">
      <c r="A7" s="171" t="s">
        <v>138</v>
      </c>
      <c r="B7" s="172">
        <v>10000</v>
      </c>
      <c r="C7" s="172">
        <v>10000</v>
      </c>
      <c r="D7" s="172">
        <v>10000</v>
      </c>
      <c r="E7" s="172">
        <v>10000</v>
      </c>
      <c r="F7" s="172">
        <v>10000</v>
      </c>
      <c r="G7" s="172">
        <v>10000</v>
      </c>
    </row>
    <row r="8" spans="1:7" ht="12.75">
      <c r="A8" s="171" t="s">
        <v>90</v>
      </c>
      <c r="B8" s="172">
        <v>2.673638</v>
      </c>
      <c r="C8" s="172">
        <v>2.086491</v>
      </c>
      <c r="D8" s="172">
        <v>1.056685</v>
      </c>
      <c r="E8" s="172">
        <v>3.308312</v>
      </c>
      <c r="F8" s="172">
        <v>0.2271177</v>
      </c>
      <c r="G8" s="172">
        <v>0.6282317</v>
      </c>
    </row>
    <row r="9" spans="1:7" ht="12.75">
      <c r="A9" s="171" t="s">
        <v>92</v>
      </c>
      <c r="B9" s="172">
        <v>-0.4883923</v>
      </c>
      <c r="C9" s="172">
        <v>-0.6155562</v>
      </c>
      <c r="D9" s="172">
        <v>-0.1957643</v>
      </c>
      <c r="E9" s="172">
        <v>0.3725241</v>
      </c>
      <c r="F9" s="172">
        <v>-2.046406</v>
      </c>
      <c r="G9" s="172">
        <v>0.4500084</v>
      </c>
    </row>
    <row r="10" spans="1:7" ht="12.75">
      <c r="A10" s="171" t="s">
        <v>139</v>
      </c>
      <c r="B10" s="172">
        <v>-0.6065977</v>
      </c>
      <c r="C10" s="172">
        <v>-0.2965193</v>
      </c>
      <c r="D10" s="172">
        <v>-0.7057317</v>
      </c>
      <c r="E10" s="172">
        <v>-0.5797308</v>
      </c>
      <c r="F10" s="172">
        <v>-0.7858413</v>
      </c>
      <c r="G10" s="172">
        <v>2.667241</v>
      </c>
    </row>
    <row r="11" spans="1:7" ht="12.75">
      <c r="A11" s="171" t="s">
        <v>96</v>
      </c>
      <c r="B11" s="172">
        <v>4.437689</v>
      </c>
      <c r="C11" s="172">
        <v>3.829466</v>
      </c>
      <c r="D11" s="172">
        <v>4.443513</v>
      </c>
      <c r="E11" s="172">
        <v>4.088447</v>
      </c>
      <c r="F11" s="172">
        <v>15.37386</v>
      </c>
      <c r="G11" s="172">
        <v>5.672459</v>
      </c>
    </row>
    <row r="12" spans="1:7" ht="12.75">
      <c r="A12" s="171" t="s">
        <v>98</v>
      </c>
      <c r="B12" s="172">
        <v>-0.4462934</v>
      </c>
      <c r="C12" s="172">
        <v>-0.438219</v>
      </c>
      <c r="D12" s="172">
        <v>-0.4127797</v>
      </c>
      <c r="E12" s="172">
        <v>-0.3602362</v>
      </c>
      <c r="F12" s="172">
        <v>-0.02180617</v>
      </c>
      <c r="G12" s="172">
        <v>-0.08893469</v>
      </c>
    </row>
    <row r="13" spans="1:7" ht="12.75">
      <c r="A13" s="171" t="s">
        <v>100</v>
      </c>
      <c r="B13" s="172">
        <v>0.1019237</v>
      </c>
      <c r="C13" s="172">
        <v>0.0896483</v>
      </c>
      <c r="D13" s="172">
        <v>0.01529138</v>
      </c>
      <c r="E13" s="172">
        <v>0.1929875</v>
      </c>
      <c r="F13" s="172">
        <v>0.0512911</v>
      </c>
      <c r="G13" s="172">
        <v>-0.09328208</v>
      </c>
    </row>
    <row r="14" spans="1:7" ht="12.75">
      <c r="A14" s="171" t="s">
        <v>102</v>
      </c>
      <c r="B14" s="172">
        <v>0.0866</v>
      </c>
      <c r="C14" s="172">
        <v>0.1089701</v>
      </c>
      <c r="D14" s="172">
        <v>0.1188611</v>
      </c>
      <c r="E14" s="172">
        <v>0.03748219</v>
      </c>
      <c r="F14" s="172">
        <v>0.1218784</v>
      </c>
      <c r="G14" s="172">
        <v>-0.2649268</v>
      </c>
    </row>
    <row r="15" spans="1:7" ht="12.75">
      <c r="A15" s="171" t="s">
        <v>104</v>
      </c>
      <c r="B15" s="172">
        <v>-0.3849189</v>
      </c>
      <c r="C15" s="172">
        <v>-0.1669862</v>
      </c>
      <c r="D15" s="172">
        <v>-0.1011764</v>
      </c>
      <c r="E15" s="172">
        <v>-0.1581492</v>
      </c>
      <c r="F15" s="172">
        <v>-0.4007027</v>
      </c>
      <c r="G15" s="172">
        <v>-0.2117834</v>
      </c>
    </row>
    <row r="16" spans="1:7" ht="12.75">
      <c r="A16" s="171" t="s">
        <v>106</v>
      </c>
      <c r="B16" s="172">
        <v>-0.1050588</v>
      </c>
      <c r="C16" s="172">
        <v>-0.04640242</v>
      </c>
      <c r="D16" s="172">
        <v>-0.1009942</v>
      </c>
      <c r="E16" s="172">
        <v>-0.0781529</v>
      </c>
      <c r="F16" s="172">
        <v>-0.008774641</v>
      </c>
      <c r="G16" s="172">
        <v>-0.02451342</v>
      </c>
    </row>
    <row r="17" spans="1:7" ht="12.75">
      <c r="A17" s="171" t="s">
        <v>108</v>
      </c>
      <c r="B17" s="172">
        <v>0.130697</v>
      </c>
      <c r="C17" s="172">
        <v>0.08962849</v>
      </c>
      <c r="D17" s="172">
        <v>0.0814766</v>
      </c>
      <c r="E17" s="172">
        <v>0.08647886</v>
      </c>
      <c r="F17" s="172">
        <v>0.06049099</v>
      </c>
      <c r="G17" s="172">
        <v>-0.08894843</v>
      </c>
    </row>
    <row r="18" spans="1:7" ht="12.75">
      <c r="A18" s="171" t="s">
        <v>140</v>
      </c>
      <c r="B18" s="172">
        <v>0.05381994</v>
      </c>
      <c r="C18" s="172">
        <v>0.004905334</v>
      </c>
      <c r="D18" s="172">
        <v>0.07011307</v>
      </c>
      <c r="E18" s="172">
        <v>0.01043907</v>
      </c>
      <c r="F18" s="172">
        <v>-0.02730613</v>
      </c>
      <c r="G18" s="172">
        <v>-0.1286368</v>
      </c>
    </row>
    <row r="19" spans="1:7" ht="12.75">
      <c r="A19" s="171" t="s">
        <v>112</v>
      </c>
      <c r="B19" s="172">
        <v>-0.1871478</v>
      </c>
      <c r="C19" s="172">
        <v>-0.156885</v>
      </c>
      <c r="D19" s="172">
        <v>-0.1673082</v>
      </c>
      <c r="E19" s="172">
        <v>-0.1617412</v>
      </c>
      <c r="F19" s="172">
        <v>-0.1394852</v>
      </c>
      <c r="G19" s="172">
        <v>-0.1626017</v>
      </c>
    </row>
    <row r="20" spans="1:7" ht="12.75">
      <c r="A20" s="171" t="s">
        <v>114</v>
      </c>
      <c r="B20" s="172">
        <v>-0.005857978</v>
      </c>
      <c r="C20" s="172">
        <v>0.004264585</v>
      </c>
      <c r="D20" s="172">
        <v>-0.003852407</v>
      </c>
      <c r="E20" s="172">
        <v>0.0008598347</v>
      </c>
      <c r="F20" s="172">
        <v>-0.004062463</v>
      </c>
      <c r="G20" s="172">
        <v>0.0009174172</v>
      </c>
    </row>
    <row r="21" spans="1:7" ht="12.75">
      <c r="A21" s="171" t="s">
        <v>141</v>
      </c>
      <c r="B21" s="172">
        <v>-987.3447</v>
      </c>
      <c r="C21" s="172">
        <v>-768.9256</v>
      </c>
      <c r="D21" s="172">
        <v>-870.823</v>
      </c>
      <c r="E21" s="172">
        <v>-826.2589</v>
      </c>
      <c r="F21" s="172">
        <v>-1029.821</v>
      </c>
      <c r="G21" s="172">
        <v>-52.31497</v>
      </c>
    </row>
    <row r="22" spans="1:7" ht="12.75">
      <c r="A22" s="171" t="s">
        <v>142</v>
      </c>
      <c r="B22" s="172">
        <v>126.1357</v>
      </c>
      <c r="C22" s="172">
        <v>68.09047</v>
      </c>
      <c r="D22" s="172">
        <v>-0.6433861</v>
      </c>
      <c r="E22" s="172">
        <v>-69.28472</v>
      </c>
      <c r="F22" s="172">
        <v>-135.2451</v>
      </c>
      <c r="G22" s="172">
        <v>0</v>
      </c>
    </row>
    <row r="23" spans="1:7" ht="12.75">
      <c r="A23" s="171" t="s">
        <v>91</v>
      </c>
      <c r="B23" s="172">
        <v>1.325528</v>
      </c>
      <c r="C23" s="172">
        <v>-0.9811019</v>
      </c>
      <c r="D23" s="172">
        <v>-1.537443</v>
      </c>
      <c r="E23" s="172">
        <v>-0.08381348</v>
      </c>
      <c r="F23" s="172">
        <v>7.941244</v>
      </c>
      <c r="G23" s="172">
        <v>-1.968558</v>
      </c>
    </row>
    <row r="24" spans="1:7" ht="12.75">
      <c r="A24" s="171" t="s">
        <v>93</v>
      </c>
      <c r="B24" s="172">
        <v>-1.665887</v>
      </c>
      <c r="C24" s="172">
        <v>2.869968</v>
      </c>
      <c r="D24" s="172">
        <v>-0.767051</v>
      </c>
      <c r="E24" s="172">
        <v>0.2114469</v>
      </c>
      <c r="F24" s="172">
        <v>-0.5952856</v>
      </c>
      <c r="G24" s="172">
        <v>-0.2366915</v>
      </c>
    </row>
    <row r="25" spans="1:7" ht="12.75">
      <c r="A25" s="171" t="s">
        <v>95</v>
      </c>
      <c r="B25" s="172">
        <v>-1.532903</v>
      </c>
      <c r="C25" s="172">
        <v>-1.613556</v>
      </c>
      <c r="D25" s="172">
        <v>-2.40027</v>
      </c>
      <c r="E25" s="172">
        <v>-1.483839</v>
      </c>
      <c r="F25" s="172">
        <v>-8.391702</v>
      </c>
      <c r="G25" s="172">
        <v>-0.573143</v>
      </c>
    </row>
    <row r="26" spans="1:7" ht="12.75">
      <c r="A26" s="171" t="s">
        <v>97</v>
      </c>
      <c r="B26" s="172">
        <v>1.006376</v>
      </c>
      <c r="C26" s="172">
        <v>0.05122477</v>
      </c>
      <c r="D26" s="172">
        <v>-0.2103738</v>
      </c>
      <c r="E26" s="172">
        <v>-0.4765532</v>
      </c>
      <c r="F26" s="172">
        <v>0.5506851</v>
      </c>
      <c r="G26" s="172">
        <v>0.06661704</v>
      </c>
    </row>
    <row r="27" spans="1:7" ht="12.75">
      <c r="A27" s="171" t="s">
        <v>99</v>
      </c>
      <c r="B27" s="172">
        <v>0.01510572</v>
      </c>
      <c r="C27" s="172">
        <v>-0.4546452</v>
      </c>
      <c r="D27" s="172">
        <v>0.1374517</v>
      </c>
      <c r="E27" s="172">
        <v>-0.2129572</v>
      </c>
      <c r="F27" s="172">
        <v>0.2726148</v>
      </c>
      <c r="G27" s="172">
        <v>0.3587576</v>
      </c>
    </row>
    <row r="28" spans="1:7" ht="12.75">
      <c r="A28" s="171" t="s">
        <v>101</v>
      </c>
      <c r="B28" s="172">
        <v>-0.3510022</v>
      </c>
      <c r="C28" s="172">
        <v>0.06067996</v>
      </c>
      <c r="D28" s="172">
        <v>-0.1843541</v>
      </c>
      <c r="E28" s="172">
        <v>-0.2668673</v>
      </c>
      <c r="F28" s="172">
        <v>-0.1748847</v>
      </c>
      <c r="G28" s="172">
        <v>0.168025</v>
      </c>
    </row>
    <row r="29" spans="1:7" ht="12.75">
      <c r="A29" s="171" t="s">
        <v>103</v>
      </c>
      <c r="B29" s="172">
        <v>0.4769647</v>
      </c>
      <c r="C29" s="172">
        <v>0.2025765</v>
      </c>
      <c r="D29" s="172">
        <v>0.1911429</v>
      </c>
      <c r="E29" s="172">
        <v>0.1872145</v>
      </c>
      <c r="F29" s="172">
        <v>0.420523</v>
      </c>
      <c r="G29" s="172">
        <v>0.09260908</v>
      </c>
    </row>
    <row r="30" spans="1:7" ht="12.75">
      <c r="A30" s="171" t="s">
        <v>105</v>
      </c>
      <c r="B30" s="172">
        <v>0.07808528</v>
      </c>
      <c r="C30" s="172">
        <v>0.03893701</v>
      </c>
      <c r="D30" s="172">
        <v>0.05701626</v>
      </c>
      <c r="E30" s="172">
        <v>0.07219837</v>
      </c>
      <c r="F30" s="172">
        <v>0.1734534</v>
      </c>
      <c r="G30" s="172">
        <v>0.07490966</v>
      </c>
    </row>
    <row r="31" spans="1:7" ht="12.75">
      <c r="A31" s="171" t="s">
        <v>107</v>
      </c>
      <c r="B31" s="172">
        <v>-0.05356214</v>
      </c>
      <c r="C31" s="172">
        <v>-0.03830631</v>
      </c>
      <c r="D31" s="172">
        <v>0.01150016</v>
      </c>
      <c r="E31" s="172">
        <v>-0.03958314</v>
      </c>
      <c r="F31" s="172">
        <v>-0.005934771</v>
      </c>
      <c r="G31" s="172">
        <v>0.07060236</v>
      </c>
    </row>
    <row r="32" spans="1:7" ht="12.75">
      <c r="A32" s="171" t="s">
        <v>109</v>
      </c>
      <c r="B32" s="172">
        <v>-0.09140436</v>
      </c>
      <c r="C32" s="172">
        <v>-0.0044364</v>
      </c>
      <c r="D32" s="172">
        <v>-0.1039312</v>
      </c>
      <c r="E32" s="172">
        <v>-0.04806151</v>
      </c>
      <c r="F32" s="172">
        <v>0.00704476</v>
      </c>
      <c r="G32" s="172">
        <v>0.04986975</v>
      </c>
    </row>
    <row r="33" spans="1:7" ht="12.75">
      <c r="A33" s="171" t="s">
        <v>111</v>
      </c>
      <c r="B33" s="172">
        <v>0.1701271</v>
      </c>
      <c r="C33" s="172">
        <v>0.1042374</v>
      </c>
      <c r="D33" s="172">
        <v>0.1440922</v>
      </c>
      <c r="E33" s="172">
        <v>0.1211097</v>
      </c>
      <c r="F33" s="172">
        <v>0.113458</v>
      </c>
      <c r="G33" s="172">
        <v>0.02464709</v>
      </c>
    </row>
    <row r="34" spans="1:7" ht="12.75">
      <c r="A34" s="171" t="s">
        <v>113</v>
      </c>
      <c r="B34" s="172">
        <v>-0.01584991</v>
      </c>
      <c r="C34" s="172">
        <v>0.007199917</v>
      </c>
      <c r="D34" s="172">
        <v>0.00752537</v>
      </c>
      <c r="E34" s="172">
        <v>0.01609611</v>
      </c>
      <c r="F34" s="172">
        <v>-0.01811126</v>
      </c>
      <c r="G34" s="172">
        <v>0.002665348</v>
      </c>
    </row>
    <row r="35" spans="1:7" ht="12.75">
      <c r="A35" s="171" t="s">
        <v>115</v>
      </c>
      <c r="B35" s="172">
        <v>0.001179723</v>
      </c>
      <c r="C35" s="172">
        <v>0.004658603</v>
      </c>
      <c r="D35" s="172">
        <v>-0.003849992</v>
      </c>
      <c r="E35" s="172">
        <v>0.00167999</v>
      </c>
      <c r="F35" s="172">
        <v>0.001109488</v>
      </c>
      <c r="G35" s="172">
        <v>0.001083488</v>
      </c>
    </row>
    <row r="36" spans="1:6" ht="12.75">
      <c r="A36" s="171" t="s">
        <v>143</v>
      </c>
      <c r="B36" s="172">
        <v>22.15576</v>
      </c>
      <c r="C36" s="172">
        <v>22.14966</v>
      </c>
      <c r="D36" s="172">
        <v>22.15271</v>
      </c>
      <c r="E36" s="172">
        <v>22.14661</v>
      </c>
      <c r="F36" s="172">
        <v>22.14966</v>
      </c>
    </row>
    <row r="37" spans="1:6" ht="12.75">
      <c r="A37" s="171" t="s">
        <v>144</v>
      </c>
      <c r="B37" s="172">
        <v>0.2573649</v>
      </c>
      <c r="C37" s="172">
        <v>0.2243042</v>
      </c>
      <c r="D37" s="172">
        <v>0.2065023</v>
      </c>
      <c r="E37" s="172">
        <v>0.2019246</v>
      </c>
      <c r="F37" s="172">
        <v>0.1942953</v>
      </c>
    </row>
    <row r="38" spans="1:7" ht="12.75">
      <c r="A38" s="171" t="s">
        <v>145</v>
      </c>
      <c r="B38" s="172">
        <v>0.0003785549</v>
      </c>
      <c r="C38" s="172">
        <v>-0.0002042137</v>
      </c>
      <c r="D38" s="172">
        <v>0.0004688574</v>
      </c>
      <c r="E38" s="172">
        <v>-0.0001633729</v>
      </c>
      <c r="F38" s="172">
        <v>7.181147E-05</v>
      </c>
      <c r="G38" s="172">
        <v>4.389646E-05</v>
      </c>
    </row>
    <row r="39" spans="1:7" ht="12.75">
      <c r="A39" s="171" t="s">
        <v>146</v>
      </c>
      <c r="B39" s="172">
        <v>0.001673711</v>
      </c>
      <c r="C39" s="172">
        <v>0.001308564</v>
      </c>
      <c r="D39" s="172">
        <v>0.001480429</v>
      </c>
      <c r="E39" s="172">
        <v>0.001403508</v>
      </c>
      <c r="F39" s="172">
        <v>0.001751667</v>
      </c>
      <c r="G39" s="172">
        <v>0.0007426528</v>
      </c>
    </row>
    <row r="40" spans="2:5" ht="12.75">
      <c r="B40" s="171" t="s">
        <v>147</v>
      </c>
      <c r="C40" s="171">
        <v>0.003758</v>
      </c>
      <c r="D40" s="171" t="s">
        <v>148</v>
      </c>
      <c r="E40" s="171">
        <v>3.116854</v>
      </c>
    </row>
    <row r="42" ht="12.75">
      <c r="A42" s="171" t="s">
        <v>149</v>
      </c>
    </row>
    <row r="50" spans="1:7" ht="12.75">
      <c r="A50" s="171" t="s">
        <v>150</v>
      </c>
      <c r="B50" s="171">
        <f>-0.017/(B7*B7+B22*B22)*(B21*B22+B6*B7)</f>
        <v>0.0003785550016149364</v>
      </c>
      <c r="C50" s="171">
        <f>-0.017/(C7*C7+C22*C22)*(C21*C22+C6*C7)</f>
        <v>-0.0002042136560827079</v>
      </c>
      <c r="D50" s="171">
        <f>-0.017/(D7*D7+D22*D22)*(D21*D22+D6*D7)</f>
        <v>0.00046885740123884574</v>
      </c>
      <c r="E50" s="171">
        <f>-0.017/(E7*E7+E22*E22)*(E21*E22+E6*E7)</f>
        <v>-0.00016337287030456453</v>
      </c>
      <c r="F50" s="171">
        <f>-0.017/(F7*F7+F22*F22)*(F21*F22+F6*F7)</f>
        <v>7.181146629284706E-05</v>
      </c>
      <c r="G50" s="171">
        <f>(B50*B$4+C50*C$4+D50*D$4+E50*E$4+F50*F$4)/SUM(B$4:F$4)</f>
        <v>8.860963054197263E-05</v>
      </c>
    </row>
    <row r="51" spans="1:7" ht="12.75">
      <c r="A51" s="171" t="s">
        <v>151</v>
      </c>
      <c r="B51" s="171">
        <f>-0.017/(B7*B7+B22*B22)*(B21*B7-B6*B22)</f>
        <v>0.0016737110599882802</v>
      </c>
      <c r="C51" s="171">
        <f>-0.017/(C7*C7+C22*C22)*(C21*C7-C6*C22)</f>
        <v>0.0013085640203823092</v>
      </c>
      <c r="D51" s="171">
        <f>-0.017/(D7*D7+D22*D22)*(D21*D7-D6*D22)</f>
        <v>0.0014804292656334839</v>
      </c>
      <c r="E51" s="171">
        <f>-0.017/(E7*E7+E22*E22)*(E21*E7-E6*E22)</f>
        <v>0.0014035082056425353</v>
      </c>
      <c r="F51" s="171">
        <f>-0.017/(F7*F7+F22*F22)*(F21*F7-F6*F22)</f>
        <v>0.0017516669148939924</v>
      </c>
      <c r="G51" s="171">
        <f>(B51*B$4+C51*C$4+D51*D$4+E51*E$4+F51*F$4)/SUM(B$4:F$4)</f>
        <v>0.0014847758228659685</v>
      </c>
    </row>
    <row r="58" ht="12.75">
      <c r="A58" s="171" t="s">
        <v>153</v>
      </c>
    </row>
    <row r="60" spans="2:6" ht="12.75">
      <c r="B60" s="171" t="s">
        <v>83</v>
      </c>
      <c r="C60" s="171" t="s">
        <v>84</v>
      </c>
      <c r="D60" s="171" t="s">
        <v>85</v>
      </c>
      <c r="E60" s="171" t="s">
        <v>86</v>
      </c>
      <c r="F60" s="171" t="s">
        <v>87</v>
      </c>
    </row>
    <row r="61" spans="1:6" ht="12.75">
      <c r="A61" s="171" t="s">
        <v>155</v>
      </c>
      <c r="B61" s="171">
        <f>B6+(1/0.017)*(B7*B50-B22*B51)</f>
        <v>0</v>
      </c>
      <c r="C61" s="171">
        <f>C6+(1/0.017)*(C7*C50-C22*C51)</f>
        <v>0</v>
      </c>
      <c r="D61" s="171">
        <f>D6+(1/0.017)*(D7*D50-D22*D51)</f>
        <v>0</v>
      </c>
      <c r="E61" s="171">
        <f>E6+(1/0.017)*(E7*E50-E22*E51)</f>
        <v>0</v>
      </c>
      <c r="F61" s="171">
        <f>F6+(1/0.017)*(F7*F50-F22*F51)</f>
        <v>0</v>
      </c>
    </row>
    <row r="62" spans="1:6" ht="12.75">
      <c r="A62" s="171" t="s">
        <v>158</v>
      </c>
      <c r="B62" s="171">
        <f>B7+(2/0.017)*(B8*B50-B23*B51)</f>
        <v>9999.858066842762</v>
      </c>
      <c r="C62" s="171">
        <f>C7+(2/0.017)*(C8*C50-C23*C51)</f>
        <v>10000.100911140138</v>
      </c>
      <c r="D62" s="171">
        <f>D7+(2/0.017)*(D8*D50-D23*D51)</f>
        <v>10000.326060022879</v>
      </c>
      <c r="E62" s="171">
        <f>E7+(2/0.017)*(E8*E50-E23*E51)</f>
        <v>9999.95025229172</v>
      </c>
      <c r="F62" s="171">
        <f>F7+(2/0.017)*(F8*F50-F23*F51)</f>
        <v>9998.365399444372</v>
      </c>
    </row>
    <row r="63" spans="1:6" ht="12.75">
      <c r="A63" s="171" t="s">
        <v>159</v>
      </c>
      <c r="B63" s="171">
        <f>B8+(3/0.017)*(B9*B50-B24*B51)</f>
        <v>3.1330492027074364</v>
      </c>
      <c r="C63" s="171">
        <f>C8+(3/0.017)*(C9*C50-C24*C51)</f>
        <v>1.445932432531377</v>
      </c>
      <c r="D63" s="171">
        <f>D8+(3/0.017)*(D9*D50-D24*D51)</f>
        <v>1.2408813307670743</v>
      </c>
      <c r="E63" s="171">
        <f>E8+(3/0.017)*(E9*E50-E24*E51)</f>
        <v>3.245201213409006</v>
      </c>
      <c r="F63" s="171">
        <f>F8+(3/0.017)*(F9*F50-F24*F51)</f>
        <v>0.38519770146041277</v>
      </c>
    </row>
    <row r="64" spans="1:6" ht="12.75">
      <c r="A64" s="171" t="s">
        <v>160</v>
      </c>
      <c r="B64" s="171">
        <f>B9+(4/0.017)*(B10*B50-B25*B51)</f>
        <v>0.06125619686731709</v>
      </c>
      <c r="C64" s="171">
        <f>C9+(4/0.017)*(C10*C50-C25*C51)</f>
        <v>-0.10449864310021584</v>
      </c>
      <c r="D64" s="171">
        <f>D9+(4/0.017)*(D10*D50-D25*D51)</f>
        <v>0.5624809759031081</v>
      </c>
      <c r="E64" s="171">
        <f>E9+(4/0.017)*(E10*E50-E25*E51)</f>
        <v>0.8848282169770294</v>
      </c>
      <c r="F64" s="171">
        <f>F9+(4/0.017)*(F10*F50-F25*F51)</f>
        <v>1.399013844005475</v>
      </c>
    </row>
    <row r="65" spans="1:6" ht="12.75">
      <c r="A65" s="171" t="s">
        <v>161</v>
      </c>
      <c r="B65" s="171">
        <f>B10+(5/0.017)*(B11*B50-B26*B51)</f>
        <v>-0.6079133691603471</v>
      </c>
      <c r="C65" s="171">
        <f>C10+(5/0.017)*(C11*C50-C26*C51)</f>
        <v>-0.5462428716702301</v>
      </c>
      <c r="D65" s="171">
        <f>D10+(5/0.017)*(D11*D50-D26*D51)</f>
        <v>-0.0013736153548373764</v>
      </c>
      <c r="E65" s="171">
        <f>E10+(5/0.017)*(E11*E50-E26*E51)</f>
        <v>-0.5794646220155523</v>
      </c>
      <c r="F65" s="171">
        <f>F10+(5/0.017)*(F11*F50-F26*F51)</f>
        <v>-0.7448405473570999</v>
      </c>
    </row>
    <row r="66" spans="1:6" ht="12.75">
      <c r="A66" s="171" t="s">
        <v>162</v>
      </c>
      <c r="B66" s="171">
        <f>B11+(6/0.017)*(B12*B50-B27*B51)</f>
        <v>4.369137514332651</v>
      </c>
      <c r="C66" s="171">
        <f>C11+(6/0.017)*(C12*C50-C27*C51)</f>
        <v>4.071026937028622</v>
      </c>
      <c r="D66" s="171">
        <f>D11+(6/0.017)*(D12*D50-D27*D51)</f>
        <v>4.303387469393921</v>
      </c>
      <c r="E66" s="171">
        <f>E11+(6/0.017)*(E12*E50-E27*E51)</f>
        <v>4.2147081763408005</v>
      </c>
      <c r="F66" s="171">
        <f>F11+(6/0.017)*(F12*F50-F27*F51)</f>
        <v>15.204767202807398</v>
      </c>
    </row>
    <row r="67" spans="1:6" ht="12.75">
      <c r="A67" s="171" t="s">
        <v>163</v>
      </c>
      <c r="B67" s="171">
        <f>B12+(7/0.017)*(B13*B50-B28*B51)</f>
        <v>-0.18850399209010416</v>
      </c>
      <c r="C67" s="171">
        <f>C12+(7/0.017)*(C13*C50-C28*C51)</f>
        <v>-0.47845294921363885</v>
      </c>
      <c r="D67" s="171">
        <f>D12+(7/0.017)*(D13*D50-D28*D51)</f>
        <v>-0.29744741935448576</v>
      </c>
      <c r="E67" s="171">
        <f>E12+(7/0.017)*(E13*E50-E28*E51)</f>
        <v>-0.21899204324009638</v>
      </c>
      <c r="F67" s="171">
        <f>F12+(7/0.017)*(F13*F50-F28*F51)</f>
        <v>0.10585037259232595</v>
      </c>
    </row>
    <row r="68" spans="1:6" ht="12.75">
      <c r="A68" s="171" t="s">
        <v>164</v>
      </c>
      <c r="B68" s="171">
        <f>B13+(8/0.017)*(B14*B50-B29*B51)</f>
        <v>-0.25832017316430045</v>
      </c>
      <c r="C68" s="171">
        <f>C13+(8/0.017)*(C14*C50-C29*C51)</f>
        <v>-0.04556934790572946</v>
      </c>
      <c r="D68" s="171">
        <f>D13+(8/0.017)*(D14*D50-D29*D51)</f>
        <v>-0.09164727252878299</v>
      </c>
      <c r="E68" s="171">
        <f>E13+(8/0.017)*(E14*E50-E29*E51)</f>
        <v>0.06645542473841626</v>
      </c>
      <c r="F68" s="171">
        <f>F13+(8/0.017)*(F14*F50-F29*F51)</f>
        <v>-0.2912331162063719</v>
      </c>
    </row>
    <row r="69" spans="1:6" ht="12.75">
      <c r="A69" s="171" t="s">
        <v>165</v>
      </c>
      <c r="B69" s="171">
        <f>B14+(9/0.017)*(B15*B50-B30*B51)</f>
        <v>-0.059732149654388875</v>
      </c>
      <c r="C69" s="171">
        <f>C14+(9/0.017)*(C15*C50-C30*C51)</f>
        <v>0.10004913697828405</v>
      </c>
      <c r="D69" s="171">
        <f>D14+(9/0.017)*(D15*D50-D30*D51)</f>
        <v>0.04906035911617486</v>
      </c>
      <c r="E69" s="171">
        <f>E14+(9/0.017)*(E15*E50-E30*E51)</f>
        <v>-0.002485071405753346</v>
      </c>
      <c r="F69" s="171">
        <f>F14+(9/0.017)*(F15*F50-F30*F51)</f>
        <v>-0.054207992612552214</v>
      </c>
    </row>
    <row r="70" spans="1:6" ht="12.75">
      <c r="A70" s="171" t="s">
        <v>166</v>
      </c>
      <c r="B70" s="171">
        <f>B15+(10/0.017)*(B16*B50-B31*B51)</f>
        <v>-0.3555794812288368</v>
      </c>
      <c r="C70" s="171">
        <f>C15+(10/0.017)*(C16*C50-C31*C51)</f>
        <v>-0.13192604302417857</v>
      </c>
      <c r="D70" s="171">
        <f>D15+(10/0.017)*(D16*D50-D31*D51)</f>
        <v>-0.13904525386803754</v>
      </c>
      <c r="E70" s="171">
        <f>E15+(10/0.017)*(E16*E50-E31*E51)</f>
        <v>-0.11795900859369243</v>
      </c>
      <c r="F70" s="171">
        <f>F15+(10/0.017)*(F16*F50-F31*F51)</f>
        <v>-0.39495821636954764</v>
      </c>
    </row>
    <row r="71" spans="1:6" ht="12.75">
      <c r="A71" s="171" t="s">
        <v>167</v>
      </c>
      <c r="B71" s="171">
        <f>B16+(11/0.017)*(B17*B50-B32*B51)</f>
        <v>0.025945047317729106</v>
      </c>
      <c r="C71" s="171">
        <f>C16+(11/0.017)*(C17*C50-C32*C51)</f>
        <v>-0.054489392372501874</v>
      </c>
      <c r="D71" s="171">
        <f>D16+(11/0.017)*(D17*D50-D32*D51)</f>
        <v>0.023282309843059984</v>
      </c>
      <c r="E71" s="171">
        <f>E16+(11/0.017)*(E17*E50-E32*E51)</f>
        <v>-0.043647566770662005</v>
      </c>
      <c r="F71" s="171">
        <f>F16+(11/0.017)*(F17*F50-F32*F51)</f>
        <v>-0.01394860509326995</v>
      </c>
    </row>
    <row r="72" spans="1:6" ht="12.75">
      <c r="A72" s="171" t="s">
        <v>168</v>
      </c>
      <c r="B72" s="171">
        <f>B17+(12/0.017)*(B18*B50-B33*B51)</f>
        <v>-0.05591697745890567</v>
      </c>
      <c r="C72" s="171">
        <f>C17+(12/0.017)*(C18*C50-C33*C51)</f>
        <v>-0.0073618964061028525</v>
      </c>
      <c r="D72" s="171">
        <f>D17+(12/0.017)*(D18*D50-D33*D51)</f>
        <v>-0.045896537437484106</v>
      </c>
      <c r="E72" s="171">
        <f>E17+(12/0.017)*(E18*E50-E33*E51)</f>
        <v>-0.034709788396787775</v>
      </c>
      <c r="F72" s="171">
        <f>F17+(12/0.017)*(F18*F50-F33*F51)</f>
        <v>-0.08118066980997107</v>
      </c>
    </row>
    <row r="73" spans="1:6" ht="12.75">
      <c r="A73" s="171" t="s">
        <v>169</v>
      </c>
      <c r="B73" s="171">
        <f>B18+(13/0.017)*(B19*B50-B34*B51)</f>
        <v>0.019930036538978325</v>
      </c>
      <c r="C73" s="171">
        <f>C18+(13/0.017)*(C19*C50-C34*C51)</f>
        <v>0.02220031001657394</v>
      </c>
      <c r="D73" s="171">
        <f>D18+(13/0.017)*(D19*D50-D34*D51)</f>
        <v>0.0016073020041940805</v>
      </c>
      <c r="E73" s="171">
        <f>E18+(13/0.017)*(E19*E50-E34*E51)</f>
        <v>0.013370265361502171</v>
      </c>
      <c r="F73" s="171">
        <f>F18+(13/0.017)*(F19*F50-F34*F51)</f>
        <v>-0.01070569726578852</v>
      </c>
    </row>
    <row r="74" spans="1:6" ht="12.75">
      <c r="A74" s="171" t="s">
        <v>170</v>
      </c>
      <c r="B74" s="171">
        <f>B19+(14/0.017)*(B20*B50-B35*B51)</f>
        <v>-0.19060010307394232</v>
      </c>
      <c r="C74" s="171">
        <f>C19+(14/0.017)*(C20*C50-C35*C51)</f>
        <v>-0.16262250204223458</v>
      </c>
      <c r="D74" s="171">
        <f>D19+(14/0.017)*(D20*D50-D35*D51)</f>
        <v>-0.1641018612867008</v>
      </c>
      <c r="E74" s="171">
        <f>E19+(14/0.017)*(E20*E50-E35*E51)</f>
        <v>-0.16379866751685496</v>
      </c>
      <c r="F74" s="171">
        <f>F19+(14/0.017)*(F20*F50-F35*F51)</f>
        <v>-0.14132594046212194</v>
      </c>
    </row>
    <row r="75" spans="1:6" ht="12.75">
      <c r="A75" s="171" t="s">
        <v>171</v>
      </c>
      <c r="B75" s="172">
        <f>B20</f>
        <v>-0.005857978</v>
      </c>
      <c r="C75" s="172">
        <f>C20</f>
        <v>0.004264585</v>
      </c>
      <c r="D75" s="172">
        <f>D20</f>
        <v>-0.003852407</v>
      </c>
      <c r="E75" s="172">
        <f>E20</f>
        <v>0.0008598347</v>
      </c>
      <c r="F75" s="172">
        <f>F20</f>
        <v>-0.004062463</v>
      </c>
    </row>
    <row r="78" ht="12.75">
      <c r="A78" s="171" t="s">
        <v>153</v>
      </c>
    </row>
    <row r="80" spans="2:6" ht="12.75">
      <c r="B80" s="171" t="s">
        <v>83</v>
      </c>
      <c r="C80" s="171" t="s">
        <v>84</v>
      </c>
      <c r="D80" s="171" t="s">
        <v>85</v>
      </c>
      <c r="E80" s="171" t="s">
        <v>86</v>
      </c>
      <c r="F80" s="171" t="s">
        <v>87</v>
      </c>
    </row>
    <row r="81" spans="1:6" ht="12.75">
      <c r="A81" s="171" t="s">
        <v>172</v>
      </c>
      <c r="B81" s="171">
        <f>B21+(1/0.017)*(B7*B51+B22*B50)</f>
        <v>0</v>
      </c>
      <c r="C81" s="171">
        <f>C21+(1/0.017)*(C7*C51+C22*C50)</f>
        <v>0</v>
      </c>
      <c r="D81" s="171">
        <f>D21+(1/0.017)*(D7*D51+D22*D50)</f>
        <v>0</v>
      </c>
      <c r="E81" s="171">
        <f>E21+(1/0.017)*(E7*E51+E22*E50)</f>
        <v>0</v>
      </c>
      <c r="F81" s="171">
        <f>F21+(1/0.017)*(F7*F51+F22*F50)</f>
        <v>0</v>
      </c>
    </row>
    <row r="82" spans="1:6" ht="12.75">
      <c r="A82" s="171" t="s">
        <v>173</v>
      </c>
      <c r="B82" s="171">
        <f>B22+(2/0.017)*(B8*B51+B23*B50)</f>
        <v>126.7211920876689</v>
      </c>
      <c r="C82" s="171">
        <f>C22+(2/0.017)*(C8*C51+C23*C50)</f>
        <v>68.43525370087531</v>
      </c>
      <c r="D82" s="171">
        <f>D22+(2/0.017)*(D8*D51+D23*D50)</f>
        <v>-0.5441501154090513</v>
      </c>
      <c r="E82" s="171">
        <f>E22+(2/0.017)*(E8*E51+E23*E50)</f>
        <v>-68.73684518969135</v>
      </c>
      <c r="F82" s="171">
        <f>F22+(2/0.017)*(F8*F51+F23*F50)</f>
        <v>-135.13120506626987</v>
      </c>
    </row>
    <row r="83" spans="1:6" ht="12.75">
      <c r="A83" s="171" t="s">
        <v>174</v>
      </c>
      <c r="B83" s="171">
        <f>B23+(3/0.017)*(B9*B51+B24*B50)</f>
        <v>1.0699884499826327</v>
      </c>
      <c r="C83" s="171">
        <f>C23+(3/0.017)*(C9*C51+C24*C50)</f>
        <v>-1.2266750801112294</v>
      </c>
      <c r="D83" s="171">
        <f>D23+(3/0.017)*(D9*D51+D24*D50)</f>
        <v>-1.6520523065936312</v>
      </c>
      <c r="E83" s="171">
        <f>E23+(3/0.017)*(E9*E51+E24*E50)</f>
        <v>0.0023563925022820342</v>
      </c>
      <c r="F83" s="171">
        <f>F23+(3/0.017)*(F9*F51+F24*F50)</f>
        <v>7.30111987945184</v>
      </c>
    </row>
    <row r="84" spans="1:6" ht="12.75">
      <c r="A84" s="171" t="s">
        <v>175</v>
      </c>
      <c r="B84" s="171">
        <f>B24+(4/0.017)*(B10*B51+B25*B50)</f>
        <v>-2.0413122651985867</v>
      </c>
      <c r="C84" s="171">
        <f>C24+(4/0.017)*(C10*C51+C25*C50)</f>
        <v>2.856202278288292</v>
      </c>
      <c r="D84" s="171">
        <f>D24+(4/0.017)*(D10*D51+D25*D50)</f>
        <v>-1.2776792863145492</v>
      </c>
      <c r="E84" s="171">
        <f>E24+(4/0.017)*(E10*E51+E25*E50)</f>
        <v>0.07703798273791607</v>
      </c>
      <c r="F84" s="171">
        <f>F24+(4/0.017)*(F10*F51+F25*F50)</f>
        <v>-1.0609685719717414</v>
      </c>
    </row>
    <row r="85" spans="1:6" ht="12.75">
      <c r="A85" s="171" t="s">
        <v>176</v>
      </c>
      <c r="B85" s="171">
        <f>B25+(5/0.017)*(B11*B51+B26*B50)</f>
        <v>0.7636787142334012</v>
      </c>
      <c r="C85" s="171">
        <f>C25+(5/0.017)*(C11*C51+C26*C50)</f>
        <v>-0.1427793449077457</v>
      </c>
      <c r="D85" s="171">
        <f>D25+(5/0.017)*(D11*D51+D26*D50)</f>
        <v>-0.49448430168644153</v>
      </c>
      <c r="E85" s="171">
        <f>E25+(5/0.017)*(E11*E51+E26*E50)</f>
        <v>0.22675652263865653</v>
      </c>
      <c r="F85" s="171">
        <f>F25+(5/0.017)*(F11*F51+F26*F50)</f>
        <v>-0.45951746449741826</v>
      </c>
    </row>
    <row r="86" spans="1:6" ht="12.75">
      <c r="A86" s="171" t="s">
        <v>177</v>
      </c>
      <c r="B86" s="171">
        <f>B26+(6/0.017)*(B12*B51+B27*B50)</f>
        <v>0.7447591104514898</v>
      </c>
      <c r="C86" s="171">
        <f>C26+(6/0.017)*(C12*C51+C27*C50)</f>
        <v>-0.11839623868310395</v>
      </c>
      <c r="D86" s="171">
        <f>D26+(6/0.017)*(D12*D51+D27*D50)</f>
        <v>-0.40330764751113474</v>
      </c>
      <c r="E86" s="171">
        <f>E26+(6/0.017)*(E12*E51+E27*E50)</f>
        <v>-0.6427189765835749</v>
      </c>
      <c r="F86" s="171">
        <f>F26+(6/0.017)*(F12*F51+F27*F50)</f>
        <v>0.5441132371734979</v>
      </c>
    </row>
    <row r="87" spans="1:6" ht="12.75">
      <c r="A87" s="171" t="s">
        <v>178</v>
      </c>
      <c r="B87" s="171">
        <f>B27+(7/0.017)*(B13*B51+B28*B50)</f>
        <v>0.030636325825856986</v>
      </c>
      <c r="C87" s="171">
        <f>C27+(7/0.017)*(C13*C51+C28*C50)</f>
        <v>-0.41144331507639953</v>
      </c>
      <c r="D87" s="171">
        <f>D27+(7/0.017)*(D13*D51+D28*D50)</f>
        <v>0.11118194444772789</v>
      </c>
      <c r="E87" s="171">
        <f>E27+(7/0.017)*(E13*E51+E28*E50)</f>
        <v>-0.08347432256499554</v>
      </c>
      <c r="F87" s="171">
        <f>F27+(7/0.017)*(F13*F51+F28*F50)</f>
        <v>0.3044385278303142</v>
      </c>
    </row>
    <row r="88" spans="1:6" ht="12.75">
      <c r="A88" s="171" t="s">
        <v>179</v>
      </c>
      <c r="B88" s="171">
        <f>B28+(8/0.017)*(B14*B51+B29*B50)</f>
        <v>-0.19782537620058696</v>
      </c>
      <c r="C88" s="171">
        <f>C28+(8/0.017)*(C14*C51+C29*C50)</f>
        <v>0.10831547268518757</v>
      </c>
      <c r="D88" s="171">
        <f>D28+(8/0.017)*(D14*D51+D29*D50)</f>
        <v>-0.05937329324957899</v>
      </c>
      <c r="E88" s="171">
        <f>E28+(8/0.017)*(E14*E51+E29*E50)</f>
        <v>-0.25650457482220296</v>
      </c>
      <c r="F88" s="171">
        <f>F28+(8/0.017)*(F14*F51+F29*F50)</f>
        <v>-0.060207648630549254</v>
      </c>
    </row>
    <row r="89" spans="1:6" ht="12.75">
      <c r="A89" s="171" t="s">
        <v>180</v>
      </c>
      <c r="B89" s="171">
        <f>B29+(9/0.017)*(B15*B51+B30*B50)</f>
        <v>0.1515440516771659</v>
      </c>
      <c r="C89" s="171">
        <f>C29+(9/0.017)*(C15*C51+C30*C50)</f>
        <v>0.08268400461738001</v>
      </c>
      <c r="D89" s="171">
        <f>D29+(9/0.017)*(D15*D51+D30*D50)</f>
        <v>0.1259977192626276</v>
      </c>
      <c r="E89" s="171">
        <f>E29+(9/0.017)*(E15*E51+E30*E50)</f>
        <v>0.0634597591949341</v>
      </c>
      <c r="F89" s="171">
        <f>F29+(9/0.017)*(F15*F51+F30*F50)</f>
        <v>0.05552444271759294</v>
      </c>
    </row>
    <row r="90" spans="1:6" ht="12.75">
      <c r="A90" s="171" t="s">
        <v>181</v>
      </c>
      <c r="B90" s="171">
        <f>B30+(10/0.017)*(B16*B51+B31*B50)</f>
        <v>-0.03727606794311539</v>
      </c>
      <c r="C90" s="171">
        <f>C30+(10/0.017)*(C16*C51+C31*C50)</f>
        <v>0.00782061843851125</v>
      </c>
      <c r="D90" s="171">
        <f>D30+(10/0.017)*(D16*D51+D31*D50)</f>
        <v>-0.027761877769300183</v>
      </c>
      <c r="E90" s="171">
        <f>E30+(10/0.017)*(E16*E51+E31*E50)</f>
        <v>0.011479884560415834</v>
      </c>
      <c r="F90" s="171">
        <f>F30+(10/0.017)*(F16*F51+F31*F50)</f>
        <v>0.164161380625062</v>
      </c>
    </row>
    <row r="91" spans="1:6" ht="12.75">
      <c r="A91" s="171" t="s">
        <v>182</v>
      </c>
      <c r="B91" s="171">
        <f>B31+(11/0.017)*(B17*B51+B32*B50)</f>
        <v>0.06559208378580214</v>
      </c>
      <c r="C91" s="171">
        <f>C31+(11/0.017)*(C17*C51+C32*C50)</f>
        <v>0.038169954557026466</v>
      </c>
      <c r="D91" s="171">
        <f>D31+(11/0.017)*(D17*D51+D32*D50)</f>
        <v>0.058018144612438954</v>
      </c>
      <c r="E91" s="171">
        <f>E31+(11/0.017)*(E17*E51+E32*E50)</f>
        <v>0.04403351300643053</v>
      </c>
      <c r="F91" s="171">
        <f>F31+(11/0.017)*(F17*F51+F32*F50)</f>
        <v>0.06295496806777118</v>
      </c>
    </row>
    <row r="92" spans="1:6" ht="12.75">
      <c r="A92" s="171" t="s">
        <v>183</v>
      </c>
      <c r="B92" s="171">
        <f>B32+(12/0.017)*(B18*B51+B33*B50)</f>
        <v>0.017641400076105943</v>
      </c>
      <c r="C92" s="171">
        <f>C32+(12/0.017)*(C18*C51+C33*C50)</f>
        <v>-0.014931287275904202</v>
      </c>
      <c r="D92" s="171">
        <f>D32+(12/0.017)*(D18*D51+D33*D50)</f>
        <v>0.017026071879197927</v>
      </c>
      <c r="E92" s="171">
        <f>E32+(12/0.017)*(E18*E51+E33*E50)</f>
        <v>-0.05168601746337499</v>
      </c>
      <c r="F92" s="171">
        <f>F32+(12/0.017)*(F18*F51+F33*F50)</f>
        <v>-0.020967234695628556</v>
      </c>
    </row>
    <row r="93" spans="1:6" ht="12.75">
      <c r="A93" s="171" t="s">
        <v>184</v>
      </c>
      <c r="B93" s="171">
        <f>B33+(13/0.017)*(B19*B51+B34*B50)</f>
        <v>-0.07399103355503389</v>
      </c>
      <c r="C93" s="171">
        <f>C33+(13/0.017)*(C19*C51+C34*C50)</f>
        <v>-0.053876543544272223</v>
      </c>
      <c r="D93" s="171">
        <f>D33+(13/0.017)*(D19*D51+D34*D50)</f>
        <v>-0.04261810547680528</v>
      </c>
      <c r="E93" s="171">
        <f>E33+(13/0.017)*(E19*E51+E34*E50)</f>
        <v>-0.05449335870969464</v>
      </c>
      <c r="F93" s="171">
        <f>F33+(13/0.017)*(F19*F51+F34*F50)</f>
        <v>-0.07437839289570425</v>
      </c>
    </row>
    <row r="94" spans="1:6" ht="12.75">
      <c r="A94" s="171" t="s">
        <v>185</v>
      </c>
      <c r="B94" s="171">
        <f>B34+(14/0.017)*(B20*B51+B35*B50)</f>
        <v>-0.023556475609315872</v>
      </c>
      <c r="C94" s="171">
        <f>C34+(14/0.017)*(C20*C51+C35*C50)</f>
        <v>0.011012143469877592</v>
      </c>
      <c r="D94" s="171">
        <f>D34+(14/0.017)*(D20*D51+D35*D50)</f>
        <v>0.001342053156601004</v>
      </c>
      <c r="E94" s="171">
        <f>E34+(14/0.017)*(E20*E51+E35*E50)</f>
        <v>0.016863903162346185</v>
      </c>
      <c r="F94" s="171">
        <f>F34+(14/0.017)*(F20*F51+F35*F50)</f>
        <v>-0.023905948998796084</v>
      </c>
    </row>
    <row r="95" spans="1:6" ht="12.75">
      <c r="A95" s="171" t="s">
        <v>186</v>
      </c>
      <c r="B95" s="172">
        <f>B35</f>
        <v>0.001179723</v>
      </c>
      <c r="C95" s="172">
        <f>C35</f>
        <v>0.004658603</v>
      </c>
      <c r="D95" s="172">
        <f>D35</f>
        <v>-0.003849992</v>
      </c>
      <c r="E95" s="172">
        <f>E35</f>
        <v>0.00167999</v>
      </c>
      <c r="F95" s="172">
        <f>F35</f>
        <v>0.001109488</v>
      </c>
    </row>
    <row r="98" ht="12.75">
      <c r="A98" s="171" t="s">
        <v>154</v>
      </c>
    </row>
    <row r="100" spans="2:11" ht="12.75">
      <c r="B100" s="171" t="s">
        <v>83</v>
      </c>
      <c r="C100" s="171" t="s">
        <v>84</v>
      </c>
      <c r="D100" s="171" t="s">
        <v>85</v>
      </c>
      <c r="E100" s="171" t="s">
        <v>86</v>
      </c>
      <c r="F100" s="171" t="s">
        <v>87</v>
      </c>
      <c r="G100" s="171" t="s">
        <v>156</v>
      </c>
      <c r="H100" s="171" t="s">
        <v>157</v>
      </c>
      <c r="I100" s="171" t="s">
        <v>152</v>
      </c>
      <c r="K100" s="171" t="s">
        <v>187</v>
      </c>
    </row>
    <row r="101" spans="1:9" ht="12.75">
      <c r="A101" s="171" t="s">
        <v>155</v>
      </c>
      <c r="B101" s="171">
        <f>B61*10000/B62</f>
        <v>0</v>
      </c>
      <c r="C101" s="171">
        <f>C61*10000/C62</f>
        <v>0</v>
      </c>
      <c r="D101" s="171">
        <f>D61*10000/D62</f>
        <v>0</v>
      </c>
      <c r="E101" s="171">
        <f>E61*10000/E62</f>
        <v>0</v>
      </c>
      <c r="F101" s="171">
        <f>F61*10000/F62</f>
        <v>0</v>
      </c>
      <c r="G101" s="171">
        <f>AVERAGE(C101:E101)</f>
        <v>0</v>
      </c>
      <c r="H101" s="171">
        <f>STDEV(C101:E101)</f>
        <v>0</v>
      </c>
      <c r="I101" s="171">
        <f>(B101*B4+C101*C4+D101*D4+E101*E4+F101*F4)/SUM(B4:F4)</f>
        <v>0</v>
      </c>
    </row>
    <row r="102" spans="1:9" ht="12.75">
      <c r="A102" s="171" t="s">
        <v>158</v>
      </c>
      <c r="B102" s="171">
        <f>B62*10000/B62</f>
        <v>10000</v>
      </c>
      <c r="C102" s="171">
        <f>C62*10000/C62</f>
        <v>10000</v>
      </c>
      <c r="D102" s="171">
        <f>D62*10000/D62</f>
        <v>10000</v>
      </c>
      <c r="E102" s="171">
        <f>E62*10000/E62</f>
        <v>10000</v>
      </c>
      <c r="F102" s="171">
        <f>F62*10000/F62</f>
        <v>10000</v>
      </c>
      <c r="G102" s="171">
        <f>AVERAGE(C102:E102)</f>
        <v>10000</v>
      </c>
      <c r="H102" s="171">
        <f>STDEV(C102:E102)</f>
        <v>0</v>
      </c>
      <c r="I102" s="171">
        <f>(B102*B4+C102*C4+D102*D4+E102*E4+F102*F4)/SUM(B4:F4)</f>
        <v>10000</v>
      </c>
    </row>
    <row r="103" spans="1:11" ht="12.75">
      <c r="A103" s="171" t="s">
        <v>159</v>
      </c>
      <c r="B103" s="171">
        <f>B63*10000/B62</f>
        <v>3.1330936716951108</v>
      </c>
      <c r="C103" s="171">
        <f>C63*10000/C62</f>
        <v>1.4459178416095826</v>
      </c>
      <c r="D103" s="171">
        <f>D63*10000/D62</f>
        <v>1.240840871906766</v>
      </c>
      <c r="E103" s="171">
        <f>E63*10000/E62</f>
        <v>3.245217357621647</v>
      </c>
      <c r="F103" s="171">
        <f>F63*10000/F62</f>
        <v>0.38526067619194926</v>
      </c>
      <c r="G103" s="171">
        <f>AVERAGE(C103:E103)</f>
        <v>1.9773253570459985</v>
      </c>
      <c r="H103" s="171">
        <f>STDEV(C103:E103)</f>
        <v>1.1028040327811706</v>
      </c>
      <c r="I103" s="171">
        <f>(B103*B4+C103*C4+D103*D4+E103*E4+F103*F4)/SUM(B4:F4)</f>
        <v>1.9310235130124855</v>
      </c>
      <c r="K103" s="171">
        <f>(LN(H103)+LN(H123))/2-LN(K114*K115^3)</f>
        <v>-3.9055591085389145</v>
      </c>
    </row>
    <row r="104" spans="1:11" ht="12.75">
      <c r="A104" s="171" t="s">
        <v>160</v>
      </c>
      <c r="B104" s="171">
        <f>B64*10000/B62</f>
        <v>0.06125706630819951</v>
      </c>
      <c r="C104" s="171">
        <f>C64*10000/C62</f>
        <v>-0.10449758860313506</v>
      </c>
      <c r="D104" s="171">
        <f>D64*10000/D62</f>
        <v>0.5624626362451038</v>
      </c>
      <c r="E104" s="171">
        <f>E64*10000/E62</f>
        <v>0.8848326188165293</v>
      </c>
      <c r="F104" s="171">
        <f>F64*10000/F62</f>
        <v>1.3992425642727766</v>
      </c>
      <c r="G104" s="171">
        <f>AVERAGE(C104:E104)</f>
        <v>0.4475992221528327</v>
      </c>
      <c r="H104" s="171">
        <f>STDEV(C104:E104)</f>
        <v>0.5045679020220751</v>
      </c>
      <c r="I104" s="171">
        <f>(B104*B4+C104*C4+D104*D4+E104*E4+F104*F4)/SUM(B4:F4)</f>
        <v>0.519178030816324</v>
      </c>
      <c r="K104" s="171">
        <f>(LN(H104)+LN(H124))/2-LN(K114*K115^4)</f>
        <v>-3.2565335855814412</v>
      </c>
    </row>
    <row r="105" spans="1:11" ht="12.75">
      <c r="A105" s="171" t="s">
        <v>161</v>
      </c>
      <c r="B105" s="171">
        <f>B65*10000/B62</f>
        <v>-0.6079219975891943</v>
      </c>
      <c r="C105" s="171">
        <f>C65*10000/C62</f>
        <v>-0.5462373595267566</v>
      </c>
      <c r="D105" s="171">
        <f>D65*10000/D62</f>
        <v>-0.0013735705681922874</v>
      </c>
      <c r="E105" s="171">
        <f>E65*10000/E62</f>
        <v>-0.5794675047335907</v>
      </c>
      <c r="F105" s="171">
        <f>F65*10000/F62</f>
        <v>-0.744962318939146</v>
      </c>
      <c r="G105" s="171">
        <f>AVERAGE(C105:E105)</f>
        <v>-0.3756928116095131</v>
      </c>
      <c r="H105" s="171">
        <f>STDEV(C105:E105)</f>
        <v>0.3245954887208534</v>
      </c>
      <c r="I105" s="171">
        <f>(B105*B4+C105*C4+D105*D4+E105*E4+F105*F4)/SUM(B4:F4)</f>
        <v>-0.45865740406571703</v>
      </c>
      <c r="K105" s="171">
        <f>(LN(H105)+LN(H125))/2-LN(K114*K115^5)</f>
        <v>-3.768436632057457</v>
      </c>
    </row>
    <row r="106" spans="1:11" ht="12.75">
      <c r="A106" s="171" t="s">
        <v>162</v>
      </c>
      <c r="B106" s="171">
        <f>B66*10000/B62</f>
        <v>4.369199527761009</v>
      </c>
      <c r="C106" s="171">
        <f>C66*10000/C62</f>
        <v>4.070985856246198</v>
      </c>
      <c r="D106" s="171">
        <f>D66*10000/D62</f>
        <v>4.3032471577072515</v>
      </c>
      <c r="E106" s="171">
        <f>E66*10000/E62</f>
        <v>4.214729143652393</v>
      </c>
      <c r="F106" s="171">
        <f>F66*10000/F62</f>
        <v>15.207252981224666</v>
      </c>
      <c r="G106" s="171">
        <f>AVERAGE(C106:E106)</f>
        <v>4.196320719201948</v>
      </c>
      <c r="H106" s="171">
        <f>STDEV(C106:E106)</f>
        <v>0.11721979614020334</v>
      </c>
      <c r="I106" s="171">
        <f>(B106*B4+C106*C4+D106*D4+E106*E4+F106*F4)/SUM(B4:F4)</f>
        <v>5.695173272708589</v>
      </c>
      <c r="K106" s="171">
        <f>(LN(H106)+LN(H126))/2-LN(K114*K115^6)</f>
        <v>-3.845231552870887</v>
      </c>
    </row>
    <row r="107" spans="1:11" ht="12.75">
      <c r="A107" s="171" t="s">
        <v>163</v>
      </c>
      <c r="B107" s="171">
        <f>B67*10000/B62</f>
        <v>-0.1885066676247538</v>
      </c>
      <c r="C107" s="171">
        <f>C67*10000/C62</f>
        <v>-0.47844812113909874</v>
      </c>
      <c r="D107" s="171">
        <f>D67*10000/D62</f>
        <v>-0.29743772109947114</v>
      </c>
      <c r="E107" s="171">
        <f>E67*10000/E62</f>
        <v>-0.21899313268074438</v>
      </c>
      <c r="F107" s="171">
        <f>F67*10000/F62</f>
        <v>0.1058676777288098</v>
      </c>
      <c r="G107" s="171">
        <f>AVERAGE(C107:E107)</f>
        <v>-0.3316263249731048</v>
      </c>
      <c r="H107" s="171">
        <f>STDEV(C107:E107)</f>
        <v>0.13306339930688066</v>
      </c>
      <c r="I107" s="171">
        <f>(B107*B4+C107*C4+D107*D4+E107*E4+F107*F4)/SUM(B4:F4)</f>
        <v>-0.2524132166462327</v>
      </c>
      <c r="K107" s="171">
        <f>(LN(H107)+LN(H127))/2-LN(K114*K115^7)</f>
        <v>-3.1874258184591575</v>
      </c>
    </row>
    <row r="108" spans="1:9" ht="12.75">
      <c r="A108" s="171" t="s">
        <v>164</v>
      </c>
      <c r="B108" s="171">
        <f>B68*10000/B62</f>
        <v>-0.2583238396361154</v>
      </c>
      <c r="C108" s="171">
        <f>C68*10000/C62</f>
        <v>-0.045568888064884516</v>
      </c>
      <c r="D108" s="171">
        <f>D68*10000/D62</f>
        <v>-0.091644284375037</v>
      </c>
      <c r="E108" s="171">
        <f>E68*10000/E62</f>
        <v>0.06645575534056927</v>
      </c>
      <c r="F108" s="171">
        <f>F68*10000/F62</f>
        <v>-0.29128072897051377</v>
      </c>
      <c r="G108" s="171">
        <f>AVERAGE(C108:E108)</f>
        <v>-0.02358580569978408</v>
      </c>
      <c r="H108" s="171">
        <f>STDEV(C108:E108)</f>
        <v>0.08131019353206682</v>
      </c>
      <c r="I108" s="171">
        <f>(B108*B4+C108*C4+D108*D4+E108*E4+F108*F4)/SUM(B4:F4)</f>
        <v>-0.0933064595739207</v>
      </c>
    </row>
    <row r="109" spans="1:9" ht="12.75">
      <c r="A109" s="171" t="s">
        <v>165</v>
      </c>
      <c r="B109" s="171">
        <f>B69*10000/B62</f>
        <v>-0.059732997463681006</v>
      </c>
      <c r="C109" s="171">
        <f>C69*10000/C62</f>
        <v>0.10004812738122378</v>
      </c>
      <c r="D109" s="171">
        <f>D69*10000/D62</f>
        <v>0.04905875950615016</v>
      </c>
      <c r="E109" s="171">
        <f>E69*10000/E62</f>
        <v>-0.0024850837684755826</v>
      </c>
      <c r="F109" s="171">
        <f>F69*10000/F62</f>
        <v>-0.05421685490266704</v>
      </c>
      <c r="G109" s="171">
        <f>AVERAGE(C109:E109)</f>
        <v>0.04887393437296612</v>
      </c>
      <c r="H109" s="171">
        <f>STDEV(C109:E109)</f>
        <v>0.051266855446912285</v>
      </c>
      <c r="I109" s="171">
        <f>(B109*B4+C109*C4+D109*D4+E109*E4+F109*F4)/SUM(B4:F4)</f>
        <v>0.019399489876840394</v>
      </c>
    </row>
    <row r="110" spans="1:11" ht="12.75">
      <c r="A110" s="171" t="s">
        <v>166</v>
      </c>
      <c r="B110" s="171">
        <f>B70*10000/B62</f>
        <v>-0.3555845281523114</v>
      </c>
      <c r="C110" s="171">
        <f>C70*10000/C62</f>
        <v>-0.131924711756871</v>
      </c>
      <c r="D110" s="171">
        <f>D70*10000/D62</f>
        <v>-0.13904072030599315</v>
      </c>
      <c r="E110" s="171">
        <f>E70*10000/E62</f>
        <v>-0.11795959541564661</v>
      </c>
      <c r="F110" s="171">
        <f>F70*10000/F62</f>
        <v>-0.3950227868162292</v>
      </c>
      <c r="G110" s="171">
        <f>AVERAGE(C110:E110)</f>
        <v>-0.12964167582617026</v>
      </c>
      <c r="H110" s="171">
        <f>STDEV(C110:E110)</f>
        <v>0.010724394922617207</v>
      </c>
      <c r="I110" s="171">
        <f>(B110*B4+C110*C4+D110*D4+E110*E4+F110*F4)/SUM(B4:F4)</f>
        <v>-0.19778170003150874</v>
      </c>
      <c r="K110" s="171">
        <f>EXP(AVERAGE(K103:K107))</f>
        <v>0.02752564015284084</v>
      </c>
    </row>
    <row r="111" spans="1:9" ht="12.75">
      <c r="A111" s="171" t="s">
        <v>167</v>
      </c>
      <c r="B111" s="171">
        <f>B71*10000/B62</f>
        <v>0.02594541556920386</v>
      </c>
      <c r="C111" s="171">
        <f>C71*10000/C62</f>
        <v>-0.054488842519379535</v>
      </c>
      <c r="D111" s="171">
        <f>D71*10000/D62</f>
        <v>0.023281550724763785</v>
      </c>
      <c r="E111" s="171">
        <f>E71*10000/E62</f>
        <v>-0.04364778390838411</v>
      </c>
      <c r="F111" s="171">
        <f>F71*10000/F62</f>
        <v>-0.013950885505789877</v>
      </c>
      <c r="G111" s="171">
        <f>AVERAGE(C111:E111)</f>
        <v>-0.024951691900999953</v>
      </c>
      <c r="H111" s="171">
        <f>STDEV(C111:E111)</f>
        <v>0.042121448320286935</v>
      </c>
      <c r="I111" s="171">
        <f>(B111*B4+C111*C4+D111*D4+E111*E4+F111*F4)/SUM(B4:F4)</f>
        <v>-0.016133682403075653</v>
      </c>
    </row>
    <row r="112" spans="1:9" ht="12.75">
      <c r="A112" s="171" t="s">
        <v>168</v>
      </c>
      <c r="B112" s="171">
        <f>B72*10000/B62</f>
        <v>-0.055917771117485714</v>
      </c>
      <c r="C112" s="171">
        <f>C72*10000/C62</f>
        <v>-0.007361822117116519</v>
      </c>
      <c r="D112" s="171">
        <f>D72*10000/D62</f>
        <v>-0.045895040983672794</v>
      </c>
      <c r="E112" s="171">
        <f>E72*10000/E62</f>
        <v>-0.034709961070889556</v>
      </c>
      <c r="F112" s="171">
        <f>F72*10000/F62</f>
        <v>-0.08119394177620518</v>
      </c>
      <c r="G112" s="171">
        <f>AVERAGE(C112:E112)</f>
        <v>-0.029322274723892955</v>
      </c>
      <c r="H112" s="171">
        <f>STDEV(C112:E112)</f>
        <v>0.01982353682329903</v>
      </c>
      <c r="I112" s="171">
        <f>(B112*B4+C112*C4+D112*D4+E112*E4+F112*F4)/SUM(B4:F4)</f>
        <v>-0.04010356527643952</v>
      </c>
    </row>
    <row r="113" spans="1:9" ht="12.75">
      <c r="A113" s="171" t="s">
        <v>169</v>
      </c>
      <c r="B113" s="171">
        <f>B73*10000/B62</f>
        <v>0.019930319416294275</v>
      </c>
      <c r="C113" s="171">
        <f>C73*10000/C62</f>
        <v>0.022200085992975068</v>
      </c>
      <c r="D113" s="171">
        <f>D73*10000/D62</f>
        <v>0.001607249598210004</v>
      </c>
      <c r="E113" s="171">
        <f>E73*10000/E62</f>
        <v>0.013370331875839149</v>
      </c>
      <c r="F113" s="171">
        <f>F73*10000/F62</f>
        <v>-0.010707447505752745</v>
      </c>
      <c r="G113" s="171">
        <f>AVERAGE(C113:E113)</f>
        <v>0.012392555822341408</v>
      </c>
      <c r="H113" s="171">
        <f>STDEV(C113:E113)</f>
        <v>0.010331179129387183</v>
      </c>
      <c r="I113" s="171">
        <f>(B113*B4+C113*C4+D113*D4+E113*E4+F113*F4)/SUM(B4:F4)</f>
        <v>0.010389185838056756</v>
      </c>
    </row>
    <row r="114" spans="1:11" ht="12.75">
      <c r="A114" s="171" t="s">
        <v>170</v>
      </c>
      <c r="B114" s="171">
        <f>B74*10000/B62</f>
        <v>-0.19060280835977922</v>
      </c>
      <c r="C114" s="171">
        <f>C74*10000/C62</f>
        <v>-0.16262086101658504</v>
      </c>
      <c r="D114" s="171">
        <f>D74*10000/D62</f>
        <v>-0.16409651075549567</v>
      </c>
      <c r="E114" s="171">
        <f>E74*10000/E62</f>
        <v>-0.16379948238174155</v>
      </c>
      <c r="F114" s="171">
        <f>F74*10000/F62</f>
        <v>-0.1413490453849343</v>
      </c>
      <c r="G114" s="171">
        <f>AVERAGE(C114:E114)</f>
        <v>-0.1635056180512741</v>
      </c>
      <c r="H114" s="171">
        <f>STDEV(C114:E114)</f>
        <v>0.0007804823646492631</v>
      </c>
      <c r="I114" s="171">
        <f>(B114*B4+C114*C4+D114*D4+E114*E4+F114*F4)/SUM(B4:F4)</f>
        <v>-0.1644513888689764</v>
      </c>
      <c r="J114" s="171" t="s">
        <v>188</v>
      </c>
      <c r="K114" s="171">
        <v>285</v>
      </c>
    </row>
    <row r="115" spans="1:11" ht="12.75">
      <c r="A115" s="171" t="s">
        <v>171</v>
      </c>
      <c r="B115" s="171">
        <f>B75*10000/B62</f>
        <v>-0.005858061145311365</v>
      </c>
      <c r="C115" s="171">
        <f>C75*10000/C62</f>
        <v>0.004264541966020804</v>
      </c>
      <c r="D115" s="171">
        <f>D75*10000/D62</f>
        <v>-0.0038522813925041025</v>
      </c>
      <c r="E115" s="171">
        <f>E75*10000/E62</f>
        <v>0.0008598389775018621</v>
      </c>
      <c r="F115" s="171">
        <f>F75*10000/F62</f>
        <v>-0.004063127158991167</v>
      </c>
      <c r="G115" s="171">
        <f>AVERAGE(C115:E115)</f>
        <v>0.00042403318367285463</v>
      </c>
      <c r="H115" s="171">
        <f>STDEV(C115:E115)</f>
        <v>0.004075923254408145</v>
      </c>
      <c r="I115" s="171">
        <f>(B115*B4+C115*C4+D115*D4+E115*E4+F115*F4)/SUM(B4:F4)</f>
        <v>-0.0010832284820071617</v>
      </c>
      <c r="J115" s="171" t="s">
        <v>189</v>
      </c>
      <c r="K115" s="171">
        <v>0.5536</v>
      </c>
    </row>
    <row r="118" ht="12.75">
      <c r="A118" s="171" t="s">
        <v>154</v>
      </c>
    </row>
    <row r="120" spans="2:9" ht="12.75">
      <c r="B120" s="171" t="s">
        <v>83</v>
      </c>
      <c r="C120" s="171" t="s">
        <v>84</v>
      </c>
      <c r="D120" s="171" t="s">
        <v>85</v>
      </c>
      <c r="E120" s="171" t="s">
        <v>86</v>
      </c>
      <c r="F120" s="171" t="s">
        <v>87</v>
      </c>
      <c r="G120" s="171" t="s">
        <v>156</v>
      </c>
      <c r="H120" s="171" t="s">
        <v>157</v>
      </c>
      <c r="I120" s="171" t="s">
        <v>152</v>
      </c>
    </row>
    <row r="121" spans="1:9" ht="12.75">
      <c r="A121" s="171" t="s">
        <v>172</v>
      </c>
      <c r="B121" s="171">
        <f>B81*10000/B62</f>
        <v>0</v>
      </c>
      <c r="C121" s="171">
        <f>C81*10000/C62</f>
        <v>0</v>
      </c>
      <c r="D121" s="171">
        <f>D81*10000/D62</f>
        <v>0</v>
      </c>
      <c r="E121" s="171">
        <f>E81*10000/E62</f>
        <v>0</v>
      </c>
      <c r="F121" s="171">
        <f>F81*10000/F62</f>
        <v>0</v>
      </c>
      <c r="G121" s="171">
        <f>AVERAGE(C121:E121)</f>
        <v>0</v>
      </c>
      <c r="H121" s="171">
        <f>STDEV(C121:E121)</f>
        <v>0</v>
      </c>
      <c r="I121" s="171">
        <f>(B121*B4+C121*C4+D121*D4+E121*E4+F121*F4)/SUM(B4:F4)</f>
        <v>0</v>
      </c>
    </row>
    <row r="122" spans="1:9" ht="12.75">
      <c r="A122" s="171" t="s">
        <v>173</v>
      </c>
      <c r="B122" s="171">
        <f>B82*10000/B62</f>
        <v>126.72299070708547</v>
      </c>
      <c r="C122" s="171">
        <f>C82*10000/C62</f>
        <v>68.43456311989638</v>
      </c>
      <c r="D122" s="171">
        <f>D82*10000/D62</f>
        <v>-0.5441323734276384</v>
      </c>
      <c r="E122" s="171">
        <f>E82*10000/E62</f>
        <v>-68.73718714144474</v>
      </c>
      <c r="F122" s="171">
        <f>F82*10000/F62</f>
        <v>-135.15329723174486</v>
      </c>
      <c r="G122" s="171">
        <f>AVERAGE(C122:E122)</f>
        <v>-0.2822521316586659</v>
      </c>
      <c r="H122" s="171">
        <f>STDEV(C122:E122)</f>
        <v>68.58625010441747</v>
      </c>
      <c r="I122" s="171">
        <f>(B122*B4+C122*C4+D122*D4+E122*E4+F122*F4)/SUM(B4:F4)</f>
        <v>0.002632582017757937</v>
      </c>
    </row>
    <row r="123" spans="1:9" ht="12.75">
      <c r="A123" s="171" t="s">
        <v>174</v>
      </c>
      <c r="B123" s="171">
        <f>B83*10000/B62</f>
        <v>1.0700036368820764</v>
      </c>
      <c r="C123" s="171">
        <f>C83*10000/C62</f>
        <v>-1.2266627017180498</v>
      </c>
      <c r="D123" s="171">
        <f>D83*10000/D62</f>
        <v>-1.651998441528667</v>
      </c>
      <c r="E123" s="171">
        <f>E83*10000/E62</f>
        <v>0.002356404224853031</v>
      </c>
      <c r="F123" s="171">
        <f>F83*10000/F62</f>
        <v>7.302313516024907</v>
      </c>
      <c r="G123" s="171">
        <f>AVERAGE(C123:E123)</f>
        <v>-0.9587682463406213</v>
      </c>
      <c r="H123" s="171">
        <f>STDEV(C123:E123)</f>
        <v>0.8590972403246996</v>
      </c>
      <c r="I123" s="171">
        <f>(B123*B4+C123*C4+D123*D4+E123*E4+F123*F4)/SUM(B4:F4)</f>
        <v>0.4398960304225903</v>
      </c>
    </row>
    <row r="124" spans="1:9" ht="12.75">
      <c r="A124" s="171" t="s">
        <v>175</v>
      </c>
      <c r="B124" s="171">
        <f>B84*10000/B62</f>
        <v>-2.041341238599286</v>
      </c>
      <c r="C124" s="171">
        <f>C84*10000/C62</f>
        <v>2.856173456316301</v>
      </c>
      <c r="D124" s="171">
        <f>D84*10000/D62</f>
        <v>-1.2776376276591388</v>
      </c>
      <c r="E124" s="171">
        <f>E84*10000/E62</f>
        <v>0.07703836598613183</v>
      </c>
      <c r="F124" s="171">
        <f>F84*10000/F62</f>
        <v>-1.0611420263063214</v>
      </c>
      <c r="G124" s="171">
        <f>AVERAGE(C124:E124)</f>
        <v>0.5518580648810979</v>
      </c>
      <c r="H124" s="171">
        <f>STDEV(C124:E124)</f>
        <v>2.10741282840918</v>
      </c>
      <c r="I124" s="171">
        <f>(B124*B4+C124*C4+D124*D4+E124*E4+F124*F4)/SUM(B4:F4)</f>
        <v>-0.03825417534870323</v>
      </c>
    </row>
    <row r="125" spans="1:9" ht="12.75">
      <c r="A125" s="171" t="s">
        <v>176</v>
      </c>
      <c r="B125" s="171">
        <f>B85*10000/B62</f>
        <v>0.7636895535203493</v>
      </c>
      <c r="C125" s="171">
        <f>C85*10000/C62</f>
        <v>-0.14277790411963656</v>
      </c>
      <c r="D125" s="171">
        <f>D85*10000/D62</f>
        <v>-0.494468179055864</v>
      </c>
      <c r="E125" s="171">
        <f>E85*10000/E62</f>
        <v>0.22675765070600232</v>
      </c>
      <c r="F125" s="171">
        <f>F85*10000/F62</f>
        <v>-0.45959258952763865</v>
      </c>
      <c r="G125" s="171">
        <f>AVERAGE(C125:E125)</f>
        <v>-0.13682947748983276</v>
      </c>
      <c r="H125" s="171">
        <f>STDEV(C125:E125)</f>
        <v>0.360649708461619</v>
      </c>
      <c r="I125" s="171">
        <f>(B125*B4+C125*C4+D125*D4+E125*E4+F125*F4)/SUM(B4:F4)</f>
        <v>-0.050038183767902096</v>
      </c>
    </row>
    <row r="126" spans="1:9" ht="12.75">
      <c r="A126" s="171" t="s">
        <v>177</v>
      </c>
      <c r="B126" s="171">
        <f>B86*10000/B62</f>
        <v>0.7447696812027166</v>
      </c>
      <c r="C126" s="171">
        <f>C86*10000/C62</f>
        <v>-0.11839504394521684</v>
      </c>
      <c r="D126" s="171">
        <f>D86*10000/D62</f>
        <v>-0.4032944976898204</v>
      </c>
      <c r="E126" s="171">
        <f>E86*10000/E62</f>
        <v>-0.6427221739790966</v>
      </c>
      <c r="F126" s="171">
        <f>F86*10000/F62</f>
        <v>0.5442021924941204</v>
      </c>
      <c r="G126" s="171">
        <f>AVERAGE(C126:E126)</f>
        <v>-0.3881372385380446</v>
      </c>
      <c r="H126" s="171">
        <f>STDEV(C126:E126)</f>
        <v>0.26249198407025087</v>
      </c>
      <c r="I126" s="171">
        <f>(B126*B4+C126*C4+D126*D4+E126*E4+F126*F4)/SUM(B4:F4)</f>
        <v>-0.09977563579185256</v>
      </c>
    </row>
    <row r="127" spans="1:9" ht="12.75">
      <c r="A127" s="171" t="s">
        <v>178</v>
      </c>
      <c r="B127" s="171">
        <f>B87*10000/B62</f>
        <v>0.030636760663073834</v>
      </c>
      <c r="C127" s="171">
        <f>C87*10000/C62</f>
        <v>-0.411439163196894</v>
      </c>
      <c r="D127" s="171">
        <f>D87*10000/D62</f>
        <v>0.11117831936719225</v>
      </c>
      <c r="E127" s="171">
        <f>E87*10000/E62</f>
        <v>-0.08347473783268619</v>
      </c>
      <c r="F127" s="171">
        <f>F87*10000/F62</f>
        <v>0.30448829950466944</v>
      </c>
      <c r="G127" s="171">
        <f>AVERAGE(C127:E127)</f>
        <v>-0.12791186055412931</v>
      </c>
      <c r="H127" s="171">
        <f>STDEV(C127:E127)</f>
        <v>0.26412733988973236</v>
      </c>
      <c r="I127" s="171">
        <f>(B127*B4+C127*C4+D127*D4+E127*E4+F127*F4)/SUM(B4:F4)</f>
        <v>-0.04716207832347197</v>
      </c>
    </row>
    <row r="128" spans="1:9" ht="12.75">
      <c r="A128" s="171" t="s">
        <v>179</v>
      </c>
      <c r="B128" s="171">
        <f>B88*10000/B62</f>
        <v>-0.19782818403846208</v>
      </c>
      <c r="C128" s="171">
        <f>C88*10000/C62</f>
        <v>0.10831437967243296</v>
      </c>
      <c r="D128" s="171">
        <f>D88*10000/D62</f>
        <v>-0.059371357386964196</v>
      </c>
      <c r="E128" s="171">
        <f>E88*10000/E62</f>
        <v>-0.25650585088002714</v>
      </c>
      <c r="F128" s="171">
        <f>F88*10000/F62</f>
        <v>-0.060217491785102294</v>
      </c>
      <c r="G128" s="171">
        <f>AVERAGE(C128:E128)</f>
        <v>-0.06918760953151946</v>
      </c>
      <c r="H128" s="171">
        <f>STDEV(C128:E128)</f>
        <v>0.18260810294100216</v>
      </c>
      <c r="I128" s="171">
        <f>(B128*B4+C128*C4+D128*D4+E128*E4+F128*F4)/SUM(B4:F4)</f>
        <v>-0.08654568374675493</v>
      </c>
    </row>
    <row r="129" spans="1:9" ht="12.75">
      <c r="A129" s="171" t="s">
        <v>180</v>
      </c>
      <c r="B129" s="171">
        <f>B89*10000/B62</f>
        <v>0.1515462026202664</v>
      </c>
      <c r="C129" s="171">
        <f>C89*10000/C62</f>
        <v>0.08268317025208198</v>
      </c>
      <c r="D129" s="171">
        <f>D89*10000/D62</f>
        <v>0.12599361111465532</v>
      </c>
      <c r="E129" s="171">
        <f>E89*10000/E62</f>
        <v>0.06346007489426343</v>
      </c>
      <c r="F129" s="171">
        <f>F89*10000/F62</f>
        <v>0.05553352022989531</v>
      </c>
      <c r="G129" s="171">
        <f>AVERAGE(C129:E129)</f>
        <v>0.09071228542033356</v>
      </c>
      <c r="H129" s="171">
        <f>STDEV(C129:E129)</f>
        <v>0.03203062293876837</v>
      </c>
      <c r="I129" s="171">
        <f>(B129*B4+C129*C4+D129*D4+E129*E4+F129*F4)/SUM(B4:F4)</f>
        <v>0.09478460192743773</v>
      </c>
    </row>
    <row r="130" spans="1:9" ht="12.75">
      <c r="A130" s="171" t="s">
        <v>181</v>
      </c>
      <c r="B130" s="171">
        <f>B90*10000/B62</f>
        <v>-0.03727659702162602</v>
      </c>
      <c r="C130" s="171">
        <f>C90*10000/C62</f>
        <v>0.007820539520555298</v>
      </c>
      <c r="D130" s="171">
        <f>D90*10000/D62</f>
        <v>-0.02776097259496424</v>
      </c>
      <c r="E130" s="171">
        <f>E90*10000/E62</f>
        <v>0.011479941670494764</v>
      </c>
      <c r="F130" s="171">
        <f>F90*10000/F62</f>
        <v>0.1641882188404364</v>
      </c>
      <c r="G130" s="171">
        <f>AVERAGE(C130:E130)</f>
        <v>-0.002820163801304726</v>
      </c>
      <c r="H130" s="171">
        <f>STDEV(C130:E130)</f>
        <v>0.021676733229090545</v>
      </c>
      <c r="I130" s="171">
        <f>(B130*B4+C130*C4+D130*D4+E130*E4+F130*F4)/SUM(B4:F4)</f>
        <v>0.01456194437969381</v>
      </c>
    </row>
    <row r="131" spans="1:9" ht="12.75">
      <c r="A131" s="171" t="s">
        <v>182</v>
      </c>
      <c r="B131" s="171">
        <f>B91*10000/B62</f>
        <v>0.06559301476817002</v>
      </c>
      <c r="C131" s="171">
        <f>C91*10000/C62</f>
        <v>0.038169569383549956</v>
      </c>
      <c r="D131" s="171">
        <f>D91*10000/D62</f>
        <v>0.05801625293436305</v>
      </c>
      <c r="E131" s="171">
        <f>E91*10000/E62</f>
        <v>0.044033732064156256</v>
      </c>
      <c r="F131" s="171">
        <f>F91*10000/F62</f>
        <v>0.06296526037273023</v>
      </c>
      <c r="G131" s="171">
        <f>AVERAGE(C131:E131)</f>
        <v>0.046739851460689756</v>
      </c>
      <c r="H131" s="171">
        <f>STDEV(C131:E131)</f>
        <v>0.010196324025488281</v>
      </c>
      <c r="I131" s="171">
        <f>(B131*B4+C131*C4+D131*D4+E131*E4+F131*F4)/SUM(B4:F4)</f>
        <v>0.051632793206504206</v>
      </c>
    </row>
    <row r="132" spans="1:9" ht="12.75">
      <c r="A132" s="171" t="s">
        <v>183</v>
      </c>
      <c r="B132" s="171">
        <f>B92*10000/B62</f>
        <v>0.017641650469620945</v>
      </c>
      <c r="C132" s="171">
        <f>C92*10000/C62</f>
        <v>-0.014931136604102375</v>
      </c>
      <c r="D132" s="171">
        <f>D92*10000/D62</f>
        <v>0.01702551674515998</v>
      </c>
      <c r="E132" s="171">
        <f>E92*10000/E62</f>
        <v>-0.05168627459074604</v>
      </c>
      <c r="F132" s="171">
        <f>F92*10000/F62</f>
        <v>-0.020970662561296014</v>
      </c>
      <c r="G132" s="171">
        <f>AVERAGE(C132:E132)</f>
        <v>-0.016530631483229478</v>
      </c>
      <c r="H132" s="171">
        <f>STDEV(C132:E132)</f>
        <v>0.03438380949005705</v>
      </c>
      <c r="I132" s="171">
        <f>(B132*B4+C132*C4+D132*D4+E132*E4+F132*F4)/SUM(B4:F4)</f>
        <v>-0.01219185737694181</v>
      </c>
    </row>
    <row r="133" spans="1:9" ht="12.75">
      <c r="A133" s="171" t="s">
        <v>184</v>
      </c>
      <c r="B133" s="171">
        <f>B93*10000/B62</f>
        <v>-0.07399208374803959</v>
      </c>
      <c r="C133" s="171">
        <f>C93*10000/C62</f>
        <v>-0.05387599987541487</v>
      </c>
      <c r="D133" s="171">
        <f>D93*10000/D62</f>
        <v>-0.042616715916068616</v>
      </c>
      <c r="E133" s="171">
        <f>E93*10000/E62</f>
        <v>-0.054493629803014504</v>
      </c>
      <c r="F133" s="171">
        <f>F93*10000/F62</f>
        <v>-0.07439055277959494</v>
      </c>
      <c r="G133" s="171">
        <f>AVERAGE(C133:E133)</f>
        <v>-0.05032878186483267</v>
      </c>
      <c r="H133" s="171">
        <f>STDEV(C133:E133)</f>
        <v>0.006685980674548111</v>
      </c>
      <c r="I133" s="171">
        <f>(B133*B4+C133*C4+D133*D4+E133*E4+F133*F4)/SUM(B4:F4)</f>
        <v>-0.056965838131871276</v>
      </c>
    </row>
    <row r="134" spans="1:9" ht="12.75">
      <c r="A134" s="171" t="s">
        <v>185</v>
      </c>
      <c r="B134" s="171">
        <f>B94*10000/B62</f>
        <v>-0.02355680995855706</v>
      </c>
      <c r="C134" s="171">
        <f>C94*10000/C62</f>
        <v>0.011012032346203663</v>
      </c>
      <c r="D134" s="171">
        <f>D94*10000/D62</f>
        <v>0.0013420093990394687</v>
      </c>
      <c r="E134" s="171">
        <f>E94*10000/E62</f>
        <v>0.01686398705681704</v>
      </c>
      <c r="F134" s="171">
        <f>F94*10000/F62</f>
        <v>-0.023909857305399723</v>
      </c>
      <c r="G134" s="171">
        <f>AVERAGE(C134:E134)</f>
        <v>0.009739342934020057</v>
      </c>
      <c r="H134" s="171">
        <f>STDEV(C134:E134)</f>
        <v>0.007838861611040835</v>
      </c>
      <c r="I134" s="171">
        <f>(B134*B4+C134*C4+D134*D4+E134*E4+F134*F4)/SUM(B4:F4)</f>
        <v>0.0004286694954453202</v>
      </c>
    </row>
    <row r="135" spans="1:9" ht="12.75">
      <c r="A135" s="171" t="s">
        <v>186</v>
      </c>
      <c r="B135" s="171">
        <f>B95*10000/B62</f>
        <v>0.0011797397444186643</v>
      </c>
      <c r="C135" s="171">
        <f>C95*10000/C62</f>
        <v>0.004658555989980366</v>
      </c>
      <c r="D135" s="171">
        <f>D95*10000/D62</f>
        <v>-0.003849866471245031</v>
      </c>
      <c r="E135" s="171">
        <f>E95*10000/E62</f>
        <v>0.0016799983576068205</v>
      </c>
      <c r="F135" s="171">
        <f>F95*10000/F62</f>
        <v>0.001109669386619593</v>
      </c>
      <c r="G135" s="171">
        <f>AVERAGE(C135:E135)</f>
        <v>0.0008295626254473852</v>
      </c>
      <c r="H135" s="171">
        <f>STDEV(C135:E135)</f>
        <v>0.004317492778867311</v>
      </c>
      <c r="I135" s="171">
        <f>(B135*B4+C135*C4+D135*D4+E135*E4+F135*F4)/SUM(B4:F4)</f>
        <v>0.000917852852337844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2003-07-03T13:57:32Z</cp:lastPrinted>
  <dcterms:created xsi:type="dcterms:W3CDTF">1999-06-17T15:15:05Z</dcterms:created>
  <dcterms:modified xsi:type="dcterms:W3CDTF">2003-10-09T09:05:49Z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-202957176</vt:i4>
  </property>
  <property fmtid="{D5CDD505-2E9C-101B-9397-08002B2CF9AE}" pid="3" name="_EmailSubject">
    <vt:lpwstr>WFM result of aperture 101 and 100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PreviousAdHocReviewCycleID">
    <vt:i4>1421584721</vt:i4>
  </property>
  <property fmtid="{D5CDD505-2E9C-101B-9397-08002B2CF9AE}" pid="7" name="_ReviewingToolsShownOnce">
    <vt:lpwstr/>
  </property>
</Properties>
</file>