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102_pos1ap2" sheetId="2" r:id="rId2"/>
    <sheet name="HCMQAP0102_pos2ap2" sheetId="3" r:id="rId3"/>
    <sheet name="HCMQAP0102_pos3ap2" sheetId="4" r:id="rId4"/>
    <sheet name="HCMQAP0102_pos4ap2" sheetId="5" r:id="rId5"/>
    <sheet name="HCMQAP0102_pos5ap2" sheetId="6" r:id="rId6"/>
    <sheet name="Lmag_hcmqap" sheetId="7" r:id="rId7"/>
    <sheet name="Result_HCMQAP" sheetId="8" r:id="rId8"/>
  </sheets>
  <definedNames>
    <definedName name="_xlnm.Print_Area" localSheetId="1">'HCMQAP0102_pos1ap2'!$A$1:$N$28</definedName>
    <definedName name="_xlnm.Print_Area" localSheetId="2">'HCMQAP0102_pos2ap2'!$A$1:$N$28</definedName>
    <definedName name="_xlnm.Print_Area" localSheetId="3">'HCMQAP0102_pos3ap2'!$A$1:$N$28</definedName>
    <definedName name="_xlnm.Print_Area" localSheetId="4">'HCMQAP0102_pos4ap2'!$A$1:$N$28</definedName>
    <definedName name="_xlnm.Print_Area" localSheetId="5">'HCMQAP0102_pos5ap2'!$A$1:$N$28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<sst xmlns="http://schemas.openxmlformats.org/spreadsheetml/2006/main" count="505" uniqueCount="190">
  <si>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</si>
  <si>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</si>
  <si>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</si>
  <si>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</si>
  <si>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</si>
  <si>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</si>
  <si>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</si>
  <si>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</si>
  <si>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</si>
  <si>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</si>
  <si>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</si>
  <si>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</si>
  <si>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</si>
  <si>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</si>
  <si>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</si>
  <si>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hcmqap0102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</si>
  <si>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</si>
  <si>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</si>
  <si>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</si>
  <si>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</si>
  <si>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</si>
  <si>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</si>
  <si>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</si>
  <si>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</si>
  <si>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</si>
  <si>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</si>
  <si>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</si>
  <si>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</si>
  <si>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</si>
  <si>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</si>
  <si>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</si>
  <si>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</si>
  <si>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</si>
  <si>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</si>
  <si>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</si>
  <si>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</si>
  <si>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</si>
  <si>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</si>
  <si>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</si>
  <si>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</si>
  <si>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</si>
  <si>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</si>
  <si>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</si>
  <si>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</si>
  <si>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</si>
  <si>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</si>
  <si>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</si>
  <si>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</si>
  <si>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</si>
  <si>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</si>
  <si>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</si>
  <si>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</si>
  <si>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</si>
  <si>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</si>
  <si>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</si>
  <si>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</si>
  <si>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</si>
  <si>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</si>
  <si>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</si>
  <si>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</si>
  <si>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</si>
  <si>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</si>
  <si>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</si>
  <si>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</si>
  <si>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</si>
  <si>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</si>
  <si>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</si>
  <si>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</si>
  <si>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HCMQAP0102_pos1ap2</t>
  </si>
  <si>
    <t>±12.5</t>
  </si>
  <si>
    <t>THCMQAP0102_pos1ap2.xls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</si>
  <si>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</si>
  <si>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HCMQAP0102_pos2ap2</t>
  </si>
  <si>
    <t>THCMQAP0102_pos2ap2.xls</t>
  </si>
  <si>
    <t>HCMQAP0102_pos3ap2</t>
  </si>
  <si>
    <t>THCMQAP0102_pos3ap2.xls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</si>
  <si>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</si>
  <si>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HCMQAP0102_pos4ap2</t>
  </si>
  <si>
    <t>THCMQAP0102_pos4ap2.xls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</si>
  <si>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</si>
  <si>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t>HCMQAP0102_pos5ap2</t>
  </si>
  <si>
    <t>THCMQAP0102_pos5ap2.xls</t>
  </si>
  <si>
    <t>Sommaire : Valeurs intégrales calculées avec les fichiers: HCMQAP0102_pos1ap2+HCMQAP0102_pos2ap2+HCMQAP0102_pos3ap2+HCMQAP0102_pos4ap2+HCMQAP0102_pos5ap2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</si>
  <si>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</si>
  <si>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</si>
  <si>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</si>
  <si>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</si>
  <si>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</si>
  <si>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</si>
  <si>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</si>
  <si>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</si>
  <si>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</si>
  <si>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</si>
  <si>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</si>
  <si>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</si>
  <si>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</si>
  <si>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</si>
  <si>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</si>
  <si>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</si>
  <si>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</si>
  <si>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</si>
  <si>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</si>
  <si>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</si>
  <si>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</si>
  <si>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</si>
  <si>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</si>
  <si>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</si>
  <si>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</si>
  <si>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</si>
  <si>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</si>
  <si>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</si>
  <si>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</si>
  <si>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</si>
  <si>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</si>
  <si>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</si>
  <si>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</si>
  <si>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</si>
  <si>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</si>
  <si>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</si>
  <si>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</si>
  <si>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</si>
  <si>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</si>
  <si>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</si>
  <si>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</si>
  <si>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</si>
  <si>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</si>
  <si>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</t>
    </r>
  </si>
  <si>
    <t>Gradient (T/m)</t>
  </si>
  <si>
    <t xml:space="preserve"> Wed 08/10/2003       21:12:39</t>
  </si>
  <si>
    <t>LISSNER</t>
  </si>
  <si>
    <t>HCMQAP0102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</si>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</sst>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102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7385556"/>
        <c:axId val="66470005"/>
      </c:lineChart>
      <c:catAx>
        <c:axId val="7385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6470005"/>
        <c:crosses val="autoZero"/>
        <c:auto val="1"/>
        <c:lblOffset val="100"/>
        <c:noMultiLvlLbl val="0"/>
      </c:catAx>
      <c:valAx>
        <c:axId val="6647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738555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37843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2372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37843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2372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37843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74</v>
      </c>
      <c r="H4" s="25">
        <v>2372</v>
      </c>
      <c r="I4" s="27" t="s">
        <v>75</v>
      </c>
      <c r="J4" s="30"/>
      <c r="K4" s="31"/>
      <c r="L4" s="31"/>
      <c r="M4" s="31"/>
      <c r="N4" s="28"/>
    </row>
    <row r="5" spans="1:14" s="29" customFormat="1" ht="15" customHeight="1">
      <c r="A5" s="40">
        <v>37843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2372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37843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2372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5.2199835E-05</v>
      </c>
      <c r="L2" s="55">
        <v>1.092208633476084E-07</v>
      </c>
      <c r="M2" s="55">
        <v>0.00011610226</v>
      </c>
      <c r="N2" s="56">
        <v>1.33096368839554E-07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-3.2010209E-05</v>
      </c>
      <c r="L3" s="55">
        <v>1.7773067021269202E-07</v>
      </c>
      <c r="M3" s="55">
        <v>1.3865159999999998E-05</v>
      </c>
      <c r="N3" s="56">
        <v>8.199313019993282E-08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-0.0022599081219971118</v>
      </c>
      <c r="L4" s="55">
        <v>1.4493936409672234E-05</v>
      </c>
      <c r="M4" s="55">
        <v>5.831072296138722E-08</v>
      </c>
      <c r="N4" s="56">
        <v>-3.2067095</v>
      </c>
    </row>
    <row r="5" spans="1:14" ht="15" customHeight="1" thickBot="1">
      <c r="A5" t="s">
        <v>18</v>
      </c>
      <c r="B5" s="59">
        <v>37902.86181712963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2372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-0.67698187</v>
      </c>
      <c r="E8" s="78">
        <v>0.023749370595923778</v>
      </c>
      <c r="F8" s="78">
        <v>-0.35789330999999996</v>
      </c>
      <c r="G8" s="78">
        <v>0.017116864947542935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0.325439617</v>
      </c>
      <c r="E9" s="80">
        <v>0.07350463829583384</v>
      </c>
      <c r="F9" s="84">
        <v>3.3157586</v>
      </c>
      <c r="G9" s="80">
        <v>0.05464998672495442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-1.4066246999999998</v>
      </c>
      <c r="E10" s="80">
        <v>0.012014620899549099</v>
      </c>
      <c r="F10" s="80">
        <v>-1.535875</v>
      </c>
      <c r="G10" s="80">
        <v>0.009239192578346921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4.1208799</v>
      </c>
      <c r="E11" s="78">
        <v>0.005638756861111053</v>
      </c>
      <c r="F11" s="78">
        <v>0.24879588</v>
      </c>
      <c r="G11" s="78">
        <v>0.006991591397644398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0.024873307000000004</v>
      </c>
      <c r="E12" s="80">
        <v>0.006750896018167222</v>
      </c>
      <c r="F12" s="80">
        <v>-0.122727468</v>
      </c>
      <c r="G12" s="80">
        <v>0.007389442672803134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20.431519</v>
      </c>
      <c r="D13" s="83">
        <v>0.2171173</v>
      </c>
      <c r="E13" s="80">
        <v>0.00435856587744205</v>
      </c>
      <c r="F13" s="80">
        <v>-0.015242427000000003</v>
      </c>
      <c r="G13" s="80">
        <v>0.005728235301445458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0.0285752856</v>
      </c>
      <c r="E14" s="80">
        <v>0.0049783956797711535</v>
      </c>
      <c r="F14" s="80">
        <v>0.37834428999999997</v>
      </c>
      <c r="G14" s="80">
        <v>0.007103958826134346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-0.37165886</v>
      </c>
      <c r="E15" s="78">
        <v>0.0019895261884328936</v>
      </c>
      <c r="F15" s="78">
        <v>0.01052767278</v>
      </c>
      <c r="G15" s="78">
        <v>0.0031529091679095163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12.506399999999998</v>
      </c>
      <c r="D16" s="83">
        <v>-0.061720221000000006</v>
      </c>
      <c r="E16" s="80">
        <v>0.0012301248972254074</v>
      </c>
      <c r="F16" s="80">
        <v>-0.0187697066</v>
      </c>
      <c r="G16" s="80">
        <v>0.0039983721454287255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0.34700000286102295</v>
      </c>
      <c r="D17" s="83">
        <v>0.103569705</v>
      </c>
      <c r="E17" s="80">
        <v>0.0022845038345448453</v>
      </c>
      <c r="F17" s="80">
        <v>-0.12738957</v>
      </c>
      <c r="G17" s="80">
        <v>0.0016368356501491488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62.051998138427734</v>
      </c>
      <c r="D18" s="83">
        <v>0.07598765399999999</v>
      </c>
      <c r="E18" s="80">
        <v>0.0022727764093007662</v>
      </c>
      <c r="F18" s="84">
        <v>0.17167654999999998</v>
      </c>
      <c r="G18" s="80">
        <v>0.0011936813406429076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0.17299999296665192</v>
      </c>
      <c r="D19" s="87">
        <v>-0.19756110999999998</v>
      </c>
      <c r="E19" s="80">
        <v>0.0021317142103020794</v>
      </c>
      <c r="F19" s="80">
        <v>-0.00043231622</v>
      </c>
      <c r="G19" s="80">
        <v>0.0014939732512815288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0.3982456999999999</v>
      </c>
      <c r="D20" s="89">
        <v>0.00028172808999999994</v>
      </c>
      <c r="E20" s="90">
        <v>0.0009896933769373637</v>
      </c>
      <c r="F20" s="90">
        <v>-0.0005635427499999999</v>
      </c>
      <c r="G20" s="90">
        <v>0.0021335238576346794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0.8708127000000001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-0.18373107566550695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-2.2599546</v>
      </c>
      <c r="I25" s="102" t="s">
        <v>49</v>
      </c>
      <c r="J25" s="103"/>
      <c r="K25" s="102"/>
      <c r="L25" s="105">
        <v>4.128383526288344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0.7657624133185521</v>
      </c>
      <c r="I26" s="107" t="s">
        <v>53</v>
      </c>
      <c r="J26" s="108"/>
      <c r="K26" s="107"/>
      <c r="L26" s="110">
        <v>0.37180793443747584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HCMQAP0102_pos1ap2res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-7.7779407E-05</v>
      </c>
      <c r="L2" s="55">
        <v>1.927293274903075E-07</v>
      </c>
      <c r="M2" s="55">
        <v>0.00011624256999999999</v>
      </c>
      <c r="N2" s="56">
        <v>2.005795343578472E-07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-2.9435033000000002E-05</v>
      </c>
      <c r="L3" s="55">
        <v>2.450841635761164E-07</v>
      </c>
      <c r="M3" s="55">
        <v>1.263057E-05</v>
      </c>
      <c r="N3" s="56">
        <v>1.1139885816299753E-07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-0.0037606835628194715</v>
      </c>
      <c r="L4" s="55">
        <v>-2.3546986932285213E-06</v>
      </c>
      <c r="M4" s="55">
        <v>3.7771158826426295E-08</v>
      </c>
      <c r="N4" s="56">
        <v>0.31306786999999997</v>
      </c>
    </row>
    <row r="5" spans="1:14" ht="15" customHeight="1" thickBot="1">
      <c r="A5" t="s">
        <v>18</v>
      </c>
      <c r="B5" s="59">
        <v>37902.86645833333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2372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-0.7211972099999999</v>
      </c>
      <c r="E8" s="78">
        <v>0.010739201776645455</v>
      </c>
      <c r="F8" s="78">
        <v>0.46856267999999995</v>
      </c>
      <c r="G8" s="78">
        <v>0.009307914182813546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0.36970051000000004</v>
      </c>
      <c r="E9" s="80">
        <v>0.027208412226688405</v>
      </c>
      <c r="F9" s="80">
        <v>0.5503616900000001</v>
      </c>
      <c r="G9" s="80">
        <v>0.033539948828572315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0.49341419000000003</v>
      </c>
      <c r="E10" s="80">
        <v>0.005235796917890646</v>
      </c>
      <c r="F10" s="80">
        <v>-0.9438157800000001</v>
      </c>
      <c r="G10" s="80">
        <v>0.0062543201112165775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4.960892100000001</v>
      </c>
      <c r="E11" s="78">
        <v>0.004080587585380198</v>
      </c>
      <c r="F11" s="78">
        <v>-0.16281533</v>
      </c>
      <c r="G11" s="78">
        <v>0.008657237909437085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0.13030735</v>
      </c>
      <c r="E12" s="80">
        <v>0.00386389155735538</v>
      </c>
      <c r="F12" s="80">
        <v>-0.06256283900000001</v>
      </c>
      <c r="G12" s="80">
        <v>0.0029908973547355428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20.721436</v>
      </c>
      <c r="D13" s="83">
        <v>0.19017341000000001</v>
      </c>
      <c r="E13" s="80">
        <v>0.0011755430869989393</v>
      </c>
      <c r="F13" s="80">
        <v>-0.068702251</v>
      </c>
      <c r="G13" s="80">
        <v>0.001492090710882871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-0.0037383098700000004</v>
      </c>
      <c r="E14" s="80">
        <v>0.003290451920051443</v>
      </c>
      <c r="F14" s="80">
        <v>0.16944212</v>
      </c>
      <c r="G14" s="80">
        <v>0.0017012432643801303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-0.06478303300000002</v>
      </c>
      <c r="E15" s="78">
        <v>0.001732096061696376</v>
      </c>
      <c r="F15" s="78">
        <v>0.101609141</v>
      </c>
      <c r="G15" s="78">
        <v>0.0025795735067786476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12.506599999999999</v>
      </c>
      <c r="D16" s="83">
        <v>0.036428934</v>
      </c>
      <c r="E16" s="80">
        <v>0.00253335657312072</v>
      </c>
      <c r="F16" s="80">
        <v>0.015150908299999998</v>
      </c>
      <c r="G16" s="80">
        <v>0.0033253242847834544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-0.20900000631809235</v>
      </c>
      <c r="D17" s="83">
        <v>0.028400531</v>
      </c>
      <c r="E17" s="80">
        <v>0.0012470868901460087</v>
      </c>
      <c r="F17" s="80">
        <v>0.042199169999999994</v>
      </c>
      <c r="G17" s="80">
        <v>0.0016233307916749414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74.76799774169922</v>
      </c>
      <c r="D18" s="83">
        <v>-0.05535202</v>
      </c>
      <c r="E18" s="80">
        <v>0.00044531928742182886</v>
      </c>
      <c r="F18" s="80">
        <v>0.103139154</v>
      </c>
      <c r="G18" s="80">
        <v>0.0016478592218585257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-0.36800000071525574</v>
      </c>
      <c r="D19" s="87">
        <v>-0.17965431</v>
      </c>
      <c r="E19" s="80">
        <v>0.0014000615087913315</v>
      </c>
      <c r="F19" s="80">
        <v>0.013688475</v>
      </c>
      <c r="G19" s="80">
        <v>0.0012508233645922937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-0.35191800000000006</v>
      </c>
      <c r="D20" s="89">
        <v>0.0016755010469999998</v>
      </c>
      <c r="E20" s="90">
        <v>0.0007884800926512837</v>
      </c>
      <c r="F20" s="90">
        <v>0.00042872435</v>
      </c>
      <c r="G20" s="90">
        <v>0.0013089678300597315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0.5252547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0.017937482803293874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-3.7606843</v>
      </c>
      <c r="I25" s="102" t="s">
        <v>49</v>
      </c>
      <c r="J25" s="103"/>
      <c r="K25" s="102"/>
      <c r="L25" s="105">
        <v>4.9635631616335285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0.8600444179230317</v>
      </c>
      <c r="I26" s="107" t="s">
        <v>53</v>
      </c>
      <c r="J26" s="108"/>
      <c r="K26" s="107"/>
      <c r="L26" s="110">
        <v>0.12050418623200179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HCMQAP0102_pos2ap2res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4.0762473E-05</v>
      </c>
      <c r="L2" s="55">
        <v>5.991269484727481E-07</v>
      </c>
      <c r="M2" s="55">
        <v>0.00014256989999999998</v>
      </c>
      <c r="N2" s="56">
        <v>7.480730044617961E-07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-2.8339589E-05</v>
      </c>
      <c r="L3" s="55">
        <v>1.9247417342086793E-07</v>
      </c>
      <c r="M3" s="55">
        <v>1.1003759999999998E-05</v>
      </c>
      <c r="N3" s="56">
        <v>1.527578161666186E-07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-0.0037607898872697235</v>
      </c>
      <c r="L4" s="55">
        <v>-3.709213056182246E-05</v>
      </c>
      <c r="M4" s="55">
        <v>6.423910117411234E-08</v>
      </c>
      <c r="N4" s="56">
        <v>4.9312683</v>
      </c>
    </row>
    <row r="5" spans="1:14" ht="15" customHeight="1" thickBot="1">
      <c r="A5" t="s">
        <v>18</v>
      </c>
      <c r="B5" s="59">
        <v>37902.87100694444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2372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-2.3508633</v>
      </c>
      <c r="E8" s="78">
        <v>0.013167912896869671</v>
      </c>
      <c r="F8" s="78">
        <v>-0.22611586</v>
      </c>
      <c r="G8" s="78">
        <v>0.01896063672188797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-0.10711153500000001</v>
      </c>
      <c r="E9" s="80">
        <v>0.020949952232907756</v>
      </c>
      <c r="F9" s="80">
        <v>1.4547488000000002</v>
      </c>
      <c r="G9" s="80">
        <v>0.02036858081605475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-0.5607286300000001</v>
      </c>
      <c r="E10" s="80">
        <v>0.009255377161119434</v>
      </c>
      <c r="F10" s="80">
        <v>-1.8649632000000005</v>
      </c>
      <c r="G10" s="80">
        <v>0.009932033470485657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4.7101377</v>
      </c>
      <c r="E11" s="78">
        <v>0.004163932379284463</v>
      </c>
      <c r="F11" s="78">
        <v>0.09187682300000001</v>
      </c>
      <c r="G11" s="78">
        <v>0.005076347432091044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0.052154559</v>
      </c>
      <c r="E12" s="80">
        <v>0.004899722661073211</v>
      </c>
      <c r="F12" s="80">
        <v>0.123793755</v>
      </c>
      <c r="G12" s="80">
        <v>0.008169161629834503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21.035767</v>
      </c>
      <c r="D13" s="83">
        <v>0.06805</v>
      </c>
      <c r="E13" s="80">
        <v>0.0023470860663407315</v>
      </c>
      <c r="F13" s="80">
        <v>0.1913168</v>
      </c>
      <c r="G13" s="80">
        <v>0.0033662069483311025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-0.082424591</v>
      </c>
      <c r="E14" s="80">
        <v>0.002446115060403893</v>
      </c>
      <c r="F14" s="80">
        <v>0.11119182999999999</v>
      </c>
      <c r="G14" s="80">
        <v>0.002775475048636156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-0.102629131</v>
      </c>
      <c r="E15" s="78">
        <v>0.003283788451478453</v>
      </c>
      <c r="F15" s="78">
        <v>0.036097280999999995</v>
      </c>
      <c r="G15" s="78">
        <v>0.0032728251723891802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12.506499999999999</v>
      </c>
      <c r="D16" s="83">
        <v>0.044706450999999994</v>
      </c>
      <c r="E16" s="80">
        <v>0.0021407766547528323</v>
      </c>
      <c r="F16" s="80">
        <v>0.00456097856</v>
      </c>
      <c r="G16" s="80">
        <v>0.0031789208021115426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0.4350000023841858</v>
      </c>
      <c r="D17" s="83">
        <v>0.069636191</v>
      </c>
      <c r="E17" s="80">
        <v>0.0023722558484159588</v>
      </c>
      <c r="F17" s="80">
        <v>-0.0142554296</v>
      </c>
      <c r="G17" s="80">
        <v>0.003120536196905437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22.3799991607666</v>
      </c>
      <c r="D18" s="83">
        <v>0.034318196</v>
      </c>
      <c r="E18" s="80">
        <v>0.0009555923091904259</v>
      </c>
      <c r="F18" s="80">
        <v>0.12554927999999999</v>
      </c>
      <c r="G18" s="80">
        <v>0.0009401607158377233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0.032999999821186066</v>
      </c>
      <c r="D19" s="87">
        <v>-0.17898518000000002</v>
      </c>
      <c r="E19" s="80">
        <v>0.0008093484123663483</v>
      </c>
      <c r="F19" s="80">
        <v>0.008906231999999998</v>
      </c>
      <c r="G19" s="80">
        <v>0.0018729154683560958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0.1778796</v>
      </c>
      <c r="D20" s="89">
        <v>0.0039639394</v>
      </c>
      <c r="E20" s="90">
        <v>0.0003878851999133855</v>
      </c>
      <c r="F20" s="90">
        <v>-0.0021669795999999996</v>
      </c>
      <c r="G20" s="90">
        <v>0.0014310647236957317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0.6462138000000001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0.28254109988890974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-3.7609727999999993</v>
      </c>
      <c r="I25" s="102" t="s">
        <v>49</v>
      </c>
      <c r="J25" s="103"/>
      <c r="K25" s="102"/>
      <c r="L25" s="105">
        <v>4.711033697986659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2.361712649208288</v>
      </c>
      <c r="I26" s="107" t="s">
        <v>53</v>
      </c>
      <c r="J26" s="108"/>
      <c r="K26" s="107"/>
      <c r="L26" s="110">
        <v>0.10879224340644934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HCMQAP0102_pos3ap2res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-3.9069041E-05</v>
      </c>
      <c r="L2" s="55">
        <v>1.0934519918307975E-06</v>
      </c>
      <c r="M2" s="55">
        <v>0.00013362273000000003</v>
      </c>
      <c r="N2" s="56">
        <v>4.5859956126323083E-07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-2.8957901E-05</v>
      </c>
      <c r="L3" s="55">
        <v>1.5283443700487343E-07</v>
      </c>
      <c r="M3" s="55">
        <v>1.0419210000000003E-05</v>
      </c>
      <c r="N3" s="56">
        <v>8.224120864866104E-08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-0.0037581766590799688</v>
      </c>
      <c r="L4" s="55">
        <v>-5.562560600490321E-05</v>
      </c>
      <c r="M4" s="55">
        <v>8.02057196547098E-08</v>
      </c>
      <c r="N4" s="56">
        <v>7.4000705</v>
      </c>
    </row>
    <row r="5" spans="1:14" ht="15" customHeight="1" thickBot="1">
      <c r="A5" t="s">
        <v>18</v>
      </c>
      <c r="B5" s="59">
        <v>37902.875659722224</v>
      </c>
      <c r="D5" s="60"/>
      <c r="E5" s="61" t="s">
        <v>76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2372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-2.3113256</v>
      </c>
      <c r="E8" s="78">
        <v>0.008621200881621723</v>
      </c>
      <c r="F8" s="78">
        <v>-0.08199270449999999</v>
      </c>
      <c r="G8" s="78">
        <v>0.008770009312683213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0.15216335399999997</v>
      </c>
      <c r="E9" s="80">
        <v>0.0263413573807611</v>
      </c>
      <c r="F9" s="80">
        <v>1.6875504</v>
      </c>
      <c r="G9" s="80">
        <v>0.01960944584989713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0.32818068</v>
      </c>
      <c r="E10" s="80">
        <v>0.01394547621727637</v>
      </c>
      <c r="F10" s="80">
        <v>-1.8600775999999999</v>
      </c>
      <c r="G10" s="80">
        <v>0.007445826195947438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4.686748</v>
      </c>
      <c r="E11" s="78">
        <v>0.00209201464956439</v>
      </c>
      <c r="F11" s="78">
        <v>0.15563403</v>
      </c>
      <c r="G11" s="78">
        <v>0.005689998562091055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0.13901777</v>
      </c>
      <c r="E12" s="80">
        <v>0.0031451069704534983</v>
      </c>
      <c r="F12" s="80">
        <v>0.17492913</v>
      </c>
      <c r="G12" s="80">
        <v>0.002847112451344928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21.420289</v>
      </c>
      <c r="D13" s="83">
        <v>0.05691059</v>
      </c>
      <c r="E13" s="80">
        <v>0.0037278335411134508</v>
      </c>
      <c r="F13" s="80">
        <v>0.15195743</v>
      </c>
      <c r="G13" s="80">
        <v>0.0027912524175724832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-0.13083050999999998</v>
      </c>
      <c r="E14" s="80">
        <v>0.0025770149942135005</v>
      </c>
      <c r="F14" s="80">
        <v>0.050879437000000007</v>
      </c>
      <c r="G14" s="80">
        <v>0.0024679116616354037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-0.066641866</v>
      </c>
      <c r="E15" s="78">
        <v>0.0026207482748111383</v>
      </c>
      <c r="F15" s="78">
        <v>-0.003562522</v>
      </c>
      <c r="G15" s="78">
        <v>0.0014636046998856272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12.506399999999998</v>
      </c>
      <c r="D16" s="83">
        <v>0.058228239</v>
      </c>
      <c r="E16" s="80">
        <v>0.0018916432517584352</v>
      </c>
      <c r="F16" s="80">
        <v>-0.01122015777</v>
      </c>
      <c r="G16" s="80">
        <v>0.0028819282109466375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-0.16500000655651093</v>
      </c>
      <c r="D17" s="83">
        <v>0.058208727</v>
      </c>
      <c r="E17" s="80">
        <v>0.0006567121934271052</v>
      </c>
      <c r="F17" s="80">
        <v>0.050439749</v>
      </c>
      <c r="G17" s="80">
        <v>0.002844110188358371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122.06999969482422</v>
      </c>
      <c r="D18" s="83">
        <v>-0.03133361</v>
      </c>
      <c r="E18" s="80">
        <v>0.0008286851319711792</v>
      </c>
      <c r="F18" s="80">
        <v>0.12011433</v>
      </c>
      <c r="G18" s="80">
        <v>0.0013846726373410037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-0.4399999976158142</v>
      </c>
      <c r="D19" s="87">
        <v>-0.17756674</v>
      </c>
      <c r="E19" s="80">
        <v>0.001595680454665</v>
      </c>
      <c r="F19" s="80">
        <v>0.0038939684400000002</v>
      </c>
      <c r="G19" s="80">
        <v>0.0010626758554349463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-0.1856301</v>
      </c>
      <c r="D20" s="89">
        <v>0.0010650020180000002</v>
      </c>
      <c r="E20" s="90">
        <v>0.001155363151580473</v>
      </c>
      <c r="F20" s="90">
        <v>-0.0049876154</v>
      </c>
      <c r="G20" s="90">
        <v>0.0013384588161290342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0.6016902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0.4239931658809711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-3.7585883</v>
      </c>
      <c r="I25" s="102" t="s">
        <v>49</v>
      </c>
      <c r="J25" s="103"/>
      <c r="K25" s="102"/>
      <c r="L25" s="105">
        <v>4.689331377371196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2.3127794604774974</v>
      </c>
      <c r="I26" s="107" t="s">
        <v>53</v>
      </c>
      <c r="J26" s="108"/>
      <c r="K26" s="107"/>
      <c r="L26" s="110">
        <v>0.0667370202133901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HCMQAP0102_pos4ap2res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1.2564896E-05</v>
      </c>
      <c r="L2" s="55">
        <v>3.4084956029601703E-07</v>
      </c>
      <c r="M2" s="55">
        <v>0.00011024903500000002</v>
      </c>
      <c r="N2" s="56">
        <v>2.1729477995989493E-07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-3.1098564E-05</v>
      </c>
      <c r="L3" s="55">
        <v>6.83137968068925E-08</v>
      </c>
      <c r="M3" s="55">
        <v>9.943264999999998E-06</v>
      </c>
      <c r="N3" s="56">
        <v>1.4023609521085537E-07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-0.002087782949847782</v>
      </c>
      <c r="L4" s="55">
        <v>-4.832267539473277E-05</v>
      </c>
      <c r="M4" s="55">
        <v>1.0956980157768908E-07</v>
      </c>
      <c r="N4" s="56">
        <v>11.570659000000001</v>
      </c>
    </row>
    <row r="5" spans="1:14" ht="15" customHeight="1" thickBot="1">
      <c r="A5" t="s">
        <v>18</v>
      </c>
      <c r="B5" s="59">
        <v>37902.88023148148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2372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-2.9833441</v>
      </c>
      <c r="E8" s="78">
        <v>0.018479755683951302</v>
      </c>
      <c r="F8" s="115">
        <v>7.3029289</v>
      </c>
      <c r="G8" s="78">
        <v>0.02934198093249702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7">
        <v>-2.7450148</v>
      </c>
      <c r="E9" s="80">
        <v>0.05180802598207467</v>
      </c>
      <c r="F9" s="80">
        <v>2.496248</v>
      </c>
      <c r="G9" s="80">
        <v>0.049015738189897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-0.7858212699999999</v>
      </c>
      <c r="E10" s="80">
        <v>0.015987381714451136</v>
      </c>
      <c r="F10" s="84">
        <v>-8.6320414</v>
      </c>
      <c r="G10" s="80">
        <v>0.006648697129985648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14.781684000000002</v>
      </c>
      <c r="E11" s="78">
        <v>0.00373999652194965</v>
      </c>
      <c r="F11" s="115">
        <v>2.0024355</v>
      </c>
      <c r="G11" s="78">
        <v>0.011206402183547093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-0.14066142</v>
      </c>
      <c r="E12" s="80">
        <v>0.0035931400930936993</v>
      </c>
      <c r="F12" s="80">
        <v>0.54047453</v>
      </c>
      <c r="G12" s="80">
        <v>0.0054105034004794696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21.7865</v>
      </c>
      <c r="D13" s="83">
        <v>-0.04871001900000001</v>
      </c>
      <c r="E13" s="80">
        <v>0.004643552391581673</v>
      </c>
      <c r="F13" s="80">
        <v>-0.17813856</v>
      </c>
      <c r="G13" s="80">
        <v>0.004231969174439178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0.22265945</v>
      </c>
      <c r="E14" s="80">
        <v>0.004267757271096623</v>
      </c>
      <c r="F14" s="80">
        <v>0.28253204000000004</v>
      </c>
      <c r="G14" s="80">
        <v>0.003989985415435339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-0.27832600999999996</v>
      </c>
      <c r="E15" s="78">
        <v>0.00213479709092594</v>
      </c>
      <c r="F15" s="78">
        <v>0.20504189999999997</v>
      </c>
      <c r="G15" s="78">
        <v>0.0017772806607314739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12.506599999999999</v>
      </c>
      <c r="D16" s="83">
        <v>-0.0004508887999999997</v>
      </c>
      <c r="E16" s="80">
        <v>0.002726100274561037</v>
      </c>
      <c r="F16" s="80">
        <v>0.0044365954999999995</v>
      </c>
      <c r="G16" s="80">
        <v>0.0025615744687471414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0.38499999046325684</v>
      </c>
      <c r="D17" s="83">
        <v>0.097494484</v>
      </c>
      <c r="E17" s="80">
        <v>0.0025114134514720166</v>
      </c>
      <c r="F17" s="80">
        <v>0.014950038199999998</v>
      </c>
      <c r="G17" s="80">
        <v>0.003994558092083099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-9.154999732971191</v>
      </c>
      <c r="D18" s="83">
        <v>-0.024081263</v>
      </c>
      <c r="E18" s="80">
        <v>0.003661707554079929</v>
      </c>
      <c r="F18" s="80">
        <v>0.11390036</v>
      </c>
      <c r="G18" s="80">
        <v>0.0032114131710819453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0.04100000113248825</v>
      </c>
      <c r="D19" s="83">
        <v>-0.13627111</v>
      </c>
      <c r="E19" s="80">
        <v>0.001803292573155786</v>
      </c>
      <c r="F19" s="80">
        <v>-0.032815905</v>
      </c>
      <c r="G19" s="80">
        <v>0.0015475256534060661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0.0814678</v>
      </c>
      <c r="D20" s="89">
        <v>0.0011867768300000002</v>
      </c>
      <c r="E20" s="90">
        <v>0.0016630353635200949</v>
      </c>
      <c r="F20" s="90">
        <v>0.0078416591</v>
      </c>
      <c r="G20" s="90">
        <v>0.0012454306751462855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0.8995899000000002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0.6629504868553822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-2.0883421</v>
      </c>
      <c r="I25" s="102" t="s">
        <v>49</v>
      </c>
      <c r="J25" s="103"/>
      <c r="K25" s="102"/>
      <c r="L25" s="105">
        <v>14.916699695559883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7.8887966469836215</v>
      </c>
      <c r="I26" s="107" t="s">
        <v>53</v>
      </c>
      <c r="J26" s="108"/>
      <c r="K26" s="107"/>
      <c r="L26" s="110">
        <v>0.34569863840942455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HCMQAP0102_pos5ap2res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68</v>
      </c>
      <c r="C1" s="121" t="s">
        <v>72</v>
      </c>
      <c r="D1" s="121" t="s">
        <v>74</v>
      </c>
      <c r="E1" s="121" t="s">
        <v>77</v>
      </c>
      <c r="F1" s="128" t="s">
        <v>80</v>
      </c>
      <c r="G1" s="163" t="s">
        <v>120</v>
      </c>
    </row>
    <row r="2" spans="1:7" ht="13.5" thickBot="1">
      <c r="A2" s="140" t="s">
        <v>89</v>
      </c>
      <c r="B2" s="132">
        <v>-2.2599546</v>
      </c>
      <c r="C2" s="123">
        <v>-3.7606843</v>
      </c>
      <c r="D2" s="123">
        <v>-3.7609727999999993</v>
      </c>
      <c r="E2" s="123">
        <v>-3.7585883</v>
      </c>
      <c r="F2" s="129">
        <v>-2.0883421</v>
      </c>
      <c r="G2" s="164">
        <v>3.1169119035628428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8" t="s">
        <v>121</v>
      </c>
    </row>
    <row r="4" spans="1:7" ht="12.75">
      <c r="A4" s="145" t="s">
        <v>90</v>
      </c>
      <c r="B4" s="146">
        <v>-0.67698187</v>
      </c>
      <c r="C4" s="147">
        <v>-0.7211972099999999</v>
      </c>
      <c r="D4" s="147">
        <v>-2.3508633</v>
      </c>
      <c r="E4" s="147">
        <v>-2.3113256</v>
      </c>
      <c r="F4" s="152">
        <v>-2.9833441</v>
      </c>
      <c r="G4" s="159">
        <v>-1.7916732415085113</v>
      </c>
    </row>
    <row r="5" spans="1:7" ht="12.75">
      <c r="A5" s="140" t="s">
        <v>92</v>
      </c>
      <c r="B5" s="134">
        <v>0.325439617</v>
      </c>
      <c r="C5" s="119">
        <v>0.36970051000000004</v>
      </c>
      <c r="D5" s="119">
        <v>-0.10711153500000001</v>
      </c>
      <c r="E5" s="119">
        <v>0.15216335399999997</v>
      </c>
      <c r="F5" s="153">
        <v>-2.7450148</v>
      </c>
      <c r="G5" s="160">
        <v>-0.21995963887833075</v>
      </c>
    </row>
    <row r="6" spans="1:7" ht="12.75">
      <c r="A6" s="140" t="s">
        <v>94</v>
      </c>
      <c r="B6" s="134">
        <v>-1.4066246999999998</v>
      </c>
      <c r="C6" s="119">
        <v>0.49341419000000003</v>
      </c>
      <c r="D6" s="119">
        <v>-0.5607286300000001</v>
      </c>
      <c r="E6" s="119">
        <v>0.32818068</v>
      </c>
      <c r="F6" s="154">
        <v>-0.7858212699999999</v>
      </c>
      <c r="G6" s="160">
        <v>-0.24569058595696458</v>
      </c>
    </row>
    <row r="7" spans="1:7" ht="12.75">
      <c r="A7" s="140" t="s">
        <v>96</v>
      </c>
      <c r="B7" s="133">
        <v>4.1208799</v>
      </c>
      <c r="C7" s="117">
        <v>4.960892100000001</v>
      </c>
      <c r="D7" s="117">
        <v>4.7101377</v>
      </c>
      <c r="E7" s="117">
        <v>4.686748</v>
      </c>
      <c r="F7" s="155">
        <v>14.781684000000002</v>
      </c>
      <c r="G7" s="160">
        <v>6.025438514729786</v>
      </c>
    </row>
    <row r="8" spans="1:7" ht="12.75">
      <c r="A8" s="140" t="s">
        <v>98</v>
      </c>
      <c r="B8" s="134">
        <v>0.024873307000000004</v>
      </c>
      <c r="C8" s="119">
        <v>0.13030735</v>
      </c>
      <c r="D8" s="119">
        <v>0.052154559</v>
      </c>
      <c r="E8" s="119">
        <v>0.13901777</v>
      </c>
      <c r="F8" s="154">
        <v>-0.14066142</v>
      </c>
      <c r="G8" s="160">
        <v>0.06214083310232574</v>
      </c>
    </row>
    <row r="9" spans="1:7" ht="12.75">
      <c r="A9" s="140" t="s">
        <v>100</v>
      </c>
      <c r="B9" s="134">
        <v>0.2171173</v>
      </c>
      <c r="C9" s="119">
        <v>0.19017341000000001</v>
      </c>
      <c r="D9" s="119">
        <v>0.06805</v>
      </c>
      <c r="E9" s="119">
        <v>0.05691059</v>
      </c>
      <c r="F9" s="154">
        <v>-0.04871001900000001</v>
      </c>
      <c r="G9" s="160">
        <v>0.10071137035422134</v>
      </c>
    </row>
    <row r="10" spans="1:7" ht="12.75">
      <c r="A10" s="140" t="s">
        <v>102</v>
      </c>
      <c r="B10" s="134">
        <v>0.0285752856</v>
      </c>
      <c r="C10" s="119">
        <v>-0.0037383098700000004</v>
      </c>
      <c r="D10" s="119">
        <v>-0.082424591</v>
      </c>
      <c r="E10" s="119">
        <v>-0.13083050999999998</v>
      </c>
      <c r="F10" s="154">
        <v>0.22265945</v>
      </c>
      <c r="G10" s="160">
        <v>-0.018314268780830364</v>
      </c>
    </row>
    <row r="11" spans="1:7" ht="12.75">
      <c r="A11" s="140" t="s">
        <v>104</v>
      </c>
      <c r="B11" s="133">
        <v>-0.37165886</v>
      </c>
      <c r="C11" s="117">
        <v>-0.06478303300000002</v>
      </c>
      <c r="D11" s="117">
        <v>-0.102629131</v>
      </c>
      <c r="E11" s="117">
        <v>-0.066641866</v>
      </c>
      <c r="F11" s="156">
        <v>-0.27832600999999996</v>
      </c>
      <c r="G11" s="160">
        <v>-0.1472476001214255</v>
      </c>
    </row>
    <row r="12" spans="1:7" ht="12.75">
      <c r="A12" s="140" t="s">
        <v>106</v>
      </c>
      <c r="B12" s="134">
        <v>-0.061720221000000006</v>
      </c>
      <c r="C12" s="119">
        <v>0.036428934</v>
      </c>
      <c r="D12" s="119">
        <v>0.044706450999999994</v>
      </c>
      <c r="E12" s="119">
        <v>0.058228239</v>
      </c>
      <c r="F12" s="154">
        <v>-0.0004508887999999997</v>
      </c>
      <c r="G12" s="160">
        <v>0.024542720255694712</v>
      </c>
    </row>
    <row r="13" spans="1:7" ht="12.75">
      <c r="A13" s="140" t="s">
        <v>108</v>
      </c>
      <c r="B13" s="134">
        <v>0.103569705</v>
      </c>
      <c r="C13" s="119">
        <v>0.028400531</v>
      </c>
      <c r="D13" s="119">
        <v>0.069636191</v>
      </c>
      <c r="E13" s="119">
        <v>0.058208727</v>
      </c>
      <c r="F13" s="154">
        <v>0.097494484</v>
      </c>
      <c r="G13" s="160">
        <v>0.06559489373230991</v>
      </c>
    </row>
    <row r="14" spans="1:7" ht="12.75">
      <c r="A14" s="140" t="s">
        <v>110</v>
      </c>
      <c r="B14" s="134">
        <v>0.07598765399999999</v>
      </c>
      <c r="C14" s="119">
        <v>-0.05535202</v>
      </c>
      <c r="D14" s="119">
        <v>0.034318196</v>
      </c>
      <c r="E14" s="119">
        <v>-0.03133361</v>
      </c>
      <c r="F14" s="154">
        <v>-0.024081263</v>
      </c>
      <c r="G14" s="160">
        <v>-0.004825982966929727</v>
      </c>
    </row>
    <row r="15" spans="1:7" ht="12.75">
      <c r="A15" s="140" t="s">
        <v>112</v>
      </c>
      <c r="B15" s="135">
        <v>-0.19756110999999998</v>
      </c>
      <c r="C15" s="118">
        <v>-0.17965431</v>
      </c>
      <c r="D15" s="118">
        <v>-0.17898518000000002</v>
      </c>
      <c r="E15" s="118">
        <v>-0.17756674</v>
      </c>
      <c r="F15" s="154">
        <v>-0.13627111</v>
      </c>
      <c r="G15" s="160">
        <v>-0.1757836160170638</v>
      </c>
    </row>
    <row r="16" spans="1:7" ht="12.75">
      <c r="A16" s="140" t="s">
        <v>114</v>
      </c>
      <c r="B16" s="134">
        <v>0.00028172808999999994</v>
      </c>
      <c r="C16" s="119">
        <v>0.0016755010469999998</v>
      </c>
      <c r="D16" s="119">
        <v>0.0039639394</v>
      </c>
      <c r="E16" s="119">
        <v>0.0010650020180000002</v>
      </c>
      <c r="F16" s="154">
        <v>0.0011867768300000002</v>
      </c>
      <c r="G16" s="160">
        <v>0.0018125357694755305</v>
      </c>
    </row>
    <row r="17" spans="1:7" ht="12.75">
      <c r="A17" s="140" t="s">
        <v>91</v>
      </c>
      <c r="B17" s="133">
        <v>-0.35789330999999996</v>
      </c>
      <c r="C17" s="117">
        <v>0.46856267999999995</v>
      </c>
      <c r="D17" s="117">
        <v>-0.22611586</v>
      </c>
      <c r="E17" s="117">
        <v>-0.08199270449999999</v>
      </c>
      <c r="F17" s="155">
        <v>7.3029289</v>
      </c>
      <c r="G17" s="160">
        <v>0.9627075284422868</v>
      </c>
    </row>
    <row r="18" spans="1:7" ht="12.75">
      <c r="A18" s="140" t="s">
        <v>93</v>
      </c>
      <c r="B18" s="135">
        <v>3.3157586</v>
      </c>
      <c r="C18" s="119">
        <v>0.5503616900000001</v>
      </c>
      <c r="D18" s="119">
        <v>1.4547488000000002</v>
      </c>
      <c r="E18" s="119">
        <v>1.6875504</v>
      </c>
      <c r="F18" s="154">
        <v>2.496248</v>
      </c>
      <c r="G18" s="160">
        <v>1.7013933829846988</v>
      </c>
    </row>
    <row r="19" spans="1:7" ht="12.75">
      <c r="A19" s="140" t="s">
        <v>95</v>
      </c>
      <c r="B19" s="134">
        <v>-1.535875</v>
      </c>
      <c r="C19" s="119">
        <v>-0.9438157800000001</v>
      </c>
      <c r="D19" s="119">
        <v>-1.8649632000000005</v>
      </c>
      <c r="E19" s="119">
        <v>-1.8600775999999999</v>
      </c>
      <c r="F19" s="153">
        <v>-8.6320414</v>
      </c>
      <c r="G19" s="161">
        <v>-2.49878702341847</v>
      </c>
    </row>
    <row r="20" spans="1:7" ht="12.75">
      <c r="A20" s="140" t="s">
        <v>97</v>
      </c>
      <c r="B20" s="133">
        <v>0.24879588</v>
      </c>
      <c r="C20" s="117">
        <v>-0.16281533</v>
      </c>
      <c r="D20" s="117">
        <v>0.09187682300000001</v>
      </c>
      <c r="E20" s="117">
        <v>0.15563403</v>
      </c>
      <c r="F20" s="155">
        <v>2.0024355</v>
      </c>
      <c r="G20" s="160">
        <v>0.3239106462665217</v>
      </c>
    </row>
    <row r="21" spans="1:7" ht="12.75">
      <c r="A21" s="140" t="s">
        <v>99</v>
      </c>
      <c r="B21" s="134">
        <v>-0.122727468</v>
      </c>
      <c r="C21" s="119">
        <v>-0.06256283900000001</v>
      </c>
      <c r="D21" s="119">
        <v>0.123793755</v>
      </c>
      <c r="E21" s="119">
        <v>0.17492913</v>
      </c>
      <c r="F21" s="154">
        <v>0.54047453</v>
      </c>
      <c r="G21" s="160">
        <v>0.11127907122220157</v>
      </c>
    </row>
    <row r="22" spans="1:7" ht="12.75">
      <c r="A22" s="140" t="s">
        <v>101</v>
      </c>
      <c r="B22" s="134">
        <v>-0.015242427000000003</v>
      </c>
      <c r="C22" s="119">
        <v>-0.068702251</v>
      </c>
      <c r="D22" s="119">
        <v>0.1913168</v>
      </c>
      <c r="E22" s="119">
        <v>0.15195743</v>
      </c>
      <c r="F22" s="154">
        <v>-0.17813856</v>
      </c>
      <c r="G22" s="160">
        <v>0.04004556351251467</v>
      </c>
    </row>
    <row r="23" spans="1:7" ht="12.75">
      <c r="A23" s="140" t="s">
        <v>103</v>
      </c>
      <c r="B23" s="134">
        <v>0.37834428999999997</v>
      </c>
      <c r="C23" s="119">
        <v>0.16944212</v>
      </c>
      <c r="D23" s="119">
        <v>0.11119182999999999</v>
      </c>
      <c r="E23" s="119">
        <v>0.050879437000000007</v>
      </c>
      <c r="F23" s="154">
        <v>0.28253204000000004</v>
      </c>
      <c r="G23" s="160">
        <v>0.17223021062046762</v>
      </c>
    </row>
    <row r="24" spans="1:7" ht="12.75">
      <c r="A24" s="140" t="s">
        <v>105</v>
      </c>
      <c r="B24" s="133">
        <v>0.01052767278</v>
      </c>
      <c r="C24" s="117">
        <v>0.101609141</v>
      </c>
      <c r="D24" s="117">
        <v>0.036097280999999995</v>
      </c>
      <c r="E24" s="117">
        <v>-0.003562522</v>
      </c>
      <c r="F24" s="156">
        <v>0.20504189999999997</v>
      </c>
      <c r="G24" s="160">
        <v>0.061200873902556546</v>
      </c>
    </row>
    <row r="25" spans="1:7" ht="12.75">
      <c r="A25" s="140" t="s">
        <v>107</v>
      </c>
      <c r="B25" s="134">
        <v>-0.0187697066</v>
      </c>
      <c r="C25" s="119">
        <v>0.015150908299999998</v>
      </c>
      <c r="D25" s="119">
        <v>0.00456097856</v>
      </c>
      <c r="E25" s="119">
        <v>-0.01122015777</v>
      </c>
      <c r="F25" s="154">
        <v>0.0044365954999999995</v>
      </c>
      <c r="G25" s="160">
        <v>-7.639932366967555E-05</v>
      </c>
    </row>
    <row r="26" spans="1:7" ht="12.75">
      <c r="A26" s="140" t="s">
        <v>109</v>
      </c>
      <c r="B26" s="134">
        <v>-0.12738957</v>
      </c>
      <c r="C26" s="119">
        <v>0.042199169999999994</v>
      </c>
      <c r="D26" s="119">
        <v>-0.0142554296</v>
      </c>
      <c r="E26" s="119">
        <v>0.050439749</v>
      </c>
      <c r="F26" s="154">
        <v>0.014950038199999998</v>
      </c>
      <c r="G26" s="160">
        <v>0.002430928795117685</v>
      </c>
    </row>
    <row r="27" spans="1:7" ht="12.75">
      <c r="A27" s="140" t="s">
        <v>111</v>
      </c>
      <c r="B27" s="135">
        <v>0.17167654999999998</v>
      </c>
      <c r="C27" s="119">
        <v>0.103139154</v>
      </c>
      <c r="D27" s="119">
        <v>0.12554927999999999</v>
      </c>
      <c r="E27" s="119">
        <v>0.12011433</v>
      </c>
      <c r="F27" s="154">
        <v>0.11390036</v>
      </c>
      <c r="G27" s="161">
        <v>0.12396330081107124</v>
      </c>
    </row>
    <row r="28" spans="1:7" ht="12.75">
      <c r="A28" s="140" t="s">
        <v>113</v>
      </c>
      <c r="B28" s="134">
        <v>-0.00043231622</v>
      </c>
      <c r="C28" s="119">
        <v>0.013688475</v>
      </c>
      <c r="D28" s="119">
        <v>0.008906231999999998</v>
      </c>
      <c r="E28" s="119">
        <v>0.0038939684400000002</v>
      </c>
      <c r="F28" s="154">
        <v>-0.032815905</v>
      </c>
      <c r="G28" s="160">
        <v>0.0019260979278381456</v>
      </c>
    </row>
    <row r="29" spans="1:7" ht="13.5" thickBot="1">
      <c r="A29" s="141" t="s">
        <v>115</v>
      </c>
      <c r="B29" s="136">
        <v>-0.0005635427499999999</v>
      </c>
      <c r="C29" s="120">
        <v>0.00042872435</v>
      </c>
      <c r="D29" s="120">
        <v>-0.0021669795999999996</v>
      </c>
      <c r="E29" s="120">
        <v>-0.0049876154</v>
      </c>
      <c r="F29" s="157">
        <v>0.0078416591</v>
      </c>
      <c r="G29" s="162">
        <v>-0.0006514722500445533</v>
      </c>
    </row>
    <row r="30" spans="1:7" ht="13.5" thickTop="1">
      <c r="A30" s="142" t="s">
        <v>116</v>
      </c>
      <c r="B30" s="137">
        <v>-0.18373107566550695</v>
      </c>
      <c r="C30" s="126">
        <v>0.017937482803293874</v>
      </c>
      <c r="D30" s="126">
        <v>0.28254109988890974</v>
      </c>
      <c r="E30" s="126">
        <v>0.4239931658809711</v>
      </c>
      <c r="F30" s="122">
        <v>0.6629504868553822</v>
      </c>
      <c r="G30" s="163" t="s">
        <v>127</v>
      </c>
    </row>
    <row r="31" spans="1:7" ht="13.5" thickBot="1">
      <c r="A31" s="143" t="s">
        <v>117</v>
      </c>
      <c r="B31" s="132">
        <v>20.431519</v>
      </c>
      <c r="C31" s="123">
        <v>20.721436</v>
      </c>
      <c r="D31" s="123">
        <v>21.035767</v>
      </c>
      <c r="E31" s="123">
        <v>21.420289</v>
      </c>
      <c r="F31" s="124">
        <v>21.7865</v>
      </c>
      <c r="G31" s="165">
        <v>-210.03</v>
      </c>
    </row>
    <row r="32" spans="1:7" ht="15.75" thickBot="1" thickTop="1">
      <c r="A32" s="144" t="s">
        <v>118</v>
      </c>
      <c r="B32" s="138">
        <v>0.25999999791383743</v>
      </c>
      <c r="C32" s="127">
        <v>-0.28850000351667404</v>
      </c>
      <c r="D32" s="127">
        <v>0.23400000110268593</v>
      </c>
      <c r="E32" s="127">
        <v>-0.30250000208616257</v>
      </c>
      <c r="F32" s="125">
        <v>0.21299999579787254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5.5" style="169" bestFit="1" customWidth="1"/>
    <col min="4" max="4" width="16" style="169" bestFit="1" customWidth="1"/>
    <col min="5" max="5" width="21.33203125" style="169" bestFit="1" customWidth="1"/>
    <col min="6" max="6" width="14.83203125" style="169" bestFit="1" customWidth="1"/>
    <col min="7" max="7" width="15.3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128</v>
      </c>
      <c r="B1" s="169" t="s">
        <v>129</v>
      </c>
      <c r="C1" s="169" t="s">
        <v>130</v>
      </c>
      <c r="D1" s="169" t="s">
        <v>131</v>
      </c>
      <c r="E1" s="169" t="s">
        <v>132</v>
      </c>
    </row>
    <row r="3" spans="1:7" ht="12.75">
      <c r="A3" s="169" t="s">
        <v>133</v>
      </c>
      <c r="B3" s="169" t="s">
        <v>83</v>
      </c>
      <c r="C3" s="169" t="s">
        <v>84</v>
      </c>
      <c r="D3" s="169" t="s">
        <v>85</v>
      </c>
      <c r="E3" s="169" t="s">
        <v>86</v>
      </c>
      <c r="F3" s="169" t="s">
        <v>87</v>
      </c>
      <c r="G3" s="169" t="s">
        <v>134</v>
      </c>
    </row>
    <row r="4" spans="1:7" ht="12.75">
      <c r="A4" s="169" t="s">
        <v>135</v>
      </c>
      <c r="B4" s="169">
        <v>0.002259</v>
      </c>
      <c r="C4" s="169">
        <v>0.003759</v>
      </c>
      <c r="D4" s="169">
        <v>0.003759</v>
      </c>
      <c r="E4" s="169">
        <v>0.003757</v>
      </c>
      <c r="F4" s="169">
        <v>0.002087</v>
      </c>
      <c r="G4" s="169">
        <v>0.011713</v>
      </c>
    </row>
    <row r="5" spans="1:7" ht="12.75">
      <c r="A5" s="169" t="s">
        <v>136</v>
      </c>
      <c r="B5" s="169">
        <v>7.216658</v>
      </c>
      <c r="C5" s="169">
        <v>3.590392</v>
      </c>
      <c r="D5" s="169">
        <v>-0.558777</v>
      </c>
      <c r="E5" s="169">
        <v>-3.390916</v>
      </c>
      <c r="F5" s="169">
        <v>-7.172585</v>
      </c>
      <c r="G5" s="169">
        <v>-4.135247</v>
      </c>
    </row>
    <row r="6" spans="1:7" ht="12.75">
      <c r="A6" s="169" t="s">
        <v>137</v>
      </c>
      <c r="B6" s="170">
        <v>-214.3626</v>
      </c>
      <c r="C6" s="170">
        <v>219.7505</v>
      </c>
      <c r="D6" s="170">
        <v>-98.29903</v>
      </c>
      <c r="E6" s="170">
        <v>111.5584</v>
      </c>
      <c r="F6" s="170">
        <v>-54.66864</v>
      </c>
      <c r="G6" s="170">
        <v>791.8763</v>
      </c>
    </row>
    <row r="7" spans="1:7" ht="12.75">
      <c r="A7" s="169" t="s">
        <v>138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90</v>
      </c>
      <c r="B8" s="170">
        <v>-0.7638588</v>
      </c>
      <c r="C8" s="170">
        <v>-0.7302364</v>
      </c>
      <c r="D8" s="170">
        <v>-2.347986</v>
      </c>
      <c r="E8" s="170">
        <v>-2.293617</v>
      </c>
      <c r="F8" s="170">
        <v>-2.960578</v>
      </c>
      <c r="G8" s="170">
        <v>0.9935864</v>
      </c>
    </row>
    <row r="9" spans="1:7" ht="12.75">
      <c r="A9" s="169" t="s">
        <v>92</v>
      </c>
      <c r="B9" s="170">
        <v>0.1813582</v>
      </c>
      <c r="C9" s="170">
        <v>0.3037463</v>
      </c>
      <c r="D9" s="170">
        <v>-0.1370598</v>
      </c>
      <c r="E9" s="170">
        <v>0.1348256</v>
      </c>
      <c r="F9" s="170">
        <v>-2.296262</v>
      </c>
      <c r="G9" s="170">
        <v>0.2080811</v>
      </c>
    </row>
    <row r="10" spans="1:7" ht="12.75">
      <c r="A10" s="169" t="s">
        <v>139</v>
      </c>
      <c r="B10" s="170">
        <v>-0.8696378</v>
      </c>
      <c r="C10" s="170">
        <v>0.01999159</v>
      </c>
      <c r="D10" s="170">
        <v>-0.2939569</v>
      </c>
      <c r="E10" s="170">
        <v>0.06583809</v>
      </c>
      <c r="F10" s="170">
        <v>-0.7471429</v>
      </c>
      <c r="G10" s="170">
        <v>2.403875</v>
      </c>
    </row>
    <row r="11" spans="1:7" ht="12.75">
      <c r="A11" s="169" t="s">
        <v>96</v>
      </c>
      <c r="B11" s="170">
        <v>4.115598</v>
      </c>
      <c r="C11" s="170">
        <v>4.945703</v>
      </c>
      <c r="D11" s="170">
        <v>4.713904</v>
      </c>
      <c r="E11" s="170">
        <v>4.682953</v>
      </c>
      <c r="F11" s="170">
        <v>14.80788</v>
      </c>
      <c r="G11" s="170">
        <v>6.024499</v>
      </c>
    </row>
    <row r="12" spans="1:7" ht="12.75">
      <c r="A12" s="169" t="s">
        <v>98</v>
      </c>
      <c r="B12" s="170">
        <v>0.06259338</v>
      </c>
      <c r="C12" s="170">
        <v>0.09956535</v>
      </c>
      <c r="D12" s="170">
        <v>0.06066575</v>
      </c>
      <c r="E12" s="170">
        <v>0.1426239</v>
      </c>
      <c r="F12" s="170">
        <v>-0.1010208</v>
      </c>
      <c r="G12" s="170">
        <v>0.1119647</v>
      </c>
    </row>
    <row r="13" spans="1:7" ht="12.75">
      <c r="A13" s="169" t="s">
        <v>100</v>
      </c>
      <c r="B13" s="170">
        <v>0.178478</v>
      </c>
      <c r="C13" s="170">
        <v>0.2024436</v>
      </c>
      <c r="D13" s="170">
        <v>0.06198092</v>
      </c>
      <c r="E13" s="170">
        <v>0.07223906</v>
      </c>
      <c r="F13" s="170">
        <v>-0.07456359</v>
      </c>
      <c r="G13" s="170">
        <v>-0.09684682</v>
      </c>
    </row>
    <row r="14" spans="1:7" ht="12.75">
      <c r="A14" s="169" t="s">
        <v>102</v>
      </c>
      <c r="B14" s="170">
        <v>-0.07675024</v>
      </c>
      <c r="C14" s="170">
        <v>0.01072291</v>
      </c>
      <c r="D14" s="170">
        <v>-0.09175455</v>
      </c>
      <c r="E14" s="170">
        <v>-0.123214</v>
      </c>
      <c r="F14" s="170">
        <v>0.1994083</v>
      </c>
      <c r="G14" s="170">
        <v>-0.1615243</v>
      </c>
    </row>
    <row r="15" spans="1:7" ht="12.75">
      <c r="A15" s="169" t="s">
        <v>104</v>
      </c>
      <c r="B15" s="170">
        <v>-0.3764286</v>
      </c>
      <c r="C15" s="170">
        <v>-0.07376152</v>
      </c>
      <c r="D15" s="170">
        <v>-0.09627411</v>
      </c>
      <c r="E15" s="170">
        <v>-0.07285754</v>
      </c>
      <c r="F15" s="170">
        <v>-0.2656487</v>
      </c>
      <c r="G15" s="170">
        <v>-0.1483665</v>
      </c>
    </row>
    <row r="16" spans="1:7" ht="12.75">
      <c r="A16" s="169" t="s">
        <v>106</v>
      </c>
      <c r="B16" s="170">
        <v>-0.02246395</v>
      </c>
      <c r="C16" s="170">
        <v>0.03057845</v>
      </c>
      <c r="D16" s="170">
        <v>0.05313587</v>
      </c>
      <c r="E16" s="170">
        <v>0.05253054</v>
      </c>
      <c r="F16" s="170">
        <v>0.004230721</v>
      </c>
      <c r="G16" s="170">
        <v>-0.005773122</v>
      </c>
    </row>
    <row r="17" spans="1:7" ht="12.75">
      <c r="A17" s="169" t="s">
        <v>108</v>
      </c>
      <c r="B17" s="170">
        <v>0.1062867</v>
      </c>
      <c r="C17" s="170">
        <v>0.05018504</v>
      </c>
      <c r="D17" s="170">
        <v>0.07666226</v>
      </c>
      <c r="E17" s="170">
        <v>0.06943215</v>
      </c>
      <c r="F17" s="170">
        <v>0.08003717</v>
      </c>
      <c r="G17" s="170">
        <v>-0.07328657</v>
      </c>
    </row>
    <row r="18" spans="1:7" ht="12.75">
      <c r="A18" s="169" t="s">
        <v>140</v>
      </c>
      <c r="B18" s="170">
        <v>0.04128645</v>
      </c>
      <c r="C18" s="170">
        <v>-0.04558668</v>
      </c>
      <c r="D18" s="170">
        <v>0.02703395</v>
      </c>
      <c r="E18" s="170">
        <v>-0.01864716</v>
      </c>
      <c r="F18" s="170">
        <v>-0.01566623</v>
      </c>
      <c r="G18" s="170">
        <v>-0.1245006</v>
      </c>
    </row>
    <row r="19" spans="1:7" ht="12.75">
      <c r="A19" s="169" t="s">
        <v>112</v>
      </c>
      <c r="B19" s="170">
        <v>-0.1966556</v>
      </c>
      <c r="C19" s="170">
        <v>-0.1801171</v>
      </c>
      <c r="D19" s="170">
        <v>-0.1788968</v>
      </c>
      <c r="E19" s="170">
        <v>-0.1772448</v>
      </c>
      <c r="F19" s="170">
        <v>-0.1388731</v>
      </c>
      <c r="G19" s="170">
        <v>-0.1760129</v>
      </c>
    </row>
    <row r="20" spans="1:7" ht="12.75">
      <c r="A20" s="169" t="s">
        <v>114</v>
      </c>
      <c r="B20" s="170">
        <v>0.0002769176</v>
      </c>
      <c r="C20" s="170">
        <v>0.001673093</v>
      </c>
      <c r="D20" s="170">
        <v>0.003951765</v>
      </c>
      <c r="E20" s="170">
        <v>0.0008399686</v>
      </c>
      <c r="F20" s="170">
        <v>0.002019546</v>
      </c>
      <c r="G20" s="170">
        <v>-0.0006677041</v>
      </c>
    </row>
    <row r="21" spans="1:7" ht="12.75">
      <c r="A21" s="169" t="s">
        <v>141</v>
      </c>
      <c r="B21" s="170">
        <v>-910.5354</v>
      </c>
      <c r="C21" s="170">
        <v>-704.1755</v>
      </c>
      <c r="D21" s="170">
        <v>-775.5035</v>
      </c>
      <c r="E21" s="170">
        <v>-751.1083</v>
      </c>
      <c r="F21" s="170">
        <v>-924.2734</v>
      </c>
      <c r="G21" s="170">
        <v>17.75274</v>
      </c>
    </row>
    <row r="22" spans="1:7" ht="12.75">
      <c r="A22" s="169" t="s">
        <v>142</v>
      </c>
      <c r="B22" s="170">
        <v>144.3432</v>
      </c>
      <c r="C22" s="170">
        <v>71.80908</v>
      </c>
      <c r="D22" s="170">
        <v>-11.17555</v>
      </c>
      <c r="E22" s="170">
        <v>-67.81937</v>
      </c>
      <c r="F22" s="170">
        <v>-143.4615</v>
      </c>
      <c r="G22" s="170">
        <v>0</v>
      </c>
    </row>
    <row r="23" spans="1:7" ht="12.75">
      <c r="A23" s="169" t="s">
        <v>91</v>
      </c>
      <c r="B23" s="170">
        <v>-0.1262663</v>
      </c>
      <c r="C23" s="170">
        <v>0.4192114</v>
      </c>
      <c r="D23" s="170">
        <v>-0.1704376</v>
      </c>
      <c r="E23" s="170">
        <v>-0.1087715</v>
      </c>
      <c r="F23" s="170">
        <v>7.320292</v>
      </c>
      <c r="G23" s="170">
        <v>1.798432</v>
      </c>
    </row>
    <row r="24" spans="1:7" ht="12.75">
      <c r="A24" s="169" t="s">
        <v>93</v>
      </c>
      <c r="B24" s="170">
        <v>3.134805</v>
      </c>
      <c r="C24" s="170">
        <v>0.6296323</v>
      </c>
      <c r="D24" s="170">
        <v>1.3722</v>
      </c>
      <c r="E24" s="170">
        <v>1.758847</v>
      </c>
      <c r="F24" s="170">
        <v>2.350903</v>
      </c>
      <c r="G24" s="170">
        <v>-1.672139</v>
      </c>
    </row>
    <row r="25" spans="1:7" ht="12.75">
      <c r="A25" s="169" t="s">
        <v>95</v>
      </c>
      <c r="B25" s="170">
        <v>-1.294367</v>
      </c>
      <c r="C25" s="170">
        <v>-1.143838</v>
      </c>
      <c r="D25" s="170">
        <v>-1.896507</v>
      </c>
      <c r="E25" s="170">
        <v>-1.966714</v>
      </c>
      <c r="F25" s="170">
        <v>-7.574211</v>
      </c>
      <c r="G25" s="170">
        <v>-0.275665</v>
      </c>
    </row>
    <row r="26" spans="1:7" ht="12.75">
      <c r="A26" s="169" t="s">
        <v>97</v>
      </c>
      <c r="B26" s="170">
        <v>0.4126486</v>
      </c>
      <c r="C26" s="170">
        <v>-0.05576119</v>
      </c>
      <c r="D26" s="170">
        <v>0.0841544</v>
      </c>
      <c r="E26" s="170">
        <v>0.04536549</v>
      </c>
      <c r="F26" s="170">
        <v>1.376002</v>
      </c>
      <c r="G26" s="170">
        <v>0.2613084</v>
      </c>
    </row>
    <row r="27" spans="1:7" ht="12.75">
      <c r="A27" s="169" t="s">
        <v>99</v>
      </c>
      <c r="B27" s="170">
        <v>-0.1034853</v>
      </c>
      <c r="C27" s="170">
        <v>-0.06210318</v>
      </c>
      <c r="D27" s="170">
        <v>0.1371345</v>
      </c>
      <c r="E27" s="170">
        <v>0.1574379</v>
      </c>
      <c r="F27" s="170">
        <v>0.5313959</v>
      </c>
      <c r="G27" s="170">
        <v>-0.06841019</v>
      </c>
    </row>
    <row r="28" spans="1:7" ht="12.75">
      <c r="A28" s="169" t="s">
        <v>101</v>
      </c>
      <c r="B28" s="170">
        <v>0.06367971</v>
      </c>
      <c r="C28" s="170">
        <v>-0.08890714</v>
      </c>
      <c r="D28" s="170">
        <v>0.202941</v>
      </c>
      <c r="E28" s="170">
        <v>0.150412</v>
      </c>
      <c r="F28" s="170">
        <v>-0.1418373</v>
      </c>
      <c r="G28" s="170">
        <v>-0.05387453</v>
      </c>
    </row>
    <row r="29" spans="1:7" ht="12.75">
      <c r="A29" s="169" t="s">
        <v>103</v>
      </c>
      <c r="B29" s="170">
        <v>0.3345941</v>
      </c>
      <c r="C29" s="170">
        <v>0.1575737</v>
      </c>
      <c r="D29" s="170">
        <v>0.1165748</v>
      </c>
      <c r="E29" s="170">
        <v>0.05818278</v>
      </c>
      <c r="F29" s="170">
        <v>0.2483132</v>
      </c>
      <c r="G29" s="170">
        <v>-0.03358732</v>
      </c>
    </row>
    <row r="30" spans="1:7" ht="12.75">
      <c r="A30" s="169" t="s">
        <v>105</v>
      </c>
      <c r="B30" s="170">
        <v>-0.02625599</v>
      </c>
      <c r="C30" s="170">
        <v>0.09457888</v>
      </c>
      <c r="D30" s="170">
        <v>0.03669039</v>
      </c>
      <c r="E30" s="170">
        <v>-0.001398683</v>
      </c>
      <c r="F30" s="170">
        <v>0.2249514</v>
      </c>
      <c r="G30" s="170">
        <v>0.05751254</v>
      </c>
    </row>
    <row r="31" spans="1:7" ht="12.75">
      <c r="A31" s="169" t="s">
        <v>107</v>
      </c>
      <c r="B31" s="170">
        <v>-0.03406201</v>
      </c>
      <c r="C31" s="170">
        <v>0.005469613</v>
      </c>
      <c r="D31" s="170">
        <v>0.002389122</v>
      </c>
      <c r="E31" s="170">
        <v>-0.02068713</v>
      </c>
      <c r="F31" s="170">
        <v>0.01673244</v>
      </c>
      <c r="G31" s="170">
        <v>-0.03009627</v>
      </c>
    </row>
    <row r="32" spans="1:7" ht="12.75">
      <c r="A32" s="169" t="s">
        <v>109</v>
      </c>
      <c r="B32" s="170">
        <v>-0.06135009</v>
      </c>
      <c r="C32" s="170">
        <v>0.02399581</v>
      </c>
      <c r="D32" s="170">
        <v>0.001809555</v>
      </c>
      <c r="E32" s="170">
        <v>0.03444197</v>
      </c>
      <c r="F32" s="170">
        <v>0.01175933</v>
      </c>
      <c r="G32" s="170">
        <v>-0.007194143</v>
      </c>
    </row>
    <row r="33" spans="1:7" ht="12.75">
      <c r="A33" s="169" t="s">
        <v>111</v>
      </c>
      <c r="B33" s="170">
        <v>0.1670177</v>
      </c>
      <c r="C33" s="170">
        <v>0.106332</v>
      </c>
      <c r="D33" s="170">
        <v>0.1270407</v>
      </c>
      <c r="E33" s="170">
        <v>0.1238562</v>
      </c>
      <c r="F33" s="170">
        <v>0.107797</v>
      </c>
      <c r="G33" s="170">
        <v>-0.00507346</v>
      </c>
    </row>
    <row r="34" spans="1:7" ht="12.75">
      <c r="A34" s="169" t="s">
        <v>113</v>
      </c>
      <c r="B34" s="170">
        <v>-0.02038816</v>
      </c>
      <c r="C34" s="170">
        <v>0.004634693</v>
      </c>
      <c r="D34" s="170">
        <v>0.01027645</v>
      </c>
      <c r="E34" s="170">
        <v>0.01234874</v>
      </c>
      <c r="F34" s="170">
        <v>-0.01892636</v>
      </c>
      <c r="G34" s="170">
        <v>0.001078897</v>
      </c>
    </row>
    <row r="35" spans="1:7" ht="12.75">
      <c r="A35" s="169" t="s">
        <v>115</v>
      </c>
      <c r="B35" s="170">
        <v>-0.0005349148</v>
      </c>
      <c r="C35" s="170">
        <v>0.0005191312</v>
      </c>
      <c r="D35" s="170">
        <v>-0.002199788</v>
      </c>
      <c r="E35" s="170">
        <v>-0.00503377</v>
      </c>
      <c r="F35" s="170">
        <v>0.007668645</v>
      </c>
      <c r="G35" s="170">
        <v>-0.001865527</v>
      </c>
    </row>
    <row r="36" spans="1:6" ht="12.75">
      <c r="A36" s="169" t="s">
        <v>143</v>
      </c>
      <c r="B36" s="170">
        <v>21.7865</v>
      </c>
      <c r="C36" s="170">
        <v>21.78345</v>
      </c>
      <c r="D36" s="170">
        <v>21.79565</v>
      </c>
      <c r="E36" s="170">
        <v>21.79565</v>
      </c>
      <c r="F36" s="170">
        <v>21.80481</v>
      </c>
    </row>
    <row r="37" spans="1:6" ht="12.75">
      <c r="A37" s="169" t="s">
        <v>144</v>
      </c>
      <c r="B37" s="170">
        <v>0.1968384</v>
      </c>
      <c r="C37" s="170">
        <v>0.1602173</v>
      </c>
      <c r="D37" s="170">
        <v>0.1459758</v>
      </c>
      <c r="E37" s="170">
        <v>0.1358032</v>
      </c>
      <c r="F37" s="170">
        <v>0.1174927</v>
      </c>
    </row>
    <row r="38" spans="1:7" ht="12.75">
      <c r="A38" s="169" t="s">
        <v>145</v>
      </c>
      <c r="B38" s="170">
        <v>0.0003866788</v>
      </c>
      <c r="C38" s="170">
        <v>-0.0003649608</v>
      </c>
      <c r="D38" s="170">
        <v>0.0001656348</v>
      </c>
      <c r="E38" s="170">
        <v>-0.0001982999</v>
      </c>
      <c r="F38" s="170">
        <v>7.03806E-05</v>
      </c>
      <c r="G38" s="170">
        <v>-1.787249E-05</v>
      </c>
    </row>
    <row r="39" spans="1:7" ht="12.75">
      <c r="A39" s="169" t="s">
        <v>146</v>
      </c>
      <c r="B39" s="170">
        <v>0.001542329</v>
      </c>
      <c r="C39" s="170">
        <v>0.001199719</v>
      </c>
      <c r="D39" s="170">
        <v>0.001318541</v>
      </c>
      <c r="E39" s="170">
        <v>0.001275539</v>
      </c>
      <c r="F39" s="170">
        <v>0.001572274</v>
      </c>
      <c r="G39" s="170">
        <v>0.0006730173</v>
      </c>
    </row>
    <row r="40" spans="2:5" ht="12.75">
      <c r="B40" s="169" t="s">
        <v>147</v>
      </c>
      <c r="C40" s="169">
        <v>0.003758</v>
      </c>
      <c r="D40" s="169" t="s">
        <v>148</v>
      </c>
      <c r="E40" s="169">
        <v>3.116912</v>
      </c>
    </row>
    <row r="42" ht="12.75">
      <c r="A42" s="169" t="s">
        <v>149</v>
      </c>
    </row>
    <row r="50" spans="1:7" ht="12.75">
      <c r="A50" s="169" t="s">
        <v>150</v>
      </c>
      <c r="B50" s="169">
        <f>-0.017/(B7*B7+B22*B22)*(B21*B22+B6*B7)</f>
        <v>0.0003866788864804242</v>
      </c>
      <c r="C50" s="169">
        <f>-0.017/(C7*C7+C22*C22)*(C21*C22+C6*C7)</f>
        <v>-0.00036496077751873055</v>
      </c>
      <c r="D50" s="169">
        <f>-0.017/(D7*D7+D22*D22)*(D21*D22+D6*D7)</f>
        <v>0.00016563480885015212</v>
      </c>
      <c r="E50" s="169">
        <f>-0.017/(E7*E7+E22*E22)*(E21*E22+E6*E7)</f>
        <v>-0.00019829990685164912</v>
      </c>
      <c r="F50" s="169">
        <f>-0.017/(F7*F7+F22*F22)*(F21*F22+F6*F7)</f>
        <v>7.038060260242509E-05</v>
      </c>
      <c r="G50" s="169">
        <f>(B50*B$4+C50*C$4+D50*D$4+E50*E$4+F50*F$4)/SUM(B$4:F$4)</f>
        <v>-3.0336543375986972E-05</v>
      </c>
    </row>
    <row r="51" spans="1:7" ht="12.75">
      <c r="A51" s="169" t="s">
        <v>151</v>
      </c>
      <c r="B51" s="169">
        <f>-0.017/(B7*B7+B22*B22)*(B21*B7-B6*B22)</f>
        <v>0.0015423287332152979</v>
      </c>
      <c r="C51" s="169">
        <f>-0.017/(C7*C7+C22*C22)*(C21*C7-C6*C22)</f>
        <v>0.0011997190997669706</v>
      </c>
      <c r="D51" s="169">
        <f>-0.017/(D7*D7+D22*D22)*(D21*D7-D6*D22)</f>
        <v>0.0013185410560088047</v>
      </c>
      <c r="E51" s="169">
        <f>-0.017/(E7*E7+E22*E22)*(E21*E7-E6*E22)</f>
        <v>0.0012755392525246264</v>
      </c>
      <c r="F51" s="169">
        <f>-0.017/(F7*F7+F22*F22)*(F21*F7-F6*F22)</f>
        <v>0.0015722744706820248</v>
      </c>
      <c r="G51" s="169">
        <f>(B51*B$4+C51*C$4+D51*D$4+E51*E$4+F51*F$4)/SUM(B$4:F$4)</f>
        <v>0.0013458676349748994</v>
      </c>
    </row>
    <row r="58" ht="12.75">
      <c r="A58" s="169" t="s">
        <v>153</v>
      </c>
    </row>
    <row r="60" spans="2:6" ht="12.75">
      <c r="B60" s="169" t="s">
        <v>83</v>
      </c>
      <c r="C60" s="169" t="s">
        <v>84</v>
      </c>
      <c r="D60" s="169" t="s">
        <v>85</v>
      </c>
      <c r="E60" s="169" t="s">
        <v>86</v>
      </c>
      <c r="F60" s="169" t="s">
        <v>87</v>
      </c>
    </row>
    <row r="61" spans="1:6" ht="12.75">
      <c r="A61" s="169" t="s">
        <v>155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158</v>
      </c>
      <c r="B62" s="169">
        <f>B7+(2/0.017)*(B8*B50-B23*B51)</f>
        <v>9999.98816189086</v>
      </c>
      <c r="C62" s="169">
        <f>C7+(2/0.017)*(C8*C50-C23*C51)</f>
        <v>9999.972184908342</v>
      </c>
      <c r="D62" s="169">
        <f>D7+(2/0.017)*(D8*D50-D23*D51)</f>
        <v>9999.980684795388</v>
      </c>
      <c r="E62" s="169">
        <f>E7+(2/0.017)*(E8*E50-E23*E51)</f>
        <v>10000.069831335913</v>
      </c>
      <c r="F62" s="169">
        <f>F7+(2/0.017)*(F8*F50-F23*F51)</f>
        <v>9998.621426412561</v>
      </c>
    </row>
    <row r="63" spans="1:6" ht="12.75">
      <c r="A63" s="169" t="s">
        <v>159</v>
      </c>
      <c r="B63" s="169">
        <f>B8+(3/0.017)*(B9*B50-B24*B51)</f>
        <v>-1.604700994887686</v>
      </c>
      <c r="C63" s="169">
        <f>C8+(3/0.017)*(C9*C50-C24*C51)</f>
        <v>-0.8831018203452903</v>
      </c>
      <c r="D63" s="169">
        <f>D8+(3/0.017)*(D9*D50-D24*D51)</f>
        <v>-2.67128080779341</v>
      </c>
      <c r="E63" s="169">
        <f>E8+(3/0.017)*(E9*E50-E24*E51)</f>
        <v>-2.694243051459953</v>
      </c>
      <c r="F63" s="169">
        <f>F8+(3/0.017)*(F9*F50-F24*F51)</f>
        <v>-3.6413798364546177</v>
      </c>
    </row>
    <row r="64" spans="1:6" ht="12.75">
      <c r="A64" s="169" t="s">
        <v>160</v>
      </c>
      <c r="B64" s="169">
        <f>B9+(4/0.017)*(B10*B50-B25*B51)</f>
        <v>0.5719626327718587</v>
      </c>
      <c r="C64" s="169">
        <f>C9+(4/0.017)*(C10*C50-C25*C51)</f>
        <v>0.6249199822138862</v>
      </c>
      <c r="D64" s="169">
        <f>D9+(4/0.017)*(D10*D50-D25*D51)</f>
        <v>0.439865575897978</v>
      </c>
      <c r="E64" s="169">
        <f>E9+(4/0.017)*(E10*E50-E25*E51)</f>
        <v>0.7220174160883359</v>
      </c>
      <c r="F64" s="169">
        <f>F9+(4/0.017)*(F10*F50-F25*F51)</f>
        <v>0.4934213466651398</v>
      </c>
    </row>
    <row r="65" spans="1:6" ht="12.75">
      <c r="A65" s="169" t="s">
        <v>161</v>
      </c>
      <c r="B65" s="169">
        <f>B10+(5/0.017)*(B11*B50-B26*B51)</f>
        <v>-0.5887627825470603</v>
      </c>
      <c r="C65" s="169">
        <f>C10+(5/0.017)*(C11*C50-C26*C51)</f>
        <v>-0.49121130634940685</v>
      </c>
      <c r="D65" s="169">
        <f>D10+(5/0.017)*(D11*D50-D26*D51)</f>
        <v>-0.09694938337229997</v>
      </c>
      <c r="E65" s="169">
        <f>E10+(5/0.017)*(E11*E50-E26*E51)</f>
        <v>-0.22430738261637184</v>
      </c>
      <c r="F65" s="169">
        <f>F10+(5/0.017)*(F11*F50-F26*F51)</f>
        <v>-1.0769268113361792</v>
      </c>
    </row>
    <row r="66" spans="1:6" ht="12.75">
      <c r="A66" s="169" t="s">
        <v>162</v>
      </c>
      <c r="B66" s="169">
        <f>B11+(6/0.017)*(B12*B50-B27*B51)</f>
        <v>4.180472784753477</v>
      </c>
      <c r="C66" s="169">
        <f>C11+(6/0.017)*(C12*C50-C27*C51)</f>
        <v>4.959174384818473</v>
      </c>
      <c r="D66" s="169">
        <f>D11+(6/0.017)*(D12*D50-D27*D51)</f>
        <v>4.653632549926975</v>
      </c>
      <c r="E66" s="169">
        <f>E11+(6/0.017)*(E12*E50-E27*E51)</f>
        <v>4.602093990340047</v>
      </c>
      <c r="F66" s="169">
        <f>F11+(6/0.017)*(F12*F50-F27*F51)</f>
        <v>14.510488195703127</v>
      </c>
    </row>
    <row r="67" spans="1:6" ht="12.75">
      <c r="A67" s="169" t="s">
        <v>163</v>
      </c>
      <c r="B67" s="169">
        <f>B12+(7/0.017)*(B13*B50-B28*B51)</f>
        <v>0.05056928558341467</v>
      </c>
      <c r="C67" s="169">
        <f>C12+(7/0.017)*(C13*C50-C28*C51)</f>
        <v>0.1130628407133974</v>
      </c>
      <c r="D67" s="169">
        <f>D12+(7/0.017)*(D13*D50-D28*D51)</f>
        <v>-0.045289479310381416</v>
      </c>
      <c r="E67" s="169">
        <f>E12+(7/0.017)*(E13*E50-E28*E51)</f>
        <v>0.057725672797735675</v>
      </c>
      <c r="F67" s="169">
        <f>F12+(7/0.017)*(F13*F50-F28*F51)</f>
        <v>-0.011355191312442836</v>
      </c>
    </row>
    <row r="68" spans="1:6" ht="12.75">
      <c r="A68" s="169" t="s">
        <v>164</v>
      </c>
      <c r="B68" s="169">
        <f>B13+(8/0.017)*(B14*B50-B29*B51)</f>
        <v>-0.0783369608162908</v>
      </c>
      <c r="C68" s="169">
        <f>C13+(8/0.017)*(C14*C50-C29*C51)</f>
        <v>0.11164001454973456</v>
      </c>
      <c r="D68" s="169">
        <f>D13+(8/0.017)*(D14*D50-D29*D51)</f>
        <v>-0.017504448115951483</v>
      </c>
      <c r="E68" s="169">
        <f>E13+(8/0.017)*(E14*E50-E29*E51)</f>
        <v>0.04881266235850085</v>
      </c>
      <c r="F68" s="169">
        <f>F13+(8/0.017)*(F14*F50-F29*F51)</f>
        <v>-0.25168454471785157</v>
      </c>
    </row>
    <row r="69" spans="1:6" ht="12.75">
      <c r="A69" s="169" t="s">
        <v>165</v>
      </c>
      <c r="B69" s="169">
        <f>B14+(9/0.017)*(B15*B50-B30*B51)</f>
        <v>-0.13237109981307904</v>
      </c>
      <c r="C69" s="169">
        <f>C14+(9/0.017)*(C15*C50-C30*C51)</f>
        <v>-0.03509663374844968</v>
      </c>
      <c r="D69" s="169">
        <f>D14+(9/0.017)*(D15*D50-D30*D51)</f>
        <v>-0.12580850084984652</v>
      </c>
      <c r="E69" s="169">
        <f>E14+(9/0.017)*(E15*E50-E30*E51)</f>
        <v>-0.1146207372838816</v>
      </c>
      <c r="F69" s="169">
        <f>F14+(9/0.017)*(F15*F50-F30*F51)</f>
        <v>0.0022649629084364187</v>
      </c>
    </row>
    <row r="70" spans="1:6" ht="12.75">
      <c r="A70" s="169" t="s">
        <v>166</v>
      </c>
      <c r="B70" s="169">
        <f>B15+(10/0.017)*(B16*B50-B31*B51)</f>
        <v>-0.35063537555169716</v>
      </c>
      <c r="C70" s="169">
        <f>C15+(10/0.017)*(C16*C50-C31*C51)</f>
        <v>-0.08418618710103021</v>
      </c>
      <c r="D70" s="169">
        <f>D15+(10/0.017)*(D16*D50-D31*D51)</f>
        <v>-0.0929499957495749</v>
      </c>
      <c r="E70" s="169">
        <f>E15+(10/0.017)*(E16*E50-E31*E51)</f>
        <v>-0.0634631605010512</v>
      </c>
      <c r="F70" s="169">
        <f>F15+(10/0.017)*(F16*F50-F31*F51)</f>
        <v>-0.2809488338534094</v>
      </c>
    </row>
    <row r="71" spans="1:6" ht="12.75">
      <c r="A71" s="169" t="s">
        <v>167</v>
      </c>
      <c r="B71" s="169">
        <f>B16+(11/0.017)*(B17*B50-B32*B51)</f>
        <v>0.06535541019742691</v>
      </c>
      <c r="C71" s="169">
        <f>C16+(11/0.017)*(C17*C50-C32*C51)</f>
        <v>9.951878320785604E-05</v>
      </c>
      <c r="D71" s="169">
        <f>D16+(11/0.017)*(D17*D50-D32*D51)</f>
        <v>0.059808318730921246</v>
      </c>
      <c r="E71" s="169">
        <f>E16+(11/0.017)*(E17*E50-E32*E51)</f>
        <v>0.015194939469727137</v>
      </c>
      <c r="F71" s="169">
        <f>F16+(11/0.017)*(F17*F50-F32*F51)</f>
        <v>-0.00408775729749751</v>
      </c>
    </row>
    <row r="72" spans="1:6" ht="12.75">
      <c r="A72" s="169" t="s">
        <v>168</v>
      </c>
      <c r="B72" s="169">
        <f>B17+(12/0.017)*(B18*B50-B33*B51)</f>
        <v>-0.0642767817549197</v>
      </c>
      <c r="C72" s="169">
        <f>C17+(12/0.017)*(C18*C50-C33*C51)</f>
        <v>-0.02811932315702867</v>
      </c>
      <c r="D72" s="169">
        <f>D17+(12/0.017)*(D18*D50-D33*D51)</f>
        <v>-0.038418174536505784</v>
      </c>
      <c r="E72" s="169">
        <f>E17+(12/0.017)*(E18*E50-E33*E51)</f>
        <v>-0.03947541330175966</v>
      </c>
      <c r="F72" s="169">
        <f>F17+(12/0.017)*(F18*F50-F33*F51)</f>
        <v>-0.04037864399342475</v>
      </c>
    </row>
    <row r="73" spans="1:6" ht="12.75">
      <c r="A73" s="169" t="s">
        <v>169</v>
      </c>
      <c r="B73" s="169">
        <f>B18+(13/0.017)*(B19*B50-B34*B51)</f>
        <v>0.007182614426133188</v>
      </c>
      <c r="C73" s="169">
        <f>C18+(13/0.017)*(C19*C50-C34*C51)</f>
        <v>0.0004297619357596788</v>
      </c>
      <c r="D73" s="169">
        <f>D18+(13/0.017)*(D19*D50-D34*D51)</f>
        <v>-0.005987165328825435</v>
      </c>
      <c r="E73" s="169">
        <f>E18+(13/0.017)*(E19*E50-E34*E51)</f>
        <v>-0.003814676374744891</v>
      </c>
      <c r="F73" s="169">
        <f>F18+(13/0.017)*(F19*F50-F34*F51)</f>
        <v>-0.00038476044472247374</v>
      </c>
    </row>
    <row r="74" spans="1:6" ht="12.75">
      <c r="A74" s="169" t="s">
        <v>170</v>
      </c>
      <c r="B74" s="169">
        <f>B19+(14/0.017)*(B20*B50-B35*B51)</f>
        <v>-0.1958879942840543</v>
      </c>
      <c r="C74" s="169">
        <f>C19+(14/0.017)*(C20*C50-C35*C51)</f>
        <v>-0.1811328617137015</v>
      </c>
      <c r="D74" s="169">
        <f>D19+(14/0.017)*(D20*D50-D35*D51)</f>
        <v>-0.17596910300819077</v>
      </c>
      <c r="E74" s="169">
        <f>E19+(14/0.017)*(E20*E50-E35*E51)</f>
        <v>-0.17209427780043554</v>
      </c>
      <c r="F74" s="169">
        <f>F19+(14/0.017)*(F20*F50-F35*F51)</f>
        <v>-0.14868551708897887</v>
      </c>
    </row>
    <row r="75" spans="1:6" ht="12.75">
      <c r="A75" s="169" t="s">
        <v>171</v>
      </c>
      <c r="B75" s="170">
        <f>B20</f>
        <v>0.0002769176</v>
      </c>
      <c r="C75" s="170">
        <f>C20</f>
        <v>0.001673093</v>
      </c>
      <c r="D75" s="170">
        <f>D20</f>
        <v>0.003951765</v>
      </c>
      <c r="E75" s="170">
        <f>E20</f>
        <v>0.0008399686</v>
      </c>
      <c r="F75" s="170">
        <f>F20</f>
        <v>0.002019546</v>
      </c>
    </row>
    <row r="78" ht="12.75">
      <c r="A78" s="169" t="s">
        <v>153</v>
      </c>
    </row>
    <row r="80" spans="2:6" ht="12.75">
      <c r="B80" s="169" t="s">
        <v>83</v>
      </c>
      <c r="C80" s="169" t="s">
        <v>84</v>
      </c>
      <c r="D80" s="169" t="s">
        <v>85</v>
      </c>
      <c r="E80" s="169" t="s">
        <v>86</v>
      </c>
      <c r="F80" s="169" t="s">
        <v>87</v>
      </c>
    </row>
    <row r="81" spans="1:6" ht="12.75">
      <c r="A81" s="169" t="s">
        <v>172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173</v>
      </c>
      <c r="B82" s="169">
        <f>B22+(2/0.017)*(B8*B51+B23*B50)</f>
        <v>144.19885342498313</v>
      </c>
      <c r="C82" s="169">
        <f>C22+(2/0.017)*(C8*C51+C23*C50)</f>
        <v>71.68801243824544</v>
      </c>
      <c r="D82" s="169">
        <f>D22+(2/0.017)*(D8*D51+D23*D50)</f>
        <v>-11.543096628144795</v>
      </c>
      <c r="E82" s="169">
        <f>E22+(2/0.017)*(E8*E51+E23*E50)</f>
        <v>-68.16102048652232</v>
      </c>
      <c r="F82" s="169">
        <f>F22+(2/0.017)*(F8*F51+F23*F50)</f>
        <v>-143.9485158406679</v>
      </c>
    </row>
    <row r="83" spans="1:6" ht="12.75">
      <c r="A83" s="169" t="s">
        <v>174</v>
      </c>
      <c r="B83" s="169">
        <f>B23+(3/0.017)*(B9*B51+B24*B50)</f>
        <v>0.1370060887524952</v>
      </c>
      <c r="C83" s="169">
        <f>C23+(3/0.017)*(C9*C51+C24*C50)</f>
        <v>0.4429677195002309</v>
      </c>
      <c r="D83" s="169">
        <f>D23+(3/0.017)*(D9*D51+D24*D50)</f>
        <v>-0.16222022742191355</v>
      </c>
      <c r="E83" s="169">
        <f>E23+(3/0.017)*(E9*E51+E24*E50)</f>
        <v>-0.13997217962725617</v>
      </c>
      <c r="F83" s="169">
        <f>F23+(3/0.017)*(F9*F51+F24*F50)</f>
        <v>6.712369149859283</v>
      </c>
    </row>
    <row r="84" spans="1:6" ht="12.75">
      <c r="A84" s="169" t="s">
        <v>175</v>
      </c>
      <c r="B84" s="169">
        <f>B24+(4/0.017)*(B10*B51+B25*B50)</f>
        <v>2.7014469396030245</v>
      </c>
      <c r="C84" s="169">
        <f>C24+(4/0.017)*(C10*C51+C25*C50)</f>
        <v>0.7335006054572188</v>
      </c>
      <c r="D84" s="169">
        <f>D24+(4/0.017)*(D10*D51+D25*D50)</f>
        <v>1.2070889845235178</v>
      </c>
      <c r="E84" s="169">
        <f>E24+(4/0.017)*(E10*E51+E25*E50)</f>
        <v>1.8703712990847254</v>
      </c>
      <c r="F84" s="169">
        <f>F24+(4/0.017)*(F10*F51+F25*F50)</f>
        <v>1.9490697665790002</v>
      </c>
    </row>
    <row r="85" spans="1:6" ht="12.75">
      <c r="A85" s="169" t="s">
        <v>176</v>
      </c>
      <c r="B85" s="169">
        <f>B25+(5/0.017)*(B11*B51+B26*B50)</f>
        <v>0.6195058090938588</v>
      </c>
      <c r="C85" s="169">
        <f>C25+(5/0.017)*(C11*C51+C26*C50)</f>
        <v>0.6072811170978165</v>
      </c>
      <c r="D85" s="169">
        <f>D25+(5/0.017)*(D11*D51+D26*D50)</f>
        <v>-0.06432615998763835</v>
      </c>
      <c r="E85" s="169">
        <f>E25+(5/0.017)*(E11*E51+E26*E50)</f>
        <v>-0.21250976565097734</v>
      </c>
      <c r="F85" s="169">
        <f>F25+(5/0.017)*(F11*F51+F26*F50)</f>
        <v>-0.698065253274974</v>
      </c>
    </row>
    <row r="86" spans="1:6" ht="12.75">
      <c r="A86" s="169" t="s">
        <v>177</v>
      </c>
      <c r="B86" s="169">
        <f>B26+(6/0.017)*(B12*B51+B27*B50)</f>
        <v>0.4325982427924604</v>
      </c>
      <c r="C86" s="169">
        <f>C26+(6/0.017)*(C12*C51+C27*C50)</f>
        <v>-0.0056027157897050525</v>
      </c>
      <c r="D86" s="169">
        <f>D26+(6/0.017)*(D12*D51+D27*D50)</f>
        <v>0.12040305721040964</v>
      </c>
      <c r="E86" s="169">
        <f>E26+(6/0.017)*(E12*E51+E27*E50)</f>
        <v>0.09855459419760981</v>
      </c>
      <c r="F86" s="169">
        <f>F26+(6/0.017)*(F12*F51+F27*F50)</f>
        <v>1.3331434842874998</v>
      </c>
    </row>
    <row r="87" spans="1:6" ht="12.75">
      <c r="A87" s="169" t="s">
        <v>178</v>
      </c>
      <c r="B87" s="169">
        <f>B27+(7/0.017)*(B13*B51+B28*B50)</f>
        <v>0.020001019353351412</v>
      </c>
      <c r="C87" s="169">
        <f>C27+(7/0.017)*(C13*C51+C28*C50)</f>
        <v>0.05126514396521526</v>
      </c>
      <c r="D87" s="169">
        <f>D27+(7/0.017)*(D13*D51+D28*D50)</f>
        <v>0.18462681589202304</v>
      </c>
      <c r="E87" s="169">
        <f>E27+(7/0.017)*(E13*E51+E28*E50)</f>
        <v>0.18309787041428116</v>
      </c>
      <c r="F87" s="169">
        <f>F27+(7/0.017)*(F13*F51+F28*F50)</f>
        <v>0.4790124196756284</v>
      </c>
    </row>
    <row r="88" spans="1:6" ht="12.75">
      <c r="A88" s="169" t="s">
        <v>179</v>
      </c>
      <c r="B88" s="169">
        <f>B28+(8/0.017)*(B14*B51+B29*B50)</f>
        <v>0.068859179918941</v>
      </c>
      <c r="C88" s="169">
        <f>C28+(8/0.017)*(C14*C51+C29*C50)</f>
        <v>-0.1099159588877275</v>
      </c>
      <c r="D88" s="169">
        <f>D28+(8/0.017)*(D14*D51+D29*D50)</f>
        <v>0.15509474280665037</v>
      </c>
      <c r="E88" s="169">
        <f>E28+(8/0.017)*(E14*E51+E29*E50)</f>
        <v>0.07102285491061679</v>
      </c>
      <c r="F88" s="169">
        <f>F28+(8/0.017)*(F14*F51+F29*F50)</f>
        <v>0.013927882109288914</v>
      </c>
    </row>
    <row r="89" spans="1:6" ht="12.75">
      <c r="A89" s="169" t="s">
        <v>180</v>
      </c>
      <c r="B89" s="169">
        <f>B29+(9/0.017)*(B15*B51+B30*B50)</f>
        <v>0.021855067950244556</v>
      </c>
      <c r="C89" s="169">
        <f>C29+(9/0.017)*(C15*C51+C30*C50)</f>
        <v>0.09245039567167959</v>
      </c>
      <c r="D89" s="169">
        <f>D29+(9/0.017)*(D15*D51+D30*D50)</f>
        <v>0.05258789127160103</v>
      </c>
      <c r="E89" s="169">
        <f>E29+(9/0.017)*(E15*E51+E30*E50)</f>
        <v>0.00912997760976985</v>
      </c>
      <c r="F89" s="169">
        <f>F29+(9/0.017)*(F15*F51+F30*F50)</f>
        <v>0.03557413606914828</v>
      </c>
    </row>
    <row r="90" spans="1:6" ht="12.75">
      <c r="A90" s="169" t="s">
        <v>181</v>
      </c>
      <c r="B90" s="169">
        <f>B30+(10/0.017)*(B16*B51+B31*B50)</f>
        <v>-0.05438414037917463</v>
      </c>
      <c r="C90" s="169">
        <f>C30+(10/0.017)*(C16*C51+C31*C50)</f>
        <v>0.11498438370180164</v>
      </c>
      <c r="D90" s="169">
        <f>D30+(10/0.017)*(D16*D51+D31*D50)</f>
        <v>0.0781360064161978</v>
      </c>
      <c r="E90" s="169">
        <f>E30+(10/0.017)*(E16*E51+E31*E50)</f>
        <v>0.040428976810789975</v>
      </c>
      <c r="F90" s="169">
        <f>F30+(10/0.017)*(F16*F51+F31*F50)</f>
        <v>0.2295569846065219</v>
      </c>
    </row>
    <row r="91" spans="1:6" ht="12.75">
      <c r="A91" s="169" t="s">
        <v>182</v>
      </c>
      <c r="B91" s="169">
        <f>B31+(11/0.017)*(B17*B51+B32*B50)</f>
        <v>0.056659679158915656</v>
      </c>
      <c r="C91" s="169">
        <f>C31+(11/0.017)*(C17*C51+C32*C50)</f>
        <v>0.03876106222903261</v>
      </c>
      <c r="D91" s="169">
        <f>D31+(11/0.017)*(D17*D51+D32*D50)</f>
        <v>0.06798928012249729</v>
      </c>
      <c r="E91" s="169">
        <f>E31+(11/0.017)*(E17*E51+E32*E50)</f>
        <v>0.032199312703723226</v>
      </c>
      <c r="F91" s="169">
        <f>F31+(11/0.017)*(F17*F51+F32*F50)</f>
        <v>0.09869410506533048</v>
      </c>
    </row>
    <row r="92" spans="1:6" ht="12.75">
      <c r="A92" s="169" t="s">
        <v>183</v>
      </c>
      <c r="B92" s="169">
        <f>B32+(12/0.017)*(B18*B51+B33*B50)</f>
        <v>0.029186025095984662</v>
      </c>
      <c r="C92" s="169">
        <f>C32+(12/0.017)*(C18*C51+C33*C50)</f>
        <v>-0.04200293359017878</v>
      </c>
      <c r="D92" s="169">
        <f>D32+(12/0.017)*(D18*D51+D33*D50)</f>
        <v>0.04182442679419676</v>
      </c>
      <c r="E92" s="169">
        <f>E32+(12/0.017)*(E18*E51+E33*E50)</f>
        <v>0.00031548238745435914</v>
      </c>
      <c r="F92" s="169">
        <f>F32+(12/0.017)*(F18*F51+F33*F50)</f>
        <v>-0.0002722904673641696</v>
      </c>
    </row>
    <row r="93" spans="1:6" ht="12.75">
      <c r="A93" s="169" t="s">
        <v>184</v>
      </c>
      <c r="B93" s="169">
        <f>B33+(13/0.017)*(B19*B51+B34*B50)</f>
        <v>-0.07095208203767223</v>
      </c>
      <c r="C93" s="169">
        <f>C33+(13/0.017)*(C19*C51+C34*C50)</f>
        <v>-0.0602067224077185</v>
      </c>
      <c r="D93" s="169">
        <f>D33+(13/0.017)*(D19*D51+D34*D50)</f>
        <v>-0.05203861122608475</v>
      </c>
      <c r="E93" s="169">
        <f>E33+(13/0.017)*(E19*E51+E34*E50)</f>
        <v>-0.05090314694523279</v>
      </c>
      <c r="F93" s="169">
        <f>F33+(13/0.017)*(F19*F51+F34*F50)</f>
        <v>-0.06019257761249708</v>
      </c>
    </row>
    <row r="94" spans="1:6" ht="12.75">
      <c r="A94" s="169" t="s">
        <v>185</v>
      </c>
      <c r="B94" s="169">
        <f>B34+(14/0.017)*(B20*B51+B35*B50)</f>
        <v>-0.020206771296010603</v>
      </c>
      <c r="C94" s="169">
        <f>C34+(14/0.017)*(C20*C51+C35*C50)</f>
        <v>0.0061316875540942724</v>
      </c>
      <c r="D94" s="169">
        <f>D34+(14/0.017)*(D20*D51+D35*D50)</f>
        <v>0.014267440649312286</v>
      </c>
      <c r="E94" s="169">
        <f>E34+(14/0.017)*(E20*E51+E35*E50)</f>
        <v>0.01405312391718888</v>
      </c>
      <c r="F94" s="169">
        <f>F34+(14/0.017)*(F20*F51+F35*F50)</f>
        <v>-0.015866944550484173</v>
      </c>
    </row>
    <row r="95" spans="1:6" ht="12.75">
      <c r="A95" s="169" t="s">
        <v>186</v>
      </c>
      <c r="B95" s="170">
        <f>B35</f>
        <v>-0.0005349148</v>
      </c>
      <c r="C95" s="170">
        <f>C35</f>
        <v>0.0005191312</v>
      </c>
      <c r="D95" s="170">
        <f>D35</f>
        <v>-0.002199788</v>
      </c>
      <c r="E95" s="170">
        <f>E35</f>
        <v>-0.00503377</v>
      </c>
      <c r="F95" s="170">
        <f>F35</f>
        <v>0.007668645</v>
      </c>
    </row>
    <row r="98" ht="12.75">
      <c r="A98" s="169" t="s">
        <v>154</v>
      </c>
    </row>
    <row r="100" spans="2:11" ht="12.75">
      <c r="B100" s="169" t="s">
        <v>83</v>
      </c>
      <c r="C100" s="169" t="s">
        <v>84</v>
      </c>
      <c r="D100" s="169" t="s">
        <v>85</v>
      </c>
      <c r="E100" s="169" t="s">
        <v>86</v>
      </c>
      <c r="F100" s="169" t="s">
        <v>87</v>
      </c>
      <c r="G100" s="169" t="s">
        <v>156</v>
      </c>
      <c r="H100" s="169" t="s">
        <v>157</v>
      </c>
      <c r="I100" s="169" t="s">
        <v>152</v>
      </c>
      <c r="K100" s="169" t="s">
        <v>187</v>
      </c>
    </row>
    <row r="101" spans="1:9" ht="12.75">
      <c r="A101" s="169" t="s">
        <v>155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158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</v>
      </c>
    </row>
    <row r="103" spans="1:11" ht="12.75">
      <c r="A103" s="169" t="s">
        <v>159</v>
      </c>
      <c r="B103" s="169">
        <f>B63*10000/B62</f>
        <v>-1.6047028945524864</v>
      </c>
      <c r="C103" s="169">
        <f>C63*10000/C62</f>
        <v>-0.8831042767079303</v>
      </c>
      <c r="D103" s="169">
        <f>D63*10000/D62</f>
        <v>-2.671285967436914</v>
      </c>
      <c r="E103" s="169">
        <f>E63*10000/E62</f>
        <v>-2.6942242373321785</v>
      </c>
      <c r="F103" s="169">
        <f>F63*10000/F62</f>
        <v>-3.6418818966737505</v>
      </c>
      <c r="G103" s="169">
        <f>AVERAGE(C103:E103)</f>
        <v>-2.082871493825674</v>
      </c>
      <c r="H103" s="169">
        <f>STDEV(C103:E103)</f>
        <v>1.0390921867232419</v>
      </c>
      <c r="I103" s="169">
        <f>(B103*B4+C103*C4+D103*D4+E103*E4+F103*F4)/SUM(B4:F4)</f>
        <v>-2.221931037996905</v>
      </c>
      <c r="K103" s="169">
        <f>(LN(H103)+LN(H123))/2-LN(K114*K115^3)</f>
        <v>-4.394150459950584</v>
      </c>
    </row>
    <row r="104" spans="1:11" ht="12.75">
      <c r="A104" s="169" t="s">
        <v>160</v>
      </c>
      <c r="B104" s="169">
        <f>B64*10000/B62</f>
        <v>0.5719633098682673</v>
      </c>
      <c r="C104" s="169">
        <f>C64*10000/C62</f>
        <v>0.6249217204393795</v>
      </c>
      <c r="D104" s="169">
        <f>D64*10000/D62</f>
        <v>0.43986642550897903</v>
      </c>
      <c r="E104" s="169">
        <f>E64*10000/E62</f>
        <v>0.7220123741794724</v>
      </c>
      <c r="F104" s="169">
        <f>F64*10000/F62</f>
        <v>0.49348937780733254</v>
      </c>
      <c r="G104" s="169">
        <f>AVERAGE(C104:E104)</f>
        <v>0.5956001733759436</v>
      </c>
      <c r="H104" s="169">
        <f>STDEV(C104:E104)</f>
        <v>0.14334015114209314</v>
      </c>
      <c r="I104" s="169">
        <f>(B104*B4+C104*C4+D104*D4+E104*E4+F104*F4)/SUM(B4:F4)</f>
        <v>0.5785235630810112</v>
      </c>
      <c r="K104" s="169">
        <f>(LN(H104)+LN(H124))/2-LN(K114*K115^4)</f>
        <v>-4.538636504806071</v>
      </c>
    </row>
    <row r="105" spans="1:11" ht="12.75">
      <c r="A105" s="169" t="s">
        <v>161</v>
      </c>
      <c r="B105" s="169">
        <f>B65*10000/B62</f>
        <v>-0.5887634795316932</v>
      </c>
      <c r="C105" s="169">
        <f>C65*10000/C62</f>
        <v>-0.4912126726619582</v>
      </c>
      <c r="D105" s="169">
        <f>D65*10000/D62</f>
        <v>-0.09694957063237936</v>
      </c>
      <c r="E105" s="169">
        <f>E65*10000/E62</f>
        <v>-0.2243058162588916</v>
      </c>
      <c r="F105" s="169">
        <f>F65*10000/F62</f>
        <v>-1.0770752940913908</v>
      </c>
      <c r="G105" s="169">
        <f>AVERAGE(C105:E105)</f>
        <v>-0.27082268651774305</v>
      </c>
      <c r="H105" s="169">
        <f>STDEV(C105:E105)</f>
        <v>0.20120564808052896</v>
      </c>
      <c r="I105" s="169">
        <f>(B105*B4+C105*C4+D105*D4+E105*E4+F105*F4)/SUM(B4:F4)</f>
        <v>-0.4245241446295947</v>
      </c>
      <c r="K105" s="169">
        <f>(LN(H105)+LN(H125))/2-LN(K114*K115^5)</f>
        <v>-3.911711220423056</v>
      </c>
    </row>
    <row r="106" spans="1:11" ht="12.75">
      <c r="A106" s="169" t="s">
        <v>162</v>
      </c>
      <c r="B106" s="169">
        <f>B66*10000/B62</f>
        <v>4.180477733648644</v>
      </c>
      <c r="C106" s="169">
        <f>C66*10000/C62</f>
        <v>4.959188178845848</v>
      </c>
      <c r="D106" s="169">
        <f>D66*10000/D62</f>
        <v>4.653641538530826</v>
      </c>
      <c r="E106" s="169">
        <f>E66*10000/E62</f>
        <v>4.602061853527329</v>
      </c>
      <c r="F106" s="169">
        <f>F66*10000/F62</f>
        <v>14.512488849084662</v>
      </c>
      <c r="G106" s="169">
        <f>AVERAGE(C106:E106)</f>
        <v>4.738297190301334</v>
      </c>
      <c r="H106" s="169">
        <f>STDEV(C106:E106)</f>
        <v>0.1930278155898738</v>
      </c>
      <c r="I106" s="169">
        <f>(B106*B4+C106*C4+D106*D4+E106*E4+F106*F4)/SUM(B4:F4)</f>
        <v>5.96350020611184</v>
      </c>
      <c r="K106" s="169">
        <f>(LN(H106)+LN(H126))/2-LN(K114*K115^6)</f>
        <v>-4.276114532184414</v>
      </c>
    </row>
    <row r="107" spans="1:11" ht="12.75">
      <c r="A107" s="169" t="s">
        <v>163</v>
      </c>
      <c r="B107" s="169">
        <f>B67*10000/B62</f>
        <v>0.05056934544795773</v>
      </c>
      <c r="C107" s="169">
        <f>C67*10000/C62</f>
        <v>0.1130631551995999</v>
      </c>
      <c r="D107" s="169">
        <f>D67*10000/D62</f>
        <v>-0.04528956678810635</v>
      </c>
      <c r="E107" s="169">
        <f>E67*10000/E62</f>
        <v>0.0577252696944658</v>
      </c>
      <c r="F107" s="169">
        <f>F67*10000/F62</f>
        <v>-0.011356756924956407</v>
      </c>
      <c r="G107" s="169">
        <f>AVERAGE(C107:E107)</f>
        <v>0.04183295270198645</v>
      </c>
      <c r="H107" s="169">
        <f>STDEV(C107:E107)</f>
        <v>0.08036367615266883</v>
      </c>
      <c r="I107" s="169">
        <f>(B107*B4+C107*C4+D107*D4+E107*E4+F107*F4)/SUM(B4:F4)</f>
        <v>0.03598805177296362</v>
      </c>
      <c r="K107" s="169">
        <f>(LN(H107)+LN(H127))/2-LN(K114*K115^7)</f>
        <v>-4.058745582562434</v>
      </c>
    </row>
    <row r="108" spans="1:9" ht="12.75">
      <c r="A108" s="169" t="s">
        <v>164</v>
      </c>
      <c r="B108" s="169">
        <f>B68*10000/B62</f>
        <v>-0.07833705355254976</v>
      </c>
      <c r="C108" s="169">
        <f>C68*10000/C62</f>
        <v>0.11164032507832204</v>
      </c>
      <c r="D108" s="169">
        <f>D68*10000/D62</f>
        <v>-0.017504481926216488</v>
      </c>
      <c r="E108" s="169">
        <f>E68*10000/E62</f>
        <v>0.04881232149553894</v>
      </c>
      <c r="F108" s="169">
        <f>F68*10000/F62</f>
        <v>-0.2517192460682596</v>
      </c>
      <c r="G108" s="169">
        <f>AVERAGE(C108:E108)</f>
        <v>0.047649388215881494</v>
      </c>
      <c r="H108" s="169">
        <f>STDEV(C108:E108)</f>
        <v>0.0645802570792311</v>
      </c>
      <c r="I108" s="169">
        <f>(B108*B4+C108*C4+D108*D4+E108*E4+F108*F4)/SUM(B4:F4)</f>
        <v>-0.010566349417589339</v>
      </c>
    </row>
    <row r="109" spans="1:9" ht="12.75">
      <c r="A109" s="169" t="s">
        <v>165</v>
      </c>
      <c r="B109" s="169">
        <f>B69*10000/B62</f>
        <v>-0.1323712565156172</v>
      </c>
      <c r="C109" s="169">
        <f>C69*10000/C62</f>
        <v>-0.03509673137032968</v>
      </c>
      <c r="D109" s="169">
        <f>D69*10000/D62</f>
        <v>-0.12580874385200946</v>
      </c>
      <c r="E109" s="169">
        <f>E69*10000/E62</f>
        <v>-0.11461993687755014</v>
      </c>
      <c r="F109" s="169">
        <f>F69*10000/F62</f>
        <v>0.002265275193291394</v>
      </c>
      <c r="G109" s="169">
        <f>AVERAGE(C109:E109)</f>
        <v>-0.09184180403329643</v>
      </c>
      <c r="H109" s="169">
        <f>STDEV(C109:E109)</f>
        <v>0.04946008293585806</v>
      </c>
      <c r="I109" s="169">
        <f>(B109*B4+C109*C4+D109*D4+E109*E4+F109*F4)/SUM(B4:F4)</f>
        <v>-0.0851270612220798</v>
      </c>
    </row>
    <row r="110" spans="1:11" ht="12.75">
      <c r="A110" s="169" t="s">
        <v>166</v>
      </c>
      <c r="B110" s="169">
        <f>B70*10000/B62</f>
        <v>-0.3506357906381729</v>
      </c>
      <c r="C110" s="169">
        <f>C70*10000/C62</f>
        <v>-0.08418642126633259</v>
      </c>
      <c r="D110" s="169">
        <f>D70*10000/D62</f>
        <v>-0.09295017528474034</v>
      </c>
      <c r="E110" s="169">
        <f>E70*10000/E62</f>
        <v>-0.06346271733241801</v>
      </c>
      <c r="F110" s="169">
        <f>F70*10000/F62</f>
        <v>-0.2809875700576574</v>
      </c>
      <c r="G110" s="169">
        <f>AVERAGE(C110:E110)</f>
        <v>-0.08019977129449699</v>
      </c>
      <c r="H110" s="169">
        <f>STDEV(C110:E110)</f>
        <v>0.015142574999680452</v>
      </c>
      <c r="I110" s="169">
        <f>(B110*B4+C110*C4+D110*D4+E110*E4+F110*F4)/SUM(B4:F4)</f>
        <v>-0.1461361759948365</v>
      </c>
      <c r="K110" s="169">
        <f>EXP(AVERAGE(K103:K107))</f>
        <v>0.014467194225833133</v>
      </c>
    </row>
    <row r="111" spans="1:9" ht="12.75">
      <c r="A111" s="169" t="s">
        <v>167</v>
      </c>
      <c r="B111" s="169">
        <f>B71*10000/B62</f>
        <v>0.06535548756596637</v>
      </c>
      <c r="C111" s="169">
        <f>C71*10000/C62</f>
        <v>9.951906002103366E-05</v>
      </c>
      <c r="D111" s="169">
        <f>D71*10000/D62</f>
        <v>0.05980843425213576</v>
      </c>
      <c r="E111" s="169">
        <f>E71*10000/E62</f>
        <v>0.01519483336217587</v>
      </c>
      <c r="F111" s="169">
        <f>F71*10000/F62</f>
        <v>-0.004088320902618843</v>
      </c>
      <c r="G111" s="169">
        <f>AVERAGE(C111:E111)</f>
        <v>0.025034262224777556</v>
      </c>
      <c r="H111" s="169">
        <f>STDEV(C111:E111)</f>
        <v>0.031046729435021594</v>
      </c>
      <c r="I111" s="169">
        <f>(B111*B4+C111*C4+D111*D4+E111*E4+F111*F4)/SUM(B4:F4)</f>
        <v>0.026975654959979813</v>
      </c>
    </row>
    <row r="112" spans="1:9" ht="12.75">
      <c r="A112" s="169" t="s">
        <v>168</v>
      </c>
      <c r="B112" s="169">
        <f>B72*10000/B62</f>
        <v>-0.06427685784656553</v>
      </c>
      <c r="C112" s="169">
        <f>C72*10000/C62</f>
        <v>-0.02811940137140132</v>
      </c>
      <c r="D112" s="169">
        <f>D72*10000/D62</f>
        <v>-0.03841824874213932</v>
      </c>
      <c r="E112" s="169">
        <f>E72*10000/E62</f>
        <v>-0.03947513764159997</v>
      </c>
      <c r="F112" s="169">
        <f>F72*10000/F62</f>
        <v>-0.0403842112541232</v>
      </c>
      <c r="G112" s="169">
        <f>AVERAGE(C112:E112)</f>
        <v>-0.035337595918380205</v>
      </c>
      <c r="H112" s="169">
        <f>STDEV(C112:E112)</f>
        <v>0.006273436293211005</v>
      </c>
      <c r="I112" s="169">
        <f>(B112*B4+C112*C4+D112*D4+E112*E4+F112*F4)/SUM(B4:F4)</f>
        <v>-0.0401962991907712</v>
      </c>
    </row>
    <row r="113" spans="1:9" ht="12.75">
      <c r="A113" s="169" t="s">
        <v>169</v>
      </c>
      <c r="B113" s="169">
        <f>B73*10000/B62</f>
        <v>0.007182622929000602</v>
      </c>
      <c r="C113" s="169">
        <f>C73*10000/C62</f>
        <v>0.0004297631311497672</v>
      </c>
      <c r="D113" s="169">
        <f>D73*10000/D62</f>
        <v>-0.005987176893180109</v>
      </c>
      <c r="E113" s="169">
        <f>E73*10000/E62</f>
        <v>-0.0038146497365361765</v>
      </c>
      <c r="F113" s="169">
        <f>F73*10000/F62</f>
        <v>-0.0003848134940943786</v>
      </c>
      <c r="G113" s="169">
        <f>AVERAGE(C113:E113)</f>
        <v>-0.0031240211661888394</v>
      </c>
      <c r="H113" s="169">
        <f>STDEV(C113:E113)</f>
        <v>0.003263741056762421</v>
      </c>
      <c r="I113" s="169">
        <f>(B113*B4+C113*C4+D113*D4+E113*E4+F113*F4)/SUM(B4:F4)</f>
        <v>-0.001267493627629542</v>
      </c>
    </row>
    <row r="114" spans="1:11" ht="12.75">
      <c r="A114" s="169" t="s">
        <v>170</v>
      </c>
      <c r="B114" s="169">
        <f>B74*10000/B62</f>
        <v>-0.19588822617867438</v>
      </c>
      <c r="C114" s="169">
        <f>C74*10000/C62</f>
        <v>-0.18113336553781798</v>
      </c>
      <c r="D114" s="169">
        <f>D74*10000/D62</f>
        <v>-0.17596944289677027</v>
      </c>
      <c r="E114" s="169">
        <f>E74*10000/E62</f>
        <v>-0.17209307605149532</v>
      </c>
      <c r="F114" s="169">
        <f>F74*10000/F62</f>
        <v>-0.14870601730775423</v>
      </c>
      <c r="G114" s="169">
        <f>AVERAGE(C114:E114)</f>
        <v>-0.17639862816202787</v>
      </c>
      <c r="H114" s="169">
        <f>STDEV(C114:E114)</f>
        <v>0.00453540058793778</v>
      </c>
      <c r="I114" s="169">
        <f>(B114*B4+C114*C4+D114*D4+E114*E4+F114*F4)/SUM(B4:F4)</f>
        <v>-0.1755178352659877</v>
      </c>
      <c r="J114" s="169" t="s">
        <v>188</v>
      </c>
      <c r="K114" s="169">
        <v>285</v>
      </c>
    </row>
    <row r="115" spans="1:11" ht="12.75">
      <c r="A115" s="169" t="s">
        <v>171</v>
      </c>
      <c r="B115" s="169">
        <f>B75*10000/B62</f>
        <v>0.00027691792781846524</v>
      </c>
      <c r="C115" s="169">
        <f>C75*10000/C62</f>
        <v>0.0016730976537364592</v>
      </c>
      <c r="D115" s="169">
        <f>D75*10000/D62</f>
        <v>0.003951772632929699</v>
      </c>
      <c r="E115" s="169">
        <f>E75*10000/E62</f>
        <v>0.0008399627344280136</v>
      </c>
      <c r="F115" s="169">
        <f>F75*10000/F62</f>
        <v>0.0020198244476634813</v>
      </c>
      <c r="G115" s="169">
        <f>AVERAGE(C115:E115)</f>
        <v>0.002154944340364724</v>
      </c>
      <c r="H115" s="169">
        <f>STDEV(C115:E115)</f>
        <v>0.0016108917974725196</v>
      </c>
      <c r="I115" s="169">
        <f>(B115*B4+C115*C4+D115*D4+E115*E4+F115*F4)/SUM(B4:F4)</f>
        <v>0.0018654733129786656</v>
      </c>
      <c r="J115" s="169" t="s">
        <v>189</v>
      </c>
      <c r="K115" s="169">
        <v>0.5536</v>
      </c>
    </row>
    <row r="118" ht="12.75">
      <c r="A118" s="169" t="s">
        <v>154</v>
      </c>
    </row>
    <row r="120" spans="2:9" ht="12.75">
      <c r="B120" s="169" t="s">
        <v>83</v>
      </c>
      <c r="C120" s="169" t="s">
        <v>84</v>
      </c>
      <c r="D120" s="169" t="s">
        <v>85</v>
      </c>
      <c r="E120" s="169" t="s">
        <v>86</v>
      </c>
      <c r="F120" s="169" t="s">
        <v>87</v>
      </c>
      <c r="G120" s="169" t="s">
        <v>156</v>
      </c>
      <c r="H120" s="169" t="s">
        <v>157</v>
      </c>
      <c r="I120" s="169" t="s">
        <v>152</v>
      </c>
    </row>
    <row r="121" spans="1:9" ht="12.75">
      <c r="A121" s="169" t="s">
        <v>172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173</v>
      </c>
      <c r="B122" s="169">
        <f>B82*10000/B62</f>
        <v>144.19902412936167</v>
      </c>
      <c r="C122" s="169">
        <f>C82*10000/C62</f>
        <v>71.68821183966375</v>
      </c>
      <c r="D122" s="169">
        <f>D82*10000/D62</f>
        <v>-11.543118923915182</v>
      </c>
      <c r="E122" s="169">
        <f>E82*10000/E62</f>
        <v>-68.16054451233433</v>
      </c>
      <c r="F122" s="169">
        <f>F82*10000/F62</f>
        <v>-143.96836293892534</v>
      </c>
      <c r="G122" s="169">
        <f>AVERAGE(C122:E122)</f>
        <v>-2.6718171988619184</v>
      </c>
      <c r="H122" s="169">
        <f>STDEV(C122:E122)</f>
        <v>70.34517509412305</v>
      </c>
      <c r="I122" s="169">
        <f>(B122*B4+C122*C4+D122*D4+E122*E4+F122*F4)/SUM(B4:F4)</f>
        <v>-0.3015261127872863</v>
      </c>
    </row>
    <row r="123" spans="1:9" ht="12.75">
      <c r="A123" s="169" t="s">
        <v>174</v>
      </c>
      <c r="B123" s="169">
        <f>B83*10000/B62</f>
        <v>0.13700625094199034</v>
      </c>
      <c r="C123" s="169">
        <f>C83*10000/C62</f>
        <v>0.44296895162243</v>
      </c>
      <c r="D123" s="169">
        <f>D83*10000/D62</f>
        <v>-0.16222054075420725</v>
      </c>
      <c r="E123" s="169">
        <f>E83*10000/E62</f>
        <v>-0.13997120218965234</v>
      </c>
      <c r="F123" s="169">
        <f>F83*10000/F62</f>
        <v>6.713294626925021</v>
      </c>
      <c r="G123" s="169">
        <f>AVERAGE(C123:E123)</f>
        <v>0.046925736226190146</v>
      </c>
      <c r="H123" s="169">
        <f>STDEV(C123:E123)</f>
        <v>0.3431638524272106</v>
      </c>
      <c r="I123" s="169">
        <f>(B123*B4+C123*C4+D123*D4+E123*E4+F123*F4)/SUM(B4:F4)</f>
        <v>0.9506180447537032</v>
      </c>
    </row>
    <row r="124" spans="1:9" ht="12.75">
      <c r="A124" s="169" t="s">
        <v>175</v>
      </c>
      <c r="B124" s="169">
        <f>B84*10000/B62</f>
        <v>2.7014501376091813</v>
      </c>
      <c r="C124" s="169">
        <f>C84*10000/C62</f>
        <v>0.733502645701551</v>
      </c>
      <c r="D124" s="169">
        <f>D84*10000/D62</f>
        <v>1.2070913160450931</v>
      </c>
      <c r="E124" s="169">
        <f>E84*10000/E62</f>
        <v>1.870358238123285</v>
      </c>
      <c r="F124" s="169">
        <f>F84*10000/F62</f>
        <v>1.9493384972355268</v>
      </c>
      <c r="G124" s="169">
        <f>AVERAGE(C124:E124)</f>
        <v>1.270317399956643</v>
      </c>
      <c r="H124" s="169">
        <f>STDEV(C124:E124)</f>
        <v>0.5710589398391697</v>
      </c>
      <c r="I124" s="169">
        <f>(B124*B4+C124*C4+D124*D4+E124*E4+F124*F4)/SUM(B4:F4)</f>
        <v>1.567919717522854</v>
      </c>
    </row>
    <row r="125" spans="1:9" ht="12.75">
      <c r="A125" s="169" t="s">
        <v>176</v>
      </c>
      <c r="B125" s="169">
        <f>B85*10000/B62</f>
        <v>0.6195065424724651</v>
      </c>
      <c r="C125" s="169">
        <f>C85*10000/C62</f>
        <v>0.6072828062605083</v>
      </c>
      <c r="D125" s="169">
        <f>D85*10000/D62</f>
        <v>-0.06432628423517255</v>
      </c>
      <c r="E125" s="169">
        <f>E85*10000/E62</f>
        <v>-0.21250828167725713</v>
      </c>
      <c r="F125" s="169">
        <f>F85*10000/F62</f>
        <v>-0.6981614999753373</v>
      </c>
      <c r="G125" s="169">
        <f>AVERAGE(C125:E125)</f>
        <v>0.11014941344935958</v>
      </c>
      <c r="H125" s="169">
        <f>STDEV(C125:E125)</f>
        <v>0.43685888313896565</v>
      </c>
      <c r="I125" s="169">
        <f>(B125*B4+C125*C4+D125*D4+E125*E4+F125*F4)/SUM(B4:F4)</f>
        <v>0.07585827930532947</v>
      </c>
    </row>
    <row r="126" spans="1:9" ht="12.75">
      <c r="A126" s="169" t="s">
        <v>177</v>
      </c>
      <c r="B126" s="169">
        <f>B86*10000/B62</f>
        <v>0.4325987549075878</v>
      </c>
      <c r="C126" s="169">
        <f>C86*10000/C62</f>
        <v>-0.005602731373753722</v>
      </c>
      <c r="D126" s="169">
        <f>D86*10000/D62</f>
        <v>0.12040328977182743</v>
      </c>
      <c r="E126" s="169">
        <f>E86*10000/E62</f>
        <v>0.09855390598251838</v>
      </c>
      <c r="F126" s="169">
        <f>F86*10000/F62</f>
        <v>1.3333272932664906</v>
      </c>
      <c r="G126" s="169">
        <f>AVERAGE(C126:E126)</f>
        <v>0.07111815479353069</v>
      </c>
      <c r="H126" s="169">
        <f>STDEV(C126:E126)</f>
        <v>0.06733438700777776</v>
      </c>
      <c r="I126" s="169">
        <f>(B126*B4+C126*C4+D126*D4+E126*E4+F126*F4)/SUM(B4:F4)</f>
        <v>0.29202336420063296</v>
      </c>
    </row>
    <row r="127" spans="1:9" ht="12.75">
      <c r="A127" s="169" t="s">
        <v>178</v>
      </c>
      <c r="B127" s="169">
        <f>B87*10000/B62</f>
        <v>0.020001043030804442</v>
      </c>
      <c r="C127" s="169">
        <f>C87*10000/C62</f>
        <v>0.05126528656007971</v>
      </c>
      <c r="D127" s="169">
        <f>D87*10000/D62</f>
        <v>0.18462717250318444</v>
      </c>
      <c r="E127" s="169">
        <f>E87*10000/E62</f>
        <v>0.18309659182632032</v>
      </c>
      <c r="F127" s="169">
        <f>F87*10000/F62</f>
        <v>0.4790784641673296</v>
      </c>
      <c r="G127" s="169">
        <f>AVERAGE(C127:E127)</f>
        <v>0.13966301696319483</v>
      </c>
      <c r="H127" s="169">
        <f>STDEV(C127:E127)</f>
        <v>0.07655850524023089</v>
      </c>
      <c r="I127" s="169">
        <f>(B127*B4+C127*C4+D127*D4+E127*E4+F127*F4)/SUM(B4:F4)</f>
        <v>0.16769942769567242</v>
      </c>
    </row>
    <row r="128" spans="1:9" ht="12.75">
      <c r="A128" s="169" t="s">
        <v>179</v>
      </c>
      <c r="B128" s="169">
        <f>B88*10000/B62</f>
        <v>0.06885926143528621</v>
      </c>
      <c r="C128" s="169">
        <f>C88*10000/C62</f>
        <v>-0.10991626462082502</v>
      </c>
      <c r="D128" s="169">
        <f>D88*10000/D62</f>
        <v>0.15509504237589813</v>
      </c>
      <c r="E128" s="169">
        <f>E88*10000/E62</f>
        <v>0.07102235895199625</v>
      </c>
      <c r="F128" s="169">
        <f>F88*10000/F62</f>
        <v>0.013929802435060435</v>
      </c>
      <c r="G128" s="169">
        <f>AVERAGE(C128:E128)</f>
        <v>0.03873371223568979</v>
      </c>
      <c r="H128" s="169">
        <f>STDEV(C128:E128)</f>
        <v>0.13542402201642698</v>
      </c>
      <c r="I128" s="169">
        <f>(B128*B4+C128*C4+D128*D4+E128*E4+F128*F4)/SUM(B4:F4)</f>
        <v>0.03977226793599977</v>
      </c>
    </row>
    <row r="129" spans="1:9" ht="12.75">
      <c r="A129" s="169" t="s">
        <v>180</v>
      </c>
      <c r="B129" s="169">
        <f>B89*10000/B62</f>
        <v>0.021855093822543147</v>
      </c>
      <c r="C129" s="169">
        <f>C89*10000/C62</f>
        <v>0.0924506528240178</v>
      </c>
      <c r="D129" s="169">
        <f>D89*10000/D62</f>
        <v>0.052587992846385226</v>
      </c>
      <c r="E129" s="169">
        <f>E89*10000/E62</f>
        <v>0.009129913854361727</v>
      </c>
      <c r="F129" s="169">
        <f>F89*10000/F62</f>
        <v>0.035579040901753636</v>
      </c>
      <c r="G129" s="169">
        <f>AVERAGE(C129:E129)</f>
        <v>0.05138951984158826</v>
      </c>
      <c r="H129" s="169">
        <f>STDEV(C129:E129)</f>
        <v>0.041673296471119385</v>
      </c>
      <c r="I129" s="169">
        <f>(B129*B4+C129*C4+D129*D4+E129*E4+F129*F4)/SUM(B4:F4)</f>
        <v>0.04501155308449951</v>
      </c>
    </row>
    <row r="130" spans="1:9" ht="12.75">
      <c r="A130" s="169" t="s">
        <v>181</v>
      </c>
      <c r="B130" s="169">
        <f>B90*10000/B62</f>
        <v>-0.05438420475978977</v>
      </c>
      <c r="C130" s="169">
        <f>C90*10000/C62</f>
        <v>0.11498470353280844</v>
      </c>
      <c r="D130" s="169">
        <f>D90*10000/D62</f>
        <v>0.07813615733778446</v>
      </c>
      <c r="E130" s="169">
        <f>E90*10000/E62</f>
        <v>0.040428694491815416</v>
      </c>
      <c r="F130" s="169">
        <f>F90*10000/F62</f>
        <v>0.22958863508935295</v>
      </c>
      <c r="G130" s="169">
        <f>AVERAGE(C130:E130)</f>
        <v>0.07784985178746943</v>
      </c>
      <c r="H130" s="169">
        <f>STDEV(C130:E130)</f>
        <v>0.03727882910153247</v>
      </c>
      <c r="I130" s="169">
        <f>(B130*B4+C130*C4+D130*D4+E130*E4+F130*F4)/SUM(B4:F4)</f>
        <v>0.07900451213734226</v>
      </c>
    </row>
    <row r="131" spans="1:9" ht="12.75">
      <c r="A131" s="169" t="s">
        <v>182</v>
      </c>
      <c r="B131" s="169">
        <f>B91*10000/B62</f>
        <v>0.05665974623334163</v>
      </c>
      <c r="C131" s="169">
        <f>C91*10000/C62</f>
        <v>0.038761170043582364</v>
      </c>
      <c r="D131" s="169">
        <f>D91*10000/D62</f>
        <v>0.06798941144543665</v>
      </c>
      <c r="E131" s="169">
        <f>E91*10000/E62</f>
        <v>0.03219908785319123</v>
      </c>
      <c r="F131" s="169">
        <f>F91*10000/F62</f>
        <v>0.09870771264988405</v>
      </c>
      <c r="G131" s="169">
        <f>AVERAGE(C131:E131)</f>
        <v>0.04631655644740341</v>
      </c>
      <c r="H131" s="169">
        <f>STDEV(C131:E131)</f>
        <v>0.01905386347942834</v>
      </c>
      <c r="I131" s="169">
        <f>(B131*B4+C131*C4+D131*D4+E131*E4+F131*F4)/SUM(B4:F4)</f>
        <v>0.05481369770969135</v>
      </c>
    </row>
    <row r="132" spans="1:9" ht="12.75">
      <c r="A132" s="169" t="s">
        <v>183</v>
      </c>
      <c r="B132" s="169">
        <f>B92*10000/B62</f>
        <v>0.029186059646760607</v>
      </c>
      <c r="C132" s="169">
        <f>C92*10000/C62</f>
        <v>-0.04200305042204852</v>
      </c>
      <c r="D132" s="169">
        <f>D92*10000/D62</f>
        <v>0.04182450757908893</v>
      </c>
      <c r="E132" s="169">
        <f>E92*10000/E62</f>
        <v>0.0003154801844140859</v>
      </c>
      <c r="F132" s="169">
        <f>F92*10000/F62</f>
        <v>-0.0002723280097843104</v>
      </c>
      <c r="G132" s="169">
        <f>AVERAGE(C132:E132)</f>
        <v>4.5645780484832695E-05</v>
      </c>
      <c r="H132" s="169">
        <f>STDEV(C132:E132)</f>
        <v>0.04191443042751117</v>
      </c>
      <c r="I132" s="169">
        <f>(B132*B4+C132*C4+D132*D4+E132*E4+F132*F4)/SUM(B4:F4)</f>
        <v>0.004217212514677101</v>
      </c>
    </row>
    <row r="133" spans="1:9" ht="12.75">
      <c r="A133" s="169" t="s">
        <v>184</v>
      </c>
      <c r="B133" s="169">
        <f>B93*10000/B62</f>
        <v>-0.07095216603162074</v>
      </c>
      <c r="C133" s="169">
        <f>C93*10000/C62</f>
        <v>-0.060206889873734536</v>
      </c>
      <c r="D133" s="169">
        <f>D93*10000/D62</f>
        <v>-0.052038711739921244</v>
      </c>
      <c r="E133" s="169">
        <f>E93*10000/E62</f>
        <v>-0.05090279148423968</v>
      </c>
      <c r="F133" s="169">
        <f>F93*10000/F62</f>
        <v>-0.0602008767463594</v>
      </c>
      <c r="G133" s="169">
        <f>AVERAGE(C133:E133)</f>
        <v>-0.05438279769929849</v>
      </c>
      <c r="H133" s="169">
        <f>STDEV(C133:E133)</f>
        <v>0.0050756887167223005</v>
      </c>
      <c r="I133" s="169">
        <f>(B133*B4+C133*C4+D133*D4+E133*E4+F133*F4)/SUM(B4:F4)</f>
        <v>-0.05755669783670084</v>
      </c>
    </row>
    <row r="134" spans="1:9" ht="12.75">
      <c r="A134" s="169" t="s">
        <v>185</v>
      </c>
      <c r="B134" s="169">
        <f>B94*10000/B62</f>
        <v>-0.020206795217035316</v>
      </c>
      <c r="C134" s="169">
        <f>C94*10000/C62</f>
        <v>0.006131704609486846</v>
      </c>
      <c r="D134" s="169">
        <f>D94*10000/D62</f>
        <v>0.014267468207219058</v>
      </c>
      <c r="E134" s="169">
        <f>E94*10000/E62</f>
        <v>0.014053025783032472</v>
      </c>
      <c r="F134" s="169">
        <f>F94*10000/F62</f>
        <v>-0.015869132227138563</v>
      </c>
      <c r="G134" s="169">
        <f>AVERAGE(C134:E134)</f>
        <v>0.01148406619991279</v>
      </c>
      <c r="H134" s="169">
        <f>STDEV(C134:E134)</f>
        <v>0.004636521037838934</v>
      </c>
      <c r="I134" s="169">
        <f>(B134*B4+C134*C4+D134*D4+E134*E4+F134*F4)/SUM(B4:F4)</f>
        <v>0.0032463785373234447</v>
      </c>
    </row>
    <row r="135" spans="1:9" ht="12.75">
      <c r="A135" s="169" t="s">
        <v>186</v>
      </c>
      <c r="B135" s="169">
        <f>B95*10000/B62</f>
        <v>-0.0005349154332387278</v>
      </c>
      <c r="C135" s="169">
        <f>C95*10000/C62</f>
        <v>0.0005191326439722075</v>
      </c>
      <c r="D135" s="169">
        <f>D95*10000/D62</f>
        <v>-0.002199792248943739</v>
      </c>
      <c r="E135" s="169">
        <f>E95*10000/E62</f>
        <v>-0.005033734848757088</v>
      </c>
      <c r="F135" s="169">
        <f>F95*10000/F62</f>
        <v>0.007669702324904863</v>
      </c>
      <c r="G135" s="169">
        <f>AVERAGE(C135:E135)</f>
        <v>-0.0022381314845762064</v>
      </c>
      <c r="H135" s="169">
        <f>STDEV(C135:E135)</f>
        <v>0.0027766322714205594</v>
      </c>
      <c r="I135" s="169">
        <f>(B135*B4+C135*C4+D135*D4+E135*E4+F135*F4)/SUM(B4:F4)</f>
        <v>-0.0006677579216105374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2003-10-10T06:49:37Z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-1939900593</vt:i4>
  </property>
  <property fmtid="{D5CDD505-2E9C-101B-9397-08002B2CF9AE}" pid="3" name="_EmailSubject">
    <vt:lpwstr>WFM result of aperture 102 and 104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