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03_pos1ap2" sheetId="2" r:id="rId2"/>
    <sheet name="HCMQAP103_pos2ap2" sheetId="3" r:id="rId3"/>
    <sheet name="HCMQAP103_pos3ap2" sheetId="4" r:id="rId4"/>
    <sheet name="HCMQAP103_pos4ap2" sheetId="5" r:id="rId5"/>
    <sheet name="HCMQAP103_pos5ap2" sheetId="6" r:id="rId6"/>
    <sheet name="Lmag_hcmqap" sheetId="7" r:id="rId7"/>
    <sheet name="Result_HCMQAP" sheetId="8" r:id="rId8"/>
  </sheets>
  <definedNames>
    <definedName name="_xlnm.Print_Area" localSheetId="1">'HCMQAP103_pos1ap2'!$A$1:$N$28</definedName>
    <definedName name="_xlnm.Print_Area" localSheetId="2">'HCMQAP103_pos2ap2'!$A$1:$N$28</definedName>
    <definedName name="_xlnm.Print_Area" localSheetId="3">'HCMQAP103_pos3ap2'!$A$1:$N$28</definedName>
    <definedName name="_xlnm.Print_Area" localSheetId="4">'HCMQAP103_pos4ap2'!$A$1:$N$28</definedName>
    <definedName name="_xlnm.Print_Area" localSheetId="5">'HCMQAP103_pos5ap2'!$A$1:$N$28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<sst xmlns="http://schemas.openxmlformats.org/spreadsheetml/2006/main" count="510" uniqueCount="189">
  <si>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</si>
  <si>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</si>
  <si>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</si>
  <si>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</si>
  <si>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</si>
  <si>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</si>
  <si>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</si>
  <si>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</si>
  <si>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</si>
  <si>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</si>
  <si>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</si>
  <si>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</si>
  <si>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</si>
  <si>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</si>
  <si>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</si>
  <si>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hcmqap103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</si>
  <si>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</si>
  <si>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</si>
  <si>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</si>
  <si>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</si>
  <si>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</si>
  <si>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</si>
  <si>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</si>
  <si>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</si>
  <si>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</si>
  <si>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</si>
  <si>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</si>
  <si>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</si>
  <si>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</si>
  <si>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</si>
  <si>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</si>
  <si>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</si>
  <si>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</si>
  <si>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</si>
  <si>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</si>
  <si>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</si>
  <si>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</si>
  <si>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</si>
  <si>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</si>
  <si>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</si>
  <si>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</si>
  <si>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</si>
  <si>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</si>
  <si>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</si>
  <si>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</si>
  <si>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</si>
  <si>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</si>
  <si>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</si>
  <si>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</si>
  <si>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</si>
  <si>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</si>
  <si>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</si>
  <si>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</si>
  <si>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</si>
  <si>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</si>
  <si>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</si>
  <si>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</si>
  <si>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</si>
  <si>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</si>
  <si>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</si>
  <si>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</si>
  <si>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</si>
  <si>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</si>
  <si>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</si>
  <si>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</si>
  <si>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</si>
  <si>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</si>
  <si>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</si>
  <si>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HCMQAP103_pos1ap2</t>
  </si>
  <si>
    <t>30/10/2003</t>
  </si>
  <si>
    <t>±12.5</t>
  </si>
  <si>
    <t>THCMQAP103_pos1ap2.xls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</si>
  <si>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</si>
  <si>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HCMQAP103_pos2ap2</t>
  </si>
  <si>
    <t>THCMQAP103_pos2ap2.xls</t>
  </si>
  <si>
    <t>HCMQAP103_pos3ap2</t>
  </si>
  <si>
    <t>THCMQAP103_pos3ap2.xls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</si>
  <si>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-3.753 mT)</t>
    </r>
  </si>
  <si>
    <t>HCMQAP103_pos4ap2</t>
  </si>
  <si>
    <t>THCMQAP103_pos4ap2.xls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</si>
  <si>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 mT)</t>
    </r>
  </si>
  <si>
    <t>HCMQAP103_pos5ap2</t>
  </si>
  <si>
    <t>THCMQAP103_pos5ap2.xls</t>
  </si>
  <si>
    <t>Sommaire : Valeurs intégrales calculées avec les fichiers: HCMQAP103_pos1ap2+HCMQAP103_pos2ap2+HCMQAP103_pos3ap2+HCMQAP103_pos4ap2+HCMQAP103_pos5ap2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</si>
  <si>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</si>
  <si>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</si>
  <si>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</si>
  <si>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</si>
  <si>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</si>
  <si>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</si>
  <si>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</si>
  <si>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</si>
  <si>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</si>
  <si>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</si>
  <si>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</si>
  <si>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</si>
  <si>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</si>
  <si>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</si>
  <si>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</si>
  <si>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</si>
  <si>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</si>
  <si>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</si>
  <si>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</si>
  <si>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</si>
  <si>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</si>
  <si>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</si>
  <si>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</si>
  <si>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</si>
  <si>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</si>
  <si>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</si>
  <si>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</si>
  <si>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</si>
  <si>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</si>
  <si>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</si>
  <si>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</si>
  <si>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</si>
  <si>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</si>
  <si>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</si>
  <si>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</si>
  <si>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</si>
  <si>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</si>
  <si>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</si>
  <si>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</si>
  <si>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</si>
  <si>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</si>
  <si>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</si>
  <si>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</si>
  <si>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=-3.752</t>
    </r>
  </si>
  <si>
    <t>Gradient (T/m)</t>
  </si>
  <si>
    <t xml:space="preserve"> Thu 30/10/2003       07:09:25</t>
  </si>
  <si>
    <t>LISSNER</t>
  </si>
  <si>
    <t>HCMQAP103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</si>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</sst>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03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60108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2500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2500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2500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2500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2500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3.62941956E-05</v>
      </c>
      <c r="L2" s="55">
        <v>7.782616990714075E-08</v>
      </c>
      <c r="M2" s="55">
        <v>5.8843334999999995E-05</v>
      </c>
      <c r="N2" s="56">
        <v>9.005143402687683E-08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-3.21660304E-05</v>
      </c>
      <c r="L3" s="55">
        <v>3.8324004579423946E-08</v>
      </c>
      <c r="M3" s="55">
        <v>1.3557681E-05</v>
      </c>
      <c r="N3" s="56">
        <v>1.2592542512926278E-07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-0.002260025379050775</v>
      </c>
      <c r="L4" s="55">
        <v>1.3716068511158105E-05</v>
      </c>
      <c r="M4" s="55">
        <v>6.809772935316741E-08</v>
      </c>
      <c r="N4" s="56">
        <v>-3.0344571</v>
      </c>
    </row>
    <row r="5" spans="1:14" ht="15" customHeight="1" thickBot="1">
      <c r="A5" t="s">
        <v>18</v>
      </c>
      <c r="B5" s="59">
        <v>37924.27668981482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2500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1.1561835999999999</v>
      </c>
      <c r="E8" s="78">
        <v>0.02445635897961515</v>
      </c>
      <c r="F8" s="78">
        <v>0.39420429</v>
      </c>
      <c r="G8" s="78">
        <v>0.022583461228637955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-0.077463956</v>
      </c>
      <c r="E9" s="80">
        <v>0.009436072014533078</v>
      </c>
      <c r="F9" s="80">
        <v>0.9914428799999999</v>
      </c>
      <c r="G9" s="80">
        <v>0.03191639756113905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-0.366136441</v>
      </c>
      <c r="E10" s="80">
        <v>0.002484294829699483</v>
      </c>
      <c r="F10" s="80">
        <v>0.23598499999999997</v>
      </c>
      <c r="G10" s="80">
        <v>0.00708260971372908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4.1738027</v>
      </c>
      <c r="E11" s="78">
        <v>0.005621663424246669</v>
      </c>
      <c r="F11" s="78">
        <v>0.80933712</v>
      </c>
      <c r="G11" s="78">
        <v>0.008000424307540688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0.09428262200000001</v>
      </c>
      <c r="E12" s="80">
        <v>0.004512776001726146</v>
      </c>
      <c r="F12" s="80">
        <v>0.027868588</v>
      </c>
      <c r="G12" s="80">
        <v>0.006152173935618676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17.288209</v>
      </c>
      <c r="D13" s="83">
        <v>-0.046415322</v>
      </c>
      <c r="E13" s="80">
        <v>0.005943091314213971</v>
      </c>
      <c r="F13" s="80">
        <v>0.1670796</v>
      </c>
      <c r="G13" s="80">
        <v>0.006704701023759294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-0.09033674</v>
      </c>
      <c r="E14" s="80">
        <v>0.004362459936280062</v>
      </c>
      <c r="F14" s="80">
        <v>-0.061230012</v>
      </c>
      <c r="G14" s="80">
        <v>0.004894045527736322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-0.39179971</v>
      </c>
      <c r="E15" s="78">
        <v>0.0011706066074453096</v>
      </c>
      <c r="F15" s="78">
        <v>0.07442591700000001</v>
      </c>
      <c r="G15" s="78">
        <v>0.004803437214903046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-0.007509326630000002</v>
      </c>
      <c r="E16" s="80">
        <v>0.0034745821641011024</v>
      </c>
      <c r="F16" s="80">
        <v>-0.0019875487469999996</v>
      </c>
      <c r="G16" s="80">
        <v>0.0028263771241718474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-0.3700000047683716</v>
      </c>
      <c r="D17" s="83">
        <v>-0.01056748935</v>
      </c>
      <c r="E17" s="80">
        <v>0.0021073698671944395</v>
      </c>
      <c r="F17" s="80">
        <v>0.02505922</v>
      </c>
      <c r="G17" s="80">
        <v>0.0035417212214190726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25.940000534057617</v>
      </c>
      <c r="D18" s="83">
        <v>0.0201745184</v>
      </c>
      <c r="E18" s="80">
        <v>0.0018024451797924992</v>
      </c>
      <c r="F18" s="80">
        <v>0.041529981</v>
      </c>
      <c r="G18" s="80">
        <v>0.0029489941913309957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-0.41600000858306885</v>
      </c>
      <c r="D19" s="86">
        <v>-0.17828874</v>
      </c>
      <c r="E19" s="80">
        <v>0.0015770491572554845</v>
      </c>
      <c r="F19" s="80">
        <v>0.0118725355</v>
      </c>
      <c r="G19" s="80">
        <v>0.0022173383027775453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0.2756786</v>
      </c>
      <c r="D20" s="88">
        <v>0.0004573791000000001</v>
      </c>
      <c r="E20" s="89">
        <v>0.0009092984444354559</v>
      </c>
      <c r="F20" s="89">
        <v>0.0010034847999999999</v>
      </c>
      <c r="G20" s="89">
        <v>0.001433852796994081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0.44093679999999996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-0.17386173179822956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-2.2600670000000003</v>
      </c>
      <c r="I25" s="101" t="s">
        <v>49</v>
      </c>
      <c r="J25" s="102"/>
      <c r="K25" s="101"/>
      <c r="L25" s="104">
        <v>4.2515474303290075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1.2215390043561294</v>
      </c>
      <c r="I26" s="106" t="s">
        <v>53</v>
      </c>
      <c r="J26" s="107"/>
      <c r="K26" s="106"/>
      <c r="L26" s="109">
        <v>0.3988060053175917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HCMQAP103_pos1ap2res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7.7858591E-05</v>
      </c>
      <c r="L2" s="55">
        <v>1.595597226869624E-07</v>
      </c>
      <c r="M2" s="55">
        <v>4.2511253E-05</v>
      </c>
      <c r="N2" s="56">
        <v>1.583440859841518E-07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-2.9384329E-05</v>
      </c>
      <c r="L3" s="55">
        <v>9.411754004512942E-08</v>
      </c>
      <c r="M3" s="55">
        <v>1.2152009000000001E-05</v>
      </c>
      <c r="N3" s="56">
        <v>1.9841392721787187E-07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-0.003752305202067483</v>
      </c>
      <c r="L4" s="55">
        <v>-1.3503596097075203E-05</v>
      </c>
      <c r="M4" s="55">
        <v>7.62817150390815E-08</v>
      </c>
      <c r="N4" s="56">
        <v>1.7993656000000002</v>
      </c>
    </row>
    <row r="5" spans="1:14" ht="15" customHeight="1" thickBot="1">
      <c r="A5" t="s">
        <v>18</v>
      </c>
      <c r="B5" s="59">
        <v>37924.28115740741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2500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1.7230531</v>
      </c>
      <c r="E8" s="78">
        <v>0.011112744518799672</v>
      </c>
      <c r="F8" s="78">
        <v>1.7356289</v>
      </c>
      <c r="G8" s="78">
        <v>0.01610313611815415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0.28853811</v>
      </c>
      <c r="E9" s="80">
        <v>0.015189463019521005</v>
      </c>
      <c r="F9" s="80">
        <v>2.1502790999999997</v>
      </c>
      <c r="G9" s="80">
        <v>0.012834382799378822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-0.53028487</v>
      </c>
      <c r="E10" s="80">
        <v>0.004597121568825161</v>
      </c>
      <c r="F10" s="80">
        <v>0.97245922</v>
      </c>
      <c r="G10" s="80">
        <v>0.00629167594631651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3.9802120000000003</v>
      </c>
      <c r="E11" s="78">
        <v>0.003778072034633937</v>
      </c>
      <c r="F11" s="78">
        <v>-0.40099418</v>
      </c>
      <c r="G11" s="78">
        <v>0.005177435820135713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0.08814174799999999</v>
      </c>
      <c r="E12" s="80">
        <v>0.004909157928955641</v>
      </c>
      <c r="F12" s="80">
        <v>-0.22087094999999998</v>
      </c>
      <c r="G12" s="80">
        <v>0.004573443395955402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17.471314</v>
      </c>
      <c r="D13" s="83">
        <v>-0.029345583</v>
      </c>
      <c r="E13" s="80">
        <v>0.0013134186606737213</v>
      </c>
      <c r="F13" s="80">
        <v>0.035454611000000004</v>
      </c>
      <c r="G13" s="80">
        <v>0.003570764110562888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0.00365179604</v>
      </c>
      <c r="E14" s="80">
        <v>0.001467246075067767</v>
      </c>
      <c r="F14" s="80">
        <v>0.18798847</v>
      </c>
      <c r="G14" s="80">
        <v>0.0028214965655857303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-0.09507608100000002</v>
      </c>
      <c r="E15" s="78">
        <v>0.0022488255007425493</v>
      </c>
      <c r="F15" s="78">
        <v>0.033311852</v>
      </c>
      <c r="G15" s="78">
        <v>0.0037964504100667113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0.012139907800000002</v>
      </c>
      <c r="E16" s="80">
        <v>0.001725166481243398</v>
      </c>
      <c r="F16" s="80">
        <v>0.021732624</v>
      </c>
      <c r="G16" s="80">
        <v>0.00183873373199708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0.4309999942779541</v>
      </c>
      <c r="D17" s="83">
        <v>0.00883892339</v>
      </c>
      <c r="E17" s="80">
        <v>0.0011917394804755695</v>
      </c>
      <c r="F17" s="80">
        <v>-0.008728076140000002</v>
      </c>
      <c r="G17" s="80">
        <v>0.002044469491199638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0.034430481</v>
      </c>
      <c r="E18" s="80">
        <v>0.0012295627221268557</v>
      </c>
      <c r="F18" s="80">
        <v>0.011368478400000001</v>
      </c>
      <c r="G18" s="80">
        <v>0.0012285103971034995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0.36500000953674316</v>
      </c>
      <c r="D19" s="86">
        <v>-0.15233941</v>
      </c>
      <c r="E19" s="80">
        <v>0.0011087580057879104</v>
      </c>
      <c r="F19" s="80">
        <v>0.0128718423</v>
      </c>
      <c r="G19" s="80">
        <v>0.0009483919822605678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0.35204129999999995</v>
      </c>
      <c r="D20" s="88">
        <v>0.0014892034199999998</v>
      </c>
      <c r="E20" s="89">
        <v>0.0008669936565455395</v>
      </c>
      <c r="F20" s="89">
        <v>0.007375583099999999</v>
      </c>
      <c r="G20" s="89">
        <v>0.0006253349139815767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0.193866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0.10309614176261067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-3.7523294999999997</v>
      </c>
      <c r="I25" s="101" t="s">
        <v>49</v>
      </c>
      <c r="J25" s="102"/>
      <c r="K25" s="101"/>
      <c r="L25" s="104">
        <v>4.000360470924823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2.4456736625999023</v>
      </c>
      <c r="I26" s="106" t="s">
        <v>53</v>
      </c>
      <c r="J26" s="107"/>
      <c r="K26" s="106"/>
      <c r="L26" s="109">
        <v>0.10074294348483405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HCMQAP103_pos2ap2res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5.879798500000001E-05</v>
      </c>
      <c r="L2" s="55">
        <v>7.373918652554618E-08</v>
      </c>
      <c r="M2" s="55">
        <v>2.3673652999999998E-05</v>
      </c>
      <c r="N2" s="56">
        <v>1.4307394737022735E-07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-2.8129335E-05</v>
      </c>
      <c r="L3" s="55">
        <v>2.337290652225576E-07</v>
      </c>
      <c r="M3" s="55">
        <v>1.0363449E-05</v>
      </c>
      <c r="N3" s="56">
        <v>1.7056981123283062E-07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-0.003752364885020872</v>
      </c>
      <c r="L4" s="55">
        <v>-3.0285397945382405E-05</v>
      </c>
      <c r="M4" s="55">
        <v>4.900650891785795E-08</v>
      </c>
      <c r="N4" s="56">
        <v>4.035420499999999</v>
      </c>
    </row>
    <row r="5" spans="1:14" ht="15" customHeight="1" thickBot="1">
      <c r="A5" t="s">
        <v>18</v>
      </c>
      <c r="B5" s="59">
        <v>37924.28565972222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2500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-0.17297542999999999</v>
      </c>
      <c r="E8" s="78">
        <v>0.006696910139430263</v>
      </c>
      <c r="F8" s="78">
        <v>-0.4922225</v>
      </c>
      <c r="G8" s="78">
        <v>0.013889900769695259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0.73818234</v>
      </c>
      <c r="E9" s="80">
        <v>0.011969609130520411</v>
      </c>
      <c r="F9" s="114">
        <v>2.8130224000000004</v>
      </c>
      <c r="G9" s="80">
        <v>0.008242535528403176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0.1437508432</v>
      </c>
      <c r="E10" s="80">
        <v>0.006606875470956295</v>
      </c>
      <c r="F10" s="80">
        <v>0.36613024999999993</v>
      </c>
      <c r="G10" s="80">
        <v>0.008098887078422996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4.7033448</v>
      </c>
      <c r="E11" s="78">
        <v>0.0034352059856038388</v>
      </c>
      <c r="F11" s="78">
        <v>-0.39529242</v>
      </c>
      <c r="G11" s="78">
        <v>0.004779111097223348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-0.1859102</v>
      </c>
      <c r="E12" s="80">
        <v>0.0026402457656434335</v>
      </c>
      <c r="F12" s="80">
        <v>-0.37555813</v>
      </c>
      <c r="G12" s="80">
        <v>0.006540322919140616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17.666626</v>
      </c>
      <c r="D13" s="83">
        <v>0.090517369</v>
      </c>
      <c r="E13" s="80">
        <v>0.0024222716255355536</v>
      </c>
      <c r="F13" s="80">
        <v>0.21594549000000002</v>
      </c>
      <c r="G13" s="80">
        <v>0.0039411289853786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0.13495763</v>
      </c>
      <c r="E14" s="80">
        <v>0.003779590695909147</v>
      </c>
      <c r="F14" s="80">
        <v>0.26490674</v>
      </c>
      <c r="G14" s="80">
        <v>0.0023808708672284143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-0.08048258100000001</v>
      </c>
      <c r="E15" s="78">
        <v>0.001969808279280597</v>
      </c>
      <c r="F15" s="78">
        <v>0.09146555</v>
      </c>
      <c r="G15" s="78">
        <v>0.0023068614417969062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-0.026041183000000002</v>
      </c>
      <c r="E16" s="80">
        <v>0.002843240434543989</v>
      </c>
      <c r="F16" s="80">
        <v>0.039518106</v>
      </c>
      <c r="G16" s="80">
        <v>0.002505586437526002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-0.2669999897480011</v>
      </c>
      <c r="D17" s="83">
        <v>-0.003979550940000001</v>
      </c>
      <c r="E17" s="80">
        <v>0.000945939720653342</v>
      </c>
      <c r="F17" s="80">
        <v>-0.00117675496</v>
      </c>
      <c r="G17" s="80">
        <v>0.0016548395988247218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28.482999801635742</v>
      </c>
      <c r="D18" s="83">
        <v>0.035492143000000004</v>
      </c>
      <c r="E18" s="80">
        <v>0.000901224734528399</v>
      </c>
      <c r="F18" s="80">
        <v>0.016394828</v>
      </c>
      <c r="G18" s="80">
        <v>0.0007422228545767005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-0.3149999976158142</v>
      </c>
      <c r="D19" s="86">
        <v>-0.16769662999999999</v>
      </c>
      <c r="E19" s="80">
        <v>0.00058677451598086</v>
      </c>
      <c r="F19" s="80">
        <v>0.020782337</v>
      </c>
      <c r="G19" s="80">
        <v>0.0011061639041959896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0.26550070000000003</v>
      </c>
      <c r="D20" s="88">
        <v>-0.0016663108700000003</v>
      </c>
      <c r="E20" s="89">
        <v>0.0008459541044535943</v>
      </c>
      <c r="F20" s="89">
        <v>0.006748631599999999</v>
      </c>
      <c r="G20" s="89">
        <v>0.0005136074910797637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0.10939220000000001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0.23121275850763462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-3.7524871</v>
      </c>
      <c r="I25" s="101" t="s">
        <v>49</v>
      </c>
      <c r="J25" s="102"/>
      <c r="K25" s="101"/>
      <c r="L25" s="104">
        <v>4.719926737248842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0.5217312420106112</v>
      </c>
      <c r="I26" s="106" t="s">
        <v>53</v>
      </c>
      <c r="J26" s="107"/>
      <c r="K26" s="106"/>
      <c r="L26" s="109">
        <v>0.1218334628959715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HCMQAP103_pos3ap2res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6.476793E-05</v>
      </c>
      <c r="L2" s="55">
        <v>1.4110041194164644E-07</v>
      </c>
      <c r="M2" s="55">
        <v>7.9437194E-05</v>
      </c>
      <c r="N2" s="56">
        <v>1.6703538281826892E-07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-2.9266422000000002E-05</v>
      </c>
      <c r="L3" s="55">
        <v>7.237095788860654E-08</v>
      </c>
      <c r="M3" s="55">
        <v>1.0267973999999998E-05</v>
      </c>
      <c r="N3" s="56">
        <v>2.4048488749607563E-07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-0.003752291857826045</v>
      </c>
      <c r="L4" s="55">
        <v>-4.6558819839570964E-05</v>
      </c>
      <c r="M4" s="55">
        <v>6.191010158406324E-08</v>
      </c>
      <c r="N4" s="56">
        <v>6.2037326</v>
      </c>
    </row>
    <row r="5" spans="1:14" ht="15" customHeight="1" thickBot="1">
      <c r="A5" t="s">
        <v>18</v>
      </c>
      <c r="B5" s="59">
        <v>37924.29015046296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2500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1.8672365</v>
      </c>
      <c r="E8" s="78">
        <v>0.011414187272886686</v>
      </c>
      <c r="F8" s="78">
        <v>0.59091297</v>
      </c>
      <c r="G8" s="78">
        <v>0.01206216129624162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0.0958971778</v>
      </c>
      <c r="E9" s="80">
        <v>0.006863595152443481</v>
      </c>
      <c r="F9" s="80">
        <v>1.8972805000000001</v>
      </c>
      <c r="G9" s="80">
        <v>0.008577635274275245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-0.67925623</v>
      </c>
      <c r="E10" s="80">
        <v>0.006925306531735652</v>
      </c>
      <c r="F10" s="80">
        <v>0.65903361</v>
      </c>
      <c r="G10" s="80">
        <v>0.007903007200892206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4.3689392</v>
      </c>
      <c r="E11" s="78">
        <v>0.0053834831999654545</v>
      </c>
      <c r="F11" s="78">
        <v>-0.41878405999999996</v>
      </c>
      <c r="G11" s="78">
        <v>0.003462375260054517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-0.26479675</v>
      </c>
      <c r="E12" s="80">
        <v>0.003879585412127975</v>
      </c>
      <c r="F12" s="80">
        <v>-0.28796213000000004</v>
      </c>
      <c r="G12" s="80">
        <v>0.0037924253050767597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17.837525</v>
      </c>
      <c r="D13" s="83">
        <v>0.005240484270000001</v>
      </c>
      <c r="E13" s="80">
        <v>0.003596551530213141</v>
      </c>
      <c r="F13" s="80">
        <v>0.13813264</v>
      </c>
      <c r="G13" s="80">
        <v>0.0029895981605225297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0.033123276</v>
      </c>
      <c r="E14" s="80">
        <v>0.0017721539466405848</v>
      </c>
      <c r="F14" s="80">
        <v>0.076008694</v>
      </c>
      <c r="G14" s="80">
        <v>0.0034653371688689555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-0.057045904</v>
      </c>
      <c r="E15" s="78">
        <v>0.0019816855177280674</v>
      </c>
      <c r="F15" s="78">
        <v>0.026341842999999997</v>
      </c>
      <c r="G15" s="78">
        <v>0.0021785731683710333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-0.029219926</v>
      </c>
      <c r="E16" s="80">
        <v>0.0013106050274602076</v>
      </c>
      <c r="F16" s="80">
        <v>-0.031293703</v>
      </c>
      <c r="G16" s="80">
        <v>0.0013600742905099002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0.4020000100135803</v>
      </c>
      <c r="D17" s="83">
        <v>0.0045479176</v>
      </c>
      <c r="E17" s="80">
        <v>0.001342362366054093</v>
      </c>
      <c r="F17" s="80">
        <v>0.021978718</v>
      </c>
      <c r="G17" s="80">
        <v>0.0013496069340648668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0.044085395</v>
      </c>
      <c r="E18" s="80">
        <v>0.0012926652479394916</v>
      </c>
      <c r="F18" s="80">
        <v>0.020672188</v>
      </c>
      <c r="G18" s="80">
        <v>0.0017510649052293393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0.34299999475479126</v>
      </c>
      <c r="D19" s="86">
        <v>-0.16514616</v>
      </c>
      <c r="E19" s="80">
        <v>0.0013752071707193254</v>
      </c>
      <c r="F19" s="80">
        <v>0.013713016</v>
      </c>
      <c r="G19" s="80">
        <v>0.0012502369774222866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0.2889174</v>
      </c>
      <c r="D20" s="88">
        <v>0.001985139829</v>
      </c>
      <c r="E20" s="89">
        <v>0.0004027734685864581</v>
      </c>
      <c r="F20" s="89">
        <v>0.00080543283</v>
      </c>
      <c r="G20" s="89">
        <v>0.001041701849765871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0.36347770000000007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0.3554479954417986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-3.7525806999999993</v>
      </c>
      <c r="I25" s="101" t="s">
        <v>49</v>
      </c>
      <c r="J25" s="102"/>
      <c r="K25" s="101"/>
      <c r="L25" s="104">
        <v>4.388964550119621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1.9585071572619974</v>
      </c>
      <c r="I26" s="106" t="s">
        <v>53</v>
      </c>
      <c r="J26" s="107"/>
      <c r="K26" s="106"/>
      <c r="L26" s="109">
        <v>0.06283412970523157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HCMQAP103_pos4ap2res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2.7191556999999995E-05</v>
      </c>
      <c r="L2" s="55">
        <v>3.17140733900961E-08</v>
      </c>
      <c r="M2" s="55">
        <v>6.652432100000001E-05</v>
      </c>
      <c r="N2" s="56">
        <v>9.291286042823045E-08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-3.1613283E-05</v>
      </c>
      <c r="L3" s="55">
        <v>1.6934657511377697E-07</v>
      </c>
      <c r="M3" s="55">
        <v>9.655575000000003E-06</v>
      </c>
      <c r="N3" s="56">
        <v>1.7583702917755413E-07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-0.0020796587131212546</v>
      </c>
      <c r="L4" s="55">
        <v>-3.250988376918926E-05</v>
      </c>
      <c r="M4" s="55">
        <v>6.129975426838471E-08</v>
      </c>
      <c r="N4" s="56">
        <v>7.815521800000001</v>
      </c>
    </row>
    <row r="5" spans="1:14" ht="15" customHeight="1" thickBot="1">
      <c r="A5" t="s">
        <v>18</v>
      </c>
      <c r="B5" s="59">
        <v>37924.29467592593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2500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-0.8817134400000001</v>
      </c>
      <c r="E8" s="78">
        <v>0.03382603055768502</v>
      </c>
      <c r="F8" s="78">
        <v>4.114237999999999</v>
      </c>
      <c r="G8" s="78">
        <v>0.007543771848662194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0.120903644</v>
      </c>
      <c r="E9" s="80">
        <v>0.017450390391228945</v>
      </c>
      <c r="F9" s="114">
        <v>3.8282205000000005</v>
      </c>
      <c r="G9" s="80">
        <v>0.01138993756336499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-0.35667558</v>
      </c>
      <c r="E10" s="80">
        <v>0.012456278047500227</v>
      </c>
      <c r="F10" s="80">
        <v>-0.52360523</v>
      </c>
      <c r="G10" s="80">
        <v>0.005770160276339593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14.907953999999998</v>
      </c>
      <c r="E11" s="78">
        <v>0.005571431058700641</v>
      </c>
      <c r="F11" s="78">
        <v>1.2137193</v>
      </c>
      <c r="G11" s="78">
        <v>0.0039049935927665063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-0.38810482</v>
      </c>
      <c r="E12" s="80">
        <v>0.0064559957014842136</v>
      </c>
      <c r="F12" s="80">
        <v>0.20321892999999996</v>
      </c>
      <c r="G12" s="80">
        <v>0.002409696764451542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17.977906</v>
      </c>
      <c r="D13" s="83">
        <v>-0.0149961037</v>
      </c>
      <c r="E13" s="80">
        <v>0.004197668190841743</v>
      </c>
      <c r="F13" s="80">
        <v>0.37520859</v>
      </c>
      <c r="G13" s="80">
        <v>0.007179001399456085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0.004080558</v>
      </c>
      <c r="E14" s="80">
        <v>0.002678814165339955</v>
      </c>
      <c r="F14" s="80">
        <v>0.0291680436</v>
      </c>
      <c r="G14" s="80">
        <v>0.001954264336514143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-0.37839343999999997</v>
      </c>
      <c r="E15" s="78">
        <v>0.00655518448782582</v>
      </c>
      <c r="F15" s="78">
        <v>0.24617368</v>
      </c>
      <c r="G15" s="78">
        <v>0.002653044590766736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-0.026691556999999998</v>
      </c>
      <c r="E16" s="80">
        <v>0.002593207680390468</v>
      </c>
      <c r="F16" s="80">
        <v>0.004468668</v>
      </c>
      <c r="G16" s="80">
        <v>0.002416012032981191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-0.21799999475479126</v>
      </c>
      <c r="D17" s="83">
        <v>-0.0013144848000000004</v>
      </c>
      <c r="E17" s="80">
        <v>0.0022065155965989135</v>
      </c>
      <c r="F17" s="80">
        <v>0.049811982</v>
      </c>
      <c r="G17" s="80">
        <v>0.0018021863095380414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31.025999069213867</v>
      </c>
      <c r="D18" s="83">
        <v>0.0018414785900000002</v>
      </c>
      <c r="E18" s="80">
        <v>0.0013854357552549668</v>
      </c>
      <c r="F18" s="80">
        <v>0.034609665</v>
      </c>
      <c r="G18" s="80">
        <v>0.0015860806532046292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-0.2709999978542328</v>
      </c>
      <c r="D19" s="83">
        <v>-0.12888158</v>
      </c>
      <c r="E19" s="80">
        <v>0.0015723822037280693</v>
      </c>
      <c r="F19" s="80">
        <v>-0.018703093</v>
      </c>
      <c r="G19" s="80">
        <v>0.0019896981331513574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0.2137057</v>
      </c>
      <c r="D20" s="88">
        <v>0.00161006801</v>
      </c>
      <c r="E20" s="89">
        <v>0.0017638158060978872</v>
      </c>
      <c r="F20" s="89">
        <v>0.00027513611000000004</v>
      </c>
      <c r="G20" s="89">
        <v>0.0008108970210765325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0.5471378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0.44779679207025747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-2.0799128</v>
      </c>
      <c r="I25" s="101" t="s">
        <v>49</v>
      </c>
      <c r="J25" s="102"/>
      <c r="K25" s="101"/>
      <c r="L25" s="104">
        <v>14.957279398517247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4.2076564630350495</v>
      </c>
      <c r="I26" s="106" t="s">
        <v>53</v>
      </c>
      <c r="J26" s="107"/>
      <c r="K26" s="106"/>
      <c r="L26" s="109">
        <v>0.4514233890260627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HCMQAP103_pos5ap2res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68</v>
      </c>
      <c r="C1" s="120" t="s">
        <v>73</v>
      </c>
      <c r="D1" s="120" t="s">
        <v>75</v>
      </c>
      <c r="E1" s="120" t="s">
        <v>78</v>
      </c>
      <c r="F1" s="127" t="s">
        <v>81</v>
      </c>
      <c r="G1" s="162" t="s">
        <v>121</v>
      </c>
    </row>
    <row r="2" spans="1:7" ht="13.5" thickBot="1">
      <c r="A2" s="139" t="s">
        <v>90</v>
      </c>
      <c r="B2" s="131">
        <v>-2.2600670000000003</v>
      </c>
      <c r="C2" s="122">
        <v>-3.7523294999999997</v>
      </c>
      <c r="D2" s="122">
        <v>-3.7524871</v>
      </c>
      <c r="E2" s="122">
        <v>-3.7525806999999993</v>
      </c>
      <c r="F2" s="128">
        <v>-2.0799128</v>
      </c>
      <c r="G2" s="163">
        <v>3.1170099381559537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7" t="s">
        <v>122</v>
      </c>
    </row>
    <row r="4" spans="1:7" ht="12.75">
      <c r="A4" s="144" t="s">
        <v>91</v>
      </c>
      <c r="B4" s="145">
        <v>1.1561835999999999</v>
      </c>
      <c r="C4" s="146">
        <v>1.7230531</v>
      </c>
      <c r="D4" s="146">
        <v>-0.17297542999999999</v>
      </c>
      <c r="E4" s="146">
        <v>1.8672365</v>
      </c>
      <c r="F4" s="151">
        <v>-0.8817134400000001</v>
      </c>
      <c r="G4" s="158">
        <v>0.8721014952092947</v>
      </c>
    </row>
    <row r="5" spans="1:7" ht="12.75">
      <c r="A5" s="139" t="s">
        <v>93</v>
      </c>
      <c r="B5" s="133">
        <v>-0.077463956</v>
      </c>
      <c r="C5" s="117">
        <v>0.28853811</v>
      </c>
      <c r="D5" s="117">
        <v>0.73818234</v>
      </c>
      <c r="E5" s="117">
        <v>0.0958971778</v>
      </c>
      <c r="F5" s="152">
        <v>0.120903644</v>
      </c>
      <c r="G5" s="159">
        <v>0.27498001410756423</v>
      </c>
    </row>
    <row r="6" spans="1:7" ht="12.75">
      <c r="A6" s="139" t="s">
        <v>95</v>
      </c>
      <c r="B6" s="133">
        <v>-0.366136441</v>
      </c>
      <c r="C6" s="117">
        <v>-0.53028487</v>
      </c>
      <c r="D6" s="117">
        <v>0.1437508432</v>
      </c>
      <c r="E6" s="117">
        <v>-0.67925623</v>
      </c>
      <c r="F6" s="152">
        <v>-0.35667558</v>
      </c>
      <c r="G6" s="159">
        <v>-0.35702741248246633</v>
      </c>
    </row>
    <row r="7" spans="1:7" ht="12.75">
      <c r="A7" s="139" t="s">
        <v>97</v>
      </c>
      <c r="B7" s="132">
        <v>4.1738027</v>
      </c>
      <c r="C7" s="116">
        <v>3.9802120000000003</v>
      </c>
      <c r="D7" s="116">
        <v>4.7033448</v>
      </c>
      <c r="E7" s="116">
        <v>4.3689392</v>
      </c>
      <c r="F7" s="153">
        <v>14.907953999999998</v>
      </c>
      <c r="G7" s="159">
        <v>5.732978181779783</v>
      </c>
    </row>
    <row r="8" spans="1:7" ht="12.75">
      <c r="A8" s="139" t="s">
        <v>99</v>
      </c>
      <c r="B8" s="133">
        <v>0.09428262200000001</v>
      </c>
      <c r="C8" s="117">
        <v>0.08814174799999999</v>
      </c>
      <c r="D8" s="117">
        <v>-0.1859102</v>
      </c>
      <c r="E8" s="117">
        <v>-0.26479675</v>
      </c>
      <c r="F8" s="152">
        <v>-0.38810482</v>
      </c>
      <c r="G8" s="159">
        <v>-0.1253222927932672</v>
      </c>
    </row>
    <row r="9" spans="1:7" ht="12.75">
      <c r="A9" s="139" t="s">
        <v>101</v>
      </c>
      <c r="B9" s="133">
        <v>-0.046415322</v>
      </c>
      <c r="C9" s="117">
        <v>-0.029345583</v>
      </c>
      <c r="D9" s="117">
        <v>0.090517369</v>
      </c>
      <c r="E9" s="117">
        <v>0.005240484270000001</v>
      </c>
      <c r="F9" s="152">
        <v>-0.0149961037</v>
      </c>
      <c r="G9" s="159">
        <v>0.007252756443310307</v>
      </c>
    </row>
    <row r="10" spans="1:7" ht="12.75">
      <c r="A10" s="139" t="s">
        <v>103</v>
      </c>
      <c r="B10" s="133">
        <v>-0.09033674</v>
      </c>
      <c r="C10" s="117">
        <v>0.00365179604</v>
      </c>
      <c r="D10" s="117">
        <v>0.13495763</v>
      </c>
      <c r="E10" s="117">
        <v>0.033123276</v>
      </c>
      <c r="F10" s="152">
        <v>0.004080558</v>
      </c>
      <c r="G10" s="159">
        <v>0.028770695921853662</v>
      </c>
    </row>
    <row r="11" spans="1:7" ht="12.75">
      <c r="A11" s="139" t="s">
        <v>105</v>
      </c>
      <c r="B11" s="132">
        <v>-0.39179971</v>
      </c>
      <c r="C11" s="116">
        <v>-0.09507608100000002</v>
      </c>
      <c r="D11" s="116">
        <v>-0.08048258100000001</v>
      </c>
      <c r="E11" s="116">
        <v>-0.057045904</v>
      </c>
      <c r="F11" s="154">
        <v>-0.37839343999999997</v>
      </c>
      <c r="G11" s="159">
        <v>-0.1631912165087648</v>
      </c>
    </row>
    <row r="12" spans="1:7" ht="12.75">
      <c r="A12" s="139" t="s">
        <v>107</v>
      </c>
      <c r="B12" s="133">
        <v>-0.007509326630000002</v>
      </c>
      <c r="C12" s="117">
        <v>0.012139907800000002</v>
      </c>
      <c r="D12" s="117">
        <v>-0.026041183000000002</v>
      </c>
      <c r="E12" s="117">
        <v>-0.029219926</v>
      </c>
      <c r="F12" s="152">
        <v>-0.026691556999999998</v>
      </c>
      <c r="G12" s="159">
        <v>-0.01502201878795129</v>
      </c>
    </row>
    <row r="13" spans="1:7" ht="12.75">
      <c r="A13" s="139" t="s">
        <v>109</v>
      </c>
      <c r="B13" s="133">
        <v>-0.01056748935</v>
      </c>
      <c r="C13" s="117">
        <v>0.00883892339</v>
      </c>
      <c r="D13" s="117">
        <v>-0.003979550940000001</v>
      </c>
      <c r="E13" s="117">
        <v>0.0045479176</v>
      </c>
      <c r="F13" s="152">
        <v>-0.0013144848000000004</v>
      </c>
      <c r="G13" s="159">
        <v>0.0005566653585385549</v>
      </c>
    </row>
    <row r="14" spans="1:7" ht="12.75">
      <c r="A14" s="139" t="s">
        <v>111</v>
      </c>
      <c r="B14" s="133">
        <v>0.0201745184</v>
      </c>
      <c r="C14" s="117">
        <v>0.034430481</v>
      </c>
      <c r="D14" s="117">
        <v>0.035492143000000004</v>
      </c>
      <c r="E14" s="117">
        <v>0.044085395</v>
      </c>
      <c r="F14" s="152">
        <v>0.0018414785900000002</v>
      </c>
      <c r="G14" s="159">
        <v>0.030597336709274094</v>
      </c>
    </row>
    <row r="15" spans="1:7" ht="12.75">
      <c r="A15" s="139" t="s">
        <v>113</v>
      </c>
      <c r="B15" s="134">
        <v>-0.17828874</v>
      </c>
      <c r="C15" s="118">
        <v>-0.15233941</v>
      </c>
      <c r="D15" s="118">
        <v>-0.16769662999999999</v>
      </c>
      <c r="E15" s="118">
        <v>-0.16514616</v>
      </c>
      <c r="F15" s="152">
        <v>-0.12888158</v>
      </c>
      <c r="G15" s="159">
        <v>-0.15974726553934404</v>
      </c>
    </row>
    <row r="16" spans="1:7" ht="12.75">
      <c r="A16" s="139" t="s">
        <v>115</v>
      </c>
      <c r="B16" s="133">
        <v>0.0004573791000000001</v>
      </c>
      <c r="C16" s="117">
        <v>0.0014892034199999998</v>
      </c>
      <c r="D16" s="117">
        <v>-0.0016663108700000003</v>
      </c>
      <c r="E16" s="117">
        <v>0.001985139829</v>
      </c>
      <c r="F16" s="152">
        <v>0.00161006801</v>
      </c>
      <c r="G16" s="159">
        <v>0.0007159586955474736</v>
      </c>
    </row>
    <row r="17" spans="1:7" ht="12.75">
      <c r="A17" s="139" t="s">
        <v>92</v>
      </c>
      <c r="B17" s="132">
        <v>0.39420429</v>
      </c>
      <c r="C17" s="116">
        <v>1.7356289</v>
      </c>
      <c r="D17" s="116">
        <v>-0.4922225</v>
      </c>
      <c r="E17" s="116">
        <v>0.59091297</v>
      </c>
      <c r="F17" s="154">
        <v>4.114237999999999</v>
      </c>
      <c r="G17" s="159">
        <v>1.0470495025140034</v>
      </c>
    </row>
    <row r="18" spans="1:7" ht="12.75">
      <c r="A18" s="139" t="s">
        <v>94</v>
      </c>
      <c r="B18" s="133">
        <v>0.9914428799999999</v>
      </c>
      <c r="C18" s="117">
        <v>2.1502790999999997</v>
      </c>
      <c r="D18" s="118">
        <v>2.8130224000000004</v>
      </c>
      <c r="E18" s="117">
        <v>1.8972805000000001</v>
      </c>
      <c r="F18" s="155">
        <v>3.8282205000000005</v>
      </c>
      <c r="G18" s="160">
        <v>2.3046936724769065</v>
      </c>
    </row>
    <row r="19" spans="1:7" ht="12.75">
      <c r="A19" s="139" t="s">
        <v>96</v>
      </c>
      <c r="B19" s="133">
        <v>0.23598499999999997</v>
      </c>
      <c r="C19" s="117">
        <v>0.97245922</v>
      </c>
      <c r="D19" s="117">
        <v>0.36613024999999993</v>
      </c>
      <c r="E19" s="117">
        <v>0.65903361</v>
      </c>
      <c r="F19" s="152">
        <v>-0.52360523</v>
      </c>
      <c r="G19" s="159">
        <v>0.4449627594953864</v>
      </c>
    </row>
    <row r="20" spans="1:7" ht="12.75">
      <c r="A20" s="139" t="s">
        <v>98</v>
      </c>
      <c r="B20" s="132">
        <v>0.80933712</v>
      </c>
      <c r="C20" s="116">
        <v>-0.40099418</v>
      </c>
      <c r="D20" s="116">
        <v>-0.39529242</v>
      </c>
      <c r="E20" s="116">
        <v>-0.41878405999999996</v>
      </c>
      <c r="F20" s="154">
        <v>1.2137193</v>
      </c>
      <c r="G20" s="159">
        <v>-0.013202639966924539</v>
      </c>
    </row>
    <row r="21" spans="1:7" ht="12.75">
      <c r="A21" s="139" t="s">
        <v>100</v>
      </c>
      <c r="B21" s="133">
        <v>0.027868588</v>
      </c>
      <c r="C21" s="117">
        <v>-0.22087094999999998</v>
      </c>
      <c r="D21" s="117">
        <v>-0.37555813</v>
      </c>
      <c r="E21" s="117">
        <v>-0.28796213000000004</v>
      </c>
      <c r="F21" s="152">
        <v>0.20321892999999996</v>
      </c>
      <c r="G21" s="159">
        <v>-0.18163286063573722</v>
      </c>
    </row>
    <row r="22" spans="1:7" ht="12.75">
      <c r="A22" s="139" t="s">
        <v>102</v>
      </c>
      <c r="B22" s="133">
        <v>0.1670796</v>
      </c>
      <c r="C22" s="117">
        <v>0.035454611000000004</v>
      </c>
      <c r="D22" s="117">
        <v>0.21594549000000002</v>
      </c>
      <c r="E22" s="117">
        <v>0.13813264</v>
      </c>
      <c r="F22" s="152">
        <v>0.37520859</v>
      </c>
      <c r="G22" s="159">
        <v>0.16796004544525014</v>
      </c>
    </row>
    <row r="23" spans="1:7" ht="12.75">
      <c r="A23" s="139" t="s">
        <v>104</v>
      </c>
      <c r="B23" s="133">
        <v>-0.061230012</v>
      </c>
      <c r="C23" s="117">
        <v>0.18798847</v>
      </c>
      <c r="D23" s="117">
        <v>0.26490674</v>
      </c>
      <c r="E23" s="117">
        <v>0.076008694</v>
      </c>
      <c r="F23" s="152">
        <v>0.0291680436</v>
      </c>
      <c r="G23" s="159">
        <v>0.12226194249251811</v>
      </c>
    </row>
    <row r="24" spans="1:7" ht="12.75">
      <c r="A24" s="139" t="s">
        <v>106</v>
      </c>
      <c r="B24" s="132">
        <v>0.07442591700000001</v>
      </c>
      <c r="C24" s="116">
        <v>0.033311852</v>
      </c>
      <c r="D24" s="116">
        <v>0.09146555</v>
      </c>
      <c r="E24" s="116">
        <v>0.026341842999999997</v>
      </c>
      <c r="F24" s="154">
        <v>0.24617368</v>
      </c>
      <c r="G24" s="159">
        <v>0.07996841854162853</v>
      </c>
    </row>
    <row r="25" spans="1:7" ht="12.75">
      <c r="A25" s="139" t="s">
        <v>108</v>
      </c>
      <c r="B25" s="133">
        <v>-0.0019875487469999996</v>
      </c>
      <c r="C25" s="117">
        <v>0.021732624</v>
      </c>
      <c r="D25" s="117">
        <v>0.039518106</v>
      </c>
      <c r="E25" s="117">
        <v>-0.031293703</v>
      </c>
      <c r="F25" s="152">
        <v>0.004468668</v>
      </c>
      <c r="G25" s="159">
        <v>0.007514689739589157</v>
      </c>
    </row>
    <row r="26" spans="1:7" ht="12.75">
      <c r="A26" s="139" t="s">
        <v>110</v>
      </c>
      <c r="B26" s="133">
        <v>0.02505922</v>
      </c>
      <c r="C26" s="117">
        <v>-0.008728076140000002</v>
      </c>
      <c r="D26" s="117">
        <v>-0.00117675496</v>
      </c>
      <c r="E26" s="117">
        <v>0.021978718</v>
      </c>
      <c r="F26" s="152">
        <v>0.049811982</v>
      </c>
      <c r="G26" s="159">
        <v>0.01317853837840614</v>
      </c>
    </row>
    <row r="27" spans="1:7" ht="12.75">
      <c r="A27" s="139" t="s">
        <v>112</v>
      </c>
      <c r="B27" s="133">
        <v>0.041529981</v>
      </c>
      <c r="C27" s="117">
        <v>0.011368478400000001</v>
      </c>
      <c r="D27" s="117">
        <v>0.016394828</v>
      </c>
      <c r="E27" s="117">
        <v>0.020672188</v>
      </c>
      <c r="F27" s="152">
        <v>0.034609665</v>
      </c>
      <c r="G27" s="159">
        <v>0.02228575572290691</v>
      </c>
    </row>
    <row r="28" spans="1:7" ht="12.75">
      <c r="A28" s="139" t="s">
        <v>114</v>
      </c>
      <c r="B28" s="133">
        <v>0.0118725355</v>
      </c>
      <c r="C28" s="117">
        <v>0.0128718423</v>
      </c>
      <c r="D28" s="117">
        <v>0.020782337</v>
      </c>
      <c r="E28" s="117">
        <v>0.013713016</v>
      </c>
      <c r="F28" s="152">
        <v>-0.018703093</v>
      </c>
      <c r="G28" s="159">
        <v>0.010622040254573946</v>
      </c>
    </row>
    <row r="29" spans="1:7" ht="13.5" thickBot="1">
      <c r="A29" s="140" t="s">
        <v>116</v>
      </c>
      <c r="B29" s="135">
        <v>0.0010034847999999999</v>
      </c>
      <c r="C29" s="119">
        <v>0.007375583099999999</v>
      </c>
      <c r="D29" s="119">
        <v>0.006748631599999999</v>
      </c>
      <c r="E29" s="119">
        <v>0.00080543283</v>
      </c>
      <c r="F29" s="156">
        <v>0.00027513611000000004</v>
      </c>
      <c r="G29" s="161">
        <v>0.003773866873995179</v>
      </c>
    </row>
    <row r="30" spans="1:7" ht="13.5" thickTop="1">
      <c r="A30" s="141" t="s">
        <v>117</v>
      </c>
      <c r="B30" s="136">
        <v>-0.17386173179822956</v>
      </c>
      <c r="C30" s="125">
        <v>0.10309614176261067</v>
      </c>
      <c r="D30" s="125">
        <v>0.23121275850763462</v>
      </c>
      <c r="E30" s="125">
        <v>0.3554479954417986</v>
      </c>
      <c r="F30" s="121">
        <v>0.44779679207025747</v>
      </c>
      <c r="G30" s="162" t="s">
        <v>128</v>
      </c>
    </row>
    <row r="31" spans="1:7" ht="13.5" thickBot="1">
      <c r="A31" s="142" t="s">
        <v>118</v>
      </c>
      <c r="B31" s="131">
        <v>17.288209</v>
      </c>
      <c r="C31" s="122">
        <v>17.471314</v>
      </c>
      <c r="D31" s="122">
        <v>17.666626</v>
      </c>
      <c r="E31" s="122">
        <v>17.837525</v>
      </c>
      <c r="F31" s="123">
        <v>17.977906</v>
      </c>
      <c r="G31" s="164">
        <v>-209.61</v>
      </c>
    </row>
    <row r="32" spans="1:7" ht="15.75" thickBot="1" thickTop="1">
      <c r="A32" s="143" t="s">
        <v>119</v>
      </c>
      <c r="B32" s="137">
        <v>-0.3930000066757202</v>
      </c>
      <c r="C32" s="126">
        <v>0.39800000190734863</v>
      </c>
      <c r="D32" s="126">
        <v>-0.29099999368190765</v>
      </c>
      <c r="E32" s="126">
        <v>0.3725000023841858</v>
      </c>
      <c r="F32" s="124">
        <v>-0.24449999630451202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5" width="22.16015625" style="165" bestFit="1" customWidth="1"/>
    <col min="6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28</v>
      </c>
    </row>
    <row r="3" spans="1:7" ht="12.75">
      <c r="A3" s="165" t="s">
        <v>133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134</v>
      </c>
    </row>
    <row r="4" spans="1:7" ht="12.75">
      <c r="A4" s="165" t="s">
        <v>135</v>
      </c>
      <c r="B4" s="165">
        <f>0.002259*1.0033</f>
        <v>0.0022664547000000005</v>
      </c>
      <c r="C4" s="165">
        <f>0.00375*1.0033</f>
        <v>0.003762375</v>
      </c>
      <c r="D4" s="165">
        <f>0.003751*1.0033</f>
        <v>0.0037633783000000005</v>
      </c>
      <c r="E4" s="165">
        <f>0.003751*1.0033</f>
        <v>0.0037633783000000005</v>
      </c>
      <c r="F4" s="165">
        <f>0.002079*1.0033</f>
        <v>0.0020858607000000004</v>
      </c>
      <c r="G4" s="165">
        <f>0.01169*1.0033</f>
        <v>0.011728577000000002</v>
      </c>
    </row>
    <row r="5" spans="1:7" ht="12.75">
      <c r="A5" s="165" t="s">
        <v>136</v>
      </c>
      <c r="B5" s="165">
        <v>6.710335</v>
      </c>
      <c r="C5" s="165">
        <v>2.033157</v>
      </c>
      <c r="D5" s="165">
        <v>-0.963946</v>
      </c>
      <c r="E5" s="165">
        <v>-2.47981</v>
      </c>
      <c r="F5" s="165">
        <v>-4.717841</v>
      </c>
      <c r="G5" s="165">
        <v>3.450713</v>
      </c>
    </row>
    <row r="6" spans="1:7" ht="12.75">
      <c r="A6" s="165" t="s">
        <v>137</v>
      </c>
      <c r="B6" s="166">
        <v>7.247082</v>
      </c>
      <c r="C6" s="166">
        <v>-38.53217</v>
      </c>
      <c r="D6" s="166">
        <v>13.07538</v>
      </c>
      <c r="E6" s="166">
        <v>-1.706641</v>
      </c>
      <c r="F6" s="166">
        <v>41.12624</v>
      </c>
      <c r="G6" s="166">
        <v>-0.0007751191</v>
      </c>
    </row>
    <row r="7" spans="1:7" ht="12.75">
      <c r="A7" s="165" t="s">
        <v>138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1.168031</v>
      </c>
      <c r="C8" s="166">
        <v>1.668514</v>
      </c>
      <c r="D8" s="166">
        <v>-0.2663863</v>
      </c>
      <c r="E8" s="166">
        <v>1.891498</v>
      </c>
      <c r="F8" s="166">
        <v>-0.6521107</v>
      </c>
      <c r="G8" s="166">
        <v>0.8746968</v>
      </c>
    </row>
    <row r="9" spans="1:7" ht="12.75">
      <c r="A9" s="165" t="s">
        <v>93</v>
      </c>
      <c r="B9" s="166">
        <v>-0.1072873</v>
      </c>
      <c r="C9" s="166">
        <v>0.2517774</v>
      </c>
      <c r="D9" s="166">
        <v>0.7258799</v>
      </c>
      <c r="E9" s="166">
        <v>0.1225692</v>
      </c>
      <c r="F9" s="166">
        <v>0.0942392</v>
      </c>
      <c r="G9" s="166">
        <v>0.2617575</v>
      </c>
    </row>
    <row r="10" spans="1:7" ht="12.75">
      <c r="A10" s="165" t="s">
        <v>95</v>
      </c>
      <c r="B10" s="166">
        <v>-0.3185794</v>
      </c>
      <c r="C10" s="166">
        <v>-0.6034423</v>
      </c>
      <c r="D10" s="166">
        <v>0.2018949</v>
      </c>
      <c r="E10" s="166">
        <v>-0.6811595</v>
      </c>
      <c r="F10" s="166">
        <v>0.01247248</v>
      </c>
      <c r="G10" s="166">
        <v>-0.3049742</v>
      </c>
    </row>
    <row r="11" spans="1:7" ht="12.75">
      <c r="A11" s="165" t="s">
        <v>97</v>
      </c>
      <c r="B11" s="166">
        <v>4.138651</v>
      </c>
      <c r="C11" s="166">
        <v>3.989479</v>
      </c>
      <c r="D11" s="166">
        <v>4.7228</v>
      </c>
      <c r="E11" s="166">
        <v>4.354788</v>
      </c>
      <c r="F11" s="166">
        <v>14.94605</v>
      </c>
      <c r="G11" s="166">
        <v>5.736421</v>
      </c>
    </row>
    <row r="12" spans="1:7" ht="12.75">
      <c r="A12" s="165" t="s">
        <v>99</v>
      </c>
      <c r="B12" s="166">
        <v>0.1043149</v>
      </c>
      <c r="C12" s="166">
        <v>0.09112005</v>
      </c>
      <c r="D12" s="166">
        <v>-0.2055481</v>
      </c>
      <c r="E12" s="166">
        <v>-0.2654758</v>
      </c>
      <c r="F12" s="166">
        <v>-0.3461142</v>
      </c>
      <c r="G12" s="166">
        <v>-0.1224463</v>
      </c>
    </row>
    <row r="13" spans="1:7" ht="12.75">
      <c r="A13" s="165" t="s">
        <v>101</v>
      </c>
      <c r="B13" s="166">
        <v>-0.05788679</v>
      </c>
      <c r="C13" s="166">
        <v>-0.03877726</v>
      </c>
      <c r="D13" s="166">
        <v>0.07055116</v>
      </c>
      <c r="E13" s="166">
        <v>0.01030509</v>
      </c>
      <c r="F13" s="166">
        <v>0.009675051</v>
      </c>
      <c r="G13" s="166">
        <v>0.003032271</v>
      </c>
    </row>
    <row r="14" spans="1:7" ht="12.75">
      <c r="A14" s="165" t="s">
        <v>103</v>
      </c>
      <c r="B14" s="166">
        <v>-0.0837078</v>
      </c>
      <c r="C14" s="166">
        <v>0.001213026</v>
      </c>
      <c r="D14" s="166">
        <v>0.1271106</v>
      </c>
      <c r="E14" s="166">
        <v>0.035899</v>
      </c>
      <c r="F14" s="166">
        <v>0.02655805</v>
      </c>
      <c r="G14" s="166">
        <v>0.03092777</v>
      </c>
    </row>
    <row r="15" spans="1:7" ht="12.75">
      <c r="A15" s="165" t="s">
        <v>105</v>
      </c>
      <c r="B15" s="166">
        <v>-0.3970246</v>
      </c>
      <c r="C15" s="166">
        <v>-0.09739863</v>
      </c>
      <c r="D15" s="166">
        <v>-0.08421562</v>
      </c>
      <c r="E15" s="166">
        <v>-0.05743279</v>
      </c>
      <c r="F15" s="166">
        <v>-0.3660139</v>
      </c>
      <c r="G15" s="166">
        <v>-0.1638402</v>
      </c>
    </row>
    <row r="16" spans="1:7" ht="12.75">
      <c r="A16" s="165" t="s">
        <v>107</v>
      </c>
      <c r="B16" s="166">
        <v>-0.006496345</v>
      </c>
      <c r="C16" s="166">
        <v>0.01123771</v>
      </c>
      <c r="D16" s="166">
        <v>-0.0260992</v>
      </c>
      <c r="E16" s="166">
        <v>-0.02992741</v>
      </c>
      <c r="F16" s="166">
        <v>-0.0186637</v>
      </c>
      <c r="G16" s="166">
        <v>-0.01420567</v>
      </c>
    </row>
    <row r="17" spans="1:7" ht="12.75">
      <c r="A17" s="165" t="s">
        <v>109</v>
      </c>
      <c r="B17" s="166">
        <v>-0.006414557</v>
      </c>
      <c r="C17" s="166">
        <v>0.006911141</v>
      </c>
      <c r="D17" s="166">
        <v>-0.004975843</v>
      </c>
      <c r="E17" s="166">
        <v>0.006376188</v>
      </c>
      <c r="F17" s="166">
        <v>0.008602523</v>
      </c>
      <c r="G17" s="166">
        <v>0.00221794</v>
      </c>
    </row>
    <row r="18" spans="1:7" ht="12.75">
      <c r="A18" s="165" t="s">
        <v>111</v>
      </c>
      <c r="B18" s="166">
        <v>0.01572206</v>
      </c>
      <c r="C18" s="166">
        <v>0.03632496</v>
      </c>
      <c r="D18" s="166">
        <v>0.03381546</v>
      </c>
      <c r="E18" s="166">
        <v>0.04519706</v>
      </c>
      <c r="F18" s="166">
        <v>0.001405821</v>
      </c>
      <c r="G18" s="166">
        <v>0.03021538</v>
      </c>
    </row>
    <row r="19" spans="1:7" ht="12.75">
      <c r="A19" s="165" t="s">
        <v>113</v>
      </c>
      <c r="B19" s="166">
        <v>-0.1785938</v>
      </c>
      <c r="C19" s="166">
        <v>-0.1526842</v>
      </c>
      <c r="D19" s="166">
        <v>-0.1674503</v>
      </c>
      <c r="E19" s="166">
        <v>-0.1645696</v>
      </c>
      <c r="F19" s="166">
        <v>-0.1298272</v>
      </c>
      <c r="G19" s="166">
        <v>-0.159802</v>
      </c>
    </row>
    <row r="20" spans="1:7" ht="12.75">
      <c r="A20" s="165" t="s">
        <v>115</v>
      </c>
      <c r="B20" s="166">
        <v>0.00034996</v>
      </c>
      <c r="C20" s="166">
        <v>0.001268502</v>
      </c>
      <c r="D20" s="166">
        <v>-0.001563507</v>
      </c>
      <c r="E20" s="166">
        <v>0.002014356</v>
      </c>
      <c r="F20" s="166">
        <v>0.001625875</v>
      </c>
      <c r="G20" s="166">
        <v>0.0006813761</v>
      </c>
    </row>
    <row r="21" spans="1:7" ht="12.75">
      <c r="A21" s="165" t="s">
        <v>139</v>
      </c>
      <c r="B21" s="166">
        <v>-84.35462</v>
      </c>
      <c r="C21" s="166">
        <v>60.94372</v>
      </c>
      <c r="D21" s="166">
        <v>110.4491</v>
      </c>
      <c r="E21" s="166">
        <v>-38.82608</v>
      </c>
      <c r="F21" s="166">
        <v>-147.516</v>
      </c>
      <c r="G21" s="166">
        <v>0.0005255587</v>
      </c>
    </row>
    <row r="22" spans="1:7" ht="12.75">
      <c r="A22" s="165" t="s">
        <v>140</v>
      </c>
      <c r="B22" s="166">
        <v>134.2148</v>
      </c>
      <c r="C22" s="166">
        <v>40.66336</v>
      </c>
      <c r="D22" s="166">
        <v>-19.27895</v>
      </c>
      <c r="E22" s="166">
        <v>-49.59661</v>
      </c>
      <c r="F22" s="166">
        <v>-94.35962</v>
      </c>
      <c r="G22" s="166">
        <v>0</v>
      </c>
    </row>
    <row r="23" spans="1:7" ht="12.75">
      <c r="A23" s="165" t="s">
        <v>92</v>
      </c>
      <c r="B23" s="166">
        <v>0.4238471</v>
      </c>
      <c r="C23" s="166">
        <v>1.725553</v>
      </c>
      <c r="D23" s="166">
        <v>-0.4558574</v>
      </c>
      <c r="E23" s="166">
        <v>0.5744029</v>
      </c>
      <c r="F23" s="166">
        <v>4.174772</v>
      </c>
      <c r="G23" s="166">
        <v>1.061742</v>
      </c>
    </row>
    <row r="24" spans="1:7" ht="12.75">
      <c r="A24" s="165" t="s">
        <v>141</v>
      </c>
      <c r="B24" s="166">
        <v>1.001431</v>
      </c>
      <c r="C24" s="166">
        <v>2.122451</v>
      </c>
      <c r="D24" s="166">
        <v>2.820272</v>
      </c>
      <c r="E24" s="166">
        <v>1.905676</v>
      </c>
      <c r="F24" s="166">
        <v>3.834593</v>
      </c>
      <c r="G24" s="166">
        <v>2.304061</v>
      </c>
    </row>
    <row r="25" spans="1:7" ht="12.75">
      <c r="A25" s="165" t="s">
        <v>96</v>
      </c>
      <c r="B25" s="166">
        <v>0.05401043</v>
      </c>
      <c r="C25" s="166">
        <v>1.097563</v>
      </c>
      <c r="D25" s="166">
        <v>0.6244988</v>
      </c>
      <c r="E25" s="166">
        <v>0.5853315</v>
      </c>
      <c r="F25" s="166">
        <v>-1.598377</v>
      </c>
      <c r="G25" s="166">
        <v>0.3498213</v>
      </c>
    </row>
    <row r="26" spans="1:7" ht="12.75">
      <c r="A26" s="165" t="s">
        <v>98</v>
      </c>
      <c r="B26" s="166">
        <v>0.9662535</v>
      </c>
      <c r="C26" s="166">
        <v>-0.3470028</v>
      </c>
      <c r="D26" s="166">
        <v>-0.4397476</v>
      </c>
      <c r="E26" s="166">
        <v>-0.4800559</v>
      </c>
      <c r="F26" s="166">
        <v>0.827432</v>
      </c>
      <c r="G26" s="166">
        <v>-0.05457366</v>
      </c>
    </row>
    <row r="27" spans="1:7" ht="12.75">
      <c r="A27" s="165" t="s">
        <v>100</v>
      </c>
      <c r="B27" s="166">
        <v>0.03674882</v>
      </c>
      <c r="C27" s="166">
        <v>-0.2212492</v>
      </c>
      <c r="D27" s="166">
        <v>-0.3660346</v>
      </c>
      <c r="E27" s="166">
        <v>-0.2827614</v>
      </c>
      <c r="F27" s="166">
        <v>0.224751</v>
      </c>
      <c r="G27" s="166">
        <v>-0.1740256</v>
      </c>
    </row>
    <row r="28" spans="1:7" ht="12.75">
      <c r="A28" s="165" t="s">
        <v>102</v>
      </c>
      <c r="B28" s="166">
        <v>0.1694459</v>
      </c>
      <c r="C28" s="166">
        <v>0.02972718</v>
      </c>
      <c r="D28" s="166">
        <v>0.2304177</v>
      </c>
      <c r="E28" s="166">
        <v>0.1374678</v>
      </c>
      <c r="F28" s="166">
        <v>0.3728733</v>
      </c>
      <c r="G28" s="166">
        <v>0.1699341</v>
      </c>
    </row>
    <row r="29" spans="1:7" ht="12.75">
      <c r="A29" s="165" t="s">
        <v>104</v>
      </c>
      <c r="B29" s="166">
        <v>-0.03702042</v>
      </c>
      <c r="C29" s="166">
        <v>0.1811838</v>
      </c>
      <c r="D29" s="166">
        <v>0.2561004</v>
      </c>
      <c r="E29" s="166">
        <v>0.07680706</v>
      </c>
      <c r="F29" s="166">
        <v>0.0878638</v>
      </c>
      <c r="G29" s="166">
        <v>0.1300347</v>
      </c>
    </row>
    <row r="30" spans="1:7" ht="12.75">
      <c r="A30" s="165" t="s">
        <v>106</v>
      </c>
      <c r="B30" s="166">
        <v>0.04918351</v>
      </c>
      <c r="C30" s="166">
        <v>0.03171239</v>
      </c>
      <c r="D30" s="166">
        <v>0.0900599</v>
      </c>
      <c r="E30" s="166">
        <v>0.02944114</v>
      </c>
      <c r="F30" s="166">
        <v>0.2656594</v>
      </c>
      <c r="G30" s="166">
        <v>0.07893714</v>
      </c>
    </row>
    <row r="31" spans="1:7" ht="12.75">
      <c r="A31" s="165" t="s">
        <v>108</v>
      </c>
      <c r="B31" s="166">
        <v>-0.001999268</v>
      </c>
      <c r="C31" s="166">
        <v>0.02266631</v>
      </c>
      <c r="D31" s="166">
        <v>0.03929449</v>
      </c>
      <c r="E31" s="166">
        <v>-0.03092862</v>
      </c>
      <c r="F31" s="166">
        <v>0.008422405</v>
      </c>
      <c r="G31" s="166">
        <v>0.008299635</v>
      </c>
    </row>
    <row r="32" spans="1:7" ht="12.75">
      <c r="A32" s="165" t="s">
        <v>110</v>
      </c>
      <c r="B32" s="166">
        <v>0.02232813</v>
      </c>
      <c r="C32" s="166">
        <v>-0.006400237</v>
      </c>
      <c r="D32" s="166">
        <v>0.003523693</v>
      </c>
      <c r="E32" s="166">
        <v>0.01966884</v>
      </c>
      <c r="F32" s="166">
        <v>0.05104046</v>
      </c>
      <c r="G32" s="166">
        <v>0.01408129</v>
      </c>
    </row>
    <row r="33" spans="1:7" ht="12.75">
      <c r="A33" s="165" t="s">
        <v>112</v>
      </c>
      <c r="B33" s="166">
        <v>0.04909335</v>
      </c>
      <c r="C33" s="166">
        <v>0.008329272</v>
      </c>
      <c r="D33" s="166">
        <v>0.008577344</v>
      </c>
      <c r="E33" s="166">
        <v>0.02177156</v>
      </c>
      <c r="F33" s="166">
        <v>0.04194011</v>
      </c>
      <c r="G33" s="166">
        <v>0.02200982</v>
      </c>
    </row>
    <row r="34" spans="1:7" ht="12.75">
      <c r="A34" s="165" t="s">
        <v>114</v>
      </c>
      <c r="B34" s="166">
        <v>-0.004923354</v>
      </c>
      <c r="C34" s="166">
        <v>0.008510625</v>
      </c>
      <c r="D34" s="166">
        <v>0.02303926</v>
      </c>
      <c r="E34" s="166">
        <v>0.0194247</v>
      </c>
      <c r="F34" s="166">
        <v>-0.01016286</v>
      </c>
      <c r="G34" s="166">
        <v>0.01020394</v>
      </c>
    </row>
    <row r="35" spans="1:7" ht="12.75">
      <c r="A35" s="165" t="s">
        <v>116</v>
      </c>
      <c r="B35" s="166">
        <v>0.00104313</v>
      </c>
      <c r="C35" s="166">
        <v>0.00741778</v>
      </c>
      <c r="D35" s="166">
        <v>0.006772002</v>
      </c>
      <c r="E35" s="166">
        <v>0.0007308074</v>
      </c>
      <c r="F35" s="166">
        <v>0.0001601698</v>
      </c>
      <c r="G35" s="166">
        <v>0.003762123</v>
      </c>
    </row>
    <row r="36" spans="1:6" ht="12.75">
      <c r="A36" s="165" t="s">
        <v>142</v>
      </c>
      <c r="B36" s="166">
        <v>17.97791</v>
      </c>
      <c r="C36" s="166">
        <v>17.98401</v>
      </c>
      <c r="D36" s="166">
        <v>17.99622</v>
      </c>
      <c r="E36" s="166">
        <v>17.99622</v>
      </c>
      <c r="F36" s="166">
        <v>18.01453</v>
      </c>
    </row>
    <row r="37" spans="1:6" ht="12.75">
      <c r="A37" s="165" t="s">
        <v>143</v>
      </c>
      <c r="B37" s="166">
        <v>-0.2426148</v>
      </c>
      <c r="C37" s="166">
        <v>-0.2339681</v>
      </c>
      <c r="D37" s="166">
        <v>-0.2298991</v>
      </c>
      <c r="E37" s="166">
        <v>-0.2268473</v>
      </c>
      <c r="F37" s="166">
        <v>-0.2258301</v>
      </c>
    </row>
    <row r="38" spans="1:7" ht="12.75">
      <c r="A38" s="165" t="s">
        <v>144</v>
      </c>
      <c r="B38" s="166">
        <v>-1.039349E-05</v>
      </c>
      <c r="C38" s="166">
        <v>6.508233E-05</v>
      </c>
      <c r="D38" s="166">
        <v>-2.186608E-05</v>
      </c>
      <c r="E38" s="166">
        <v>0</v>
      </c>
      <c r="F38" s="166">
        <v>-7.22745E-05</v>
      </c>
      <c r="G38" s="166">
        <v>0.0002866861</v>
      </c>
    </row>
    <row r="39" spans="1:7" ht="12.75">
      <c r="A39" s="165" t="s">
        <v>145</v>
      </c>
      <c r="B39" s="166">
        <v>0.0001435424</v>
      </c>
      <c r="C39" s="166">
        <v>-0.000103869</v>
      </c>
      <c r="D39" s="166">
        <v>-0.0001878056</v>
      </c>
      <c r="E39" s="166">
        <v>6.60171E-05</v>
      </c>
      <c r="F39" s="166">
        <v>0.0002500952</v>
      </c>
      <c r="G39" s="166">
        <v>0.0002973731</v>
      </c>
    </row>
    <row r="40" spans="2:5" ht="12.75">
      <c r="B40" s="165" t="s">
        <v>146</v>
      </c>
      <c r="C40" s="165">
        <v>0.003751</v>
      </c>
      <c r="D40" s="165" t="s">
        <v>147</v>
      </c>
      <c r="E40" s="165">
        <v>3.11701</v>
      </c>
    </row>
    <row r="42" ht="12.75">
      <c r="A42" s="165" t="s">
        <v>148</v>
      </c>
    </row>
    <row r="50" spans="1:7" ht="12.75">
      <c r="A50" s="165" t="s">
        <v>149</v>
      </c>
      <c r="B50" s="165">
        <f>-0.017/(B7*B7+B22*B22)*(B21*B22+B6*B7)</f>
        <v>-1.0393488620326725E-05</v>
      </c>
      <c r="C50" s="165">
        <f>-0.017/(C7*C7+C22*C22)*(C21*C22+C6*C7)</f>
        <v>6.508232286559706E-05</v>
      </c>
      <c r="D50" s="165">
        <f>-0.017/(D7*D7+D22*D22)*(D21*D22+D6*D7)</f>
        <v>-2.1866076473627636E-05</v>
      </c>
      <c r="E50" s="165">
        <f>-0.017/(E7*E7+E22*E22)*(E21*E22+E6*E7)</f>
        <v>2.5738672563125224E-06</v>
      </c>
      <c r="F50" s="165">
        <f>-0.017/(F7*F7+F22*F22)*(F21*F22+F6*F7)</f>
        <v>-7.227449699789489E-05</v>
      </c>
      <c r="G50" s="165">
        <f>(B50*B$4+C50*C$4+D50*D$4+E50*E$4+F50*F$4)/SUM(B$4:F$4)</f>
        <v>-1.3110558563833225E-07</v>
      </c>
    </row>
    <row r="51" spans="1:7" ht="12.75">
      <c r="A51" s="165" t="s">
        <v>150</v>
      </c>
      <c r="B51" s="165">
        <f>-0.017/(B7*B7+B22*B22)*(B21*B7-B6*B22)</f>
        <v>0.00014354234999964795</v>
      </c>
      <c r="C51" s="165">
        <f>-0.017/(C7*C7+C22*C22)*(C21*C7-C6*C22)</f>
        <v>-0.00010386897059243199</v>
      </c>
      <c r="D51" s="165">
        <f>-0.017/(D7*D7+D22*D22)*(D21*D7-D6*D22)</f>
        <v>-0.00018780562549950314</v>
      </c>
      <c r="E51" s="165">
        <f>-0.017/(E7*E7+E22*E22)*(E21*E7-E6*E22)</f>
        <v>6.601710150905031E-05</v>
      </c>
      <c r="F51" s="165">
        <f>-0.017/(F7*F7+F22*F22)*(F21*F7-F6*F22)</f>
        <v>0.0002500952205927588</v>
      </c>
      <c r="G51" s="165">
        <f>(B51*B$4+C51*C$4+D51*D$4+E51*E$4+F51*F$4)/SUM(B$4:F$4)</f>
        <v>-1.3645034947133588E-07</v>
      </c>
    </row>
    <row r="58" ht="12.75">
      <c r="A58" s="165" t="s">
        <v>152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154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157</v>
      </c>
      <c r="B62" s="165">
        <f>B7+(2/0.017)*(B8*B50-B23*B51)</f>
        <v>9999.99141412639</v>
      </c>
      <c r="C62" s="165">
        <f>C7+(2/0.017)*(C8*C50-C23*C51)</f>
        <v>10000.03386143302</v>
      </c>
      <c r="D62" s="165">
        <f>D7+(2/0.017)*(D8*D50-D23*D51)</f>
        <v>9999.990613204596</v>
      </c>
      <c r="E62" s="165">
        <f>E7+(2/0.017)*(E8*E50-E23*E51)</f>
        <v>9999.99611153532</v>
      </c>
      <c r="F62" s="165">
        <f>F7+(2/0.017)*(F8*F50-F23*F51)</f>
        <v>9999.882710641008</v>
      </c>
    </row>
    <row r="63" spans="1:6" ht="12.75">
      <c r="A63" s="165" t="s">
        <v>158</v>
      </c>
      <c r="B63" s="165">
        <f>B8+(3/0.017)*(B9*B50-B24*B51)</f>
        <v>1.142860528863969</v>
      </c>
      <c r="C63" s="165">
        <f>C8+(3/0.017)*(C9*C50-C24*C51)</f>
        <v>1.7103098338599891</v>
      </c>
      <c r="D63" s="165">
        <f>D8+(3/0.017)*(D9*D50-D24*D51)</f>
        <v>-0.1757173350056473</v>
      </c>
      <c r="E63" s="165">
        <f>E8+(3/0.017)*(E9*E50-E24*E51)</f>
        <v>1.8693524007497324</v>
      </c>
      <c r="F63" s="165">
        <f>F8+(3/0.017)*(F9*F50-F24*F51)</f>
        <v>-0.8225503128816352</v>
      </c>
    </row>
    <row r="64" spans="1:6" ht="12.75">
      <c r="A64" s="165" t="s">
        <v>159</v>
      </c>
      <c r="B64" s="165">
        <f>B9+(4/0.017)*(B10*B50-B25*B51)</f>
        <v>-0.10833239004191082</v>
      </c>
      <c r="C64" s="165">
        <f>C9+(4/0.017)*(C10*C50-C25*C51)</f>
        <v>0.26936076761670186</v>
      </c>
      <c r="D64" s="165">
        <f>D9+(4/0.017)*(D10*D50-D25*D51)</f>
        <v>0.7524374855140362</v>
      </c>
      <c r="E64" s="165">
        <f>E9+(4/0.017)*(E10*E50-E25*E51)</f>
        <v>0.11306446983874803</v>
      </c>
      <c r="F64" s="165">
        <f>F9+(4/0.017)*(F10*F50-F25*F51)</f>
        <v>0.18808508380872369</v>
      </c>
    </row>
    <row r="65" spans="1:6" ht="12.75">
      <c r="A65" s="165" t="s">
        <v>160</v>
      </c>
      <c r="B65" s="165">
        <f>B10+(5/0.017)*(B11*B50-B26*B51)</f>
        <v>-0.37202449416393785</v>
      </c>
      <c r="C65" s="165">
        <f>C10+(5/0.017)*(C11*C50-C26*C51)</f>
        <v>-0.5376770833191683</v>
      </c>
      <c r="D65" s="165">
        <f>D10+(5/0.017)*(D11*D50-D26*D51)</f>
        <v>0.14723131792660177</v>
      </c>
      <c r="E65" s="165">
        <f>E10+(5/0.017)*(E11*E50-E26*E51)</f>
        <v>-0.6685416925524409</v>
      </c>
      <c r="F65" s="165">
        <f>F10+(5/0.017)*(F11*F50-F26*F51)</f>
        <v>-0.36610253012379246</v>
      </c>
    </row>
    <row r="66" spans="1:6" ht="12.75">
      <c r="A66" s="165" t="s">
        <v>161</v>
      </c>
      <c r="B66" s="165">
        <f>B11+(6/0.017)*(B12*B50-B27*B51)</f>
        <v>4.136406573749908</v>
      </c>
      <c r="C66" s="165">
        <f>C11+(6/0.017)*(C12*C50-C27*C51)</f>
        <v>3.983461133364199</v>
      </c>
      <c r="D66" s="165">
        <f>D11+(6/0.017)*(D12*D50-D27*D51)</f>
        <v>4.700123943576288</v>
      </c>
      <c r="E66" s="165">
        <f>E11+(6/0.017)*(E12*E50-E27*E51)</f>
        <v>4.361135219498004</v>
      </c>
      <c r="F66" s="165">
        <f>F11+(6/0.017)*(F12*F50-F27*F51)</f>
        <v>14.935040380747783</v>
      </c>
    </row>
    <row r="67" spans="1:6" ht="12.75">
      <c r="A67" s="165" t="s">
        <v>162</v>
      </c>
      <c r="B67" s="165">
        <f>B12+(7/0.017)*(B13*B50-B28*B51)</f>
        <v>0.0945474224156052</v>
      </c>
      <c r="C67" s="165">
        <f>C12+(7/0.017)*(C13*C50-C28*C51)</f>
        <v>0.09135229247119818</v>
      </c>
      <c r="D67" s="165">
        <f>D12+(7/0.017)*(D13*D50-D28*D51)</f>
        <v>-0.1883647210292026</v>
      </c>
      <c r="E67" s="165">
        <f>E12+(7/0.017)*(E13*E50-E28*E51)</f>
        <v>-0.26920173602421826</v>
      </c>
      <c r="F67" s="165">
        <f>F12+(7/0.017)*(F13*F50-F28*F51)</f>
        <v>-0.38480076633104277</v>
      </c>
    </row>
    <row r="68" spans="1:6" ht="12.75">
      <c r="A68" s="165" t="s">
        <v>163</v>
      </c>
      <c r="B68" s="165">
        <f>B13+(8/0.017)*(B14*B50-B29*B51)</f>
        <v>-0.05497666569340868</v>
      </c>
      <c r="C68" s="165">
        <f>C13+(8/0.017)*(C14*C50-C29*C51)</f>
        <v>-0.02988393230879932</v>
      </c>
      <c r="D68" s="165">
        <f>D13+(8/0.017)*(D14*D50-D29*D51)</f>
        <v>0.09187712974704201</v>
      </c>
      <c r="E68" s="165">
        <f>E13+(8/0.017)*(E14*E50-E29*E51)</f>
        <v>0.007962416957177715</v>
      </c>
      <c r="F68" s="165">
        <f>F13+(8/0.017)*(F14*F50-F29*F51)</f>
        <v>-0.0015690836579355192</v>
      </c>
    </row>
    <row r="69" spans="1:6" ht="12.75">
      <c r="A69" s="165" t="s">
        <v>164</v>
      </c>
      <c r="B69" s="165">
        <f>B14+(9/0.017)*(B15*B50-B30*B51)</f>
        <v>-0.08526080079416898</v>
      </c>
      <c r="C69" s="165">
        <f>C14+(9/0.017)*(C15*C50-C30*C51)</f>
        <v>-0.00039903058941234367</v>
      </c>
      <c r="D69" s="165">
        <f>D14+(9/0.017)*(D15*D50-D30*D51)</f>
        <v>0.13703983466776765</v>
      </c>
      <c r="E69" s="165">
        <f>E14+(9/0.017)*(E15*E50-E30*E51)</f>
        <v>0.03479176541471315</v>
      </c>
      <c r="F69" s="165">
        <f>F14+(9/0.017)*(F15*F50-F30*F51)</f>
        <v>0.005388633437692983</v>
      </c>
    </row>
    <row r="70" spans="1:6" ht="12.75">
      <c r="A70" s="165" t="s">
        <v>165</v>
      </c>
      <c r="B70" s="165">
        <f>B15+(10/0.017)*(B16*B50-B31*B51)</f>
        <v>-0.3968160709912763</v>
      </c>
      <c r="C70" s="165">
        <f>C15+(10/0.017)*(C16*C50-C31*C51)</f>
        <v>-0.09558351084863595</v>
      </c>
      <c r="D70" s="165">
        <f>D15+(10/0.017)*(D16*D50-D31*D51)</f>
        <v>-0.07953890624927384</v>
      </c>
      <c r="E70" s="165">
        <f>E15+(10/0.017)*(E16*E50-E31*E51)</f>
        <v>-0.05627703196152376</v>
      </c>
      <c r="F70" s="165">
        <f>F15+(10/0.017)*(F16*F50-F31*F51)</f>
        <v>-0.3664594845333982</v>
      </c>
    </row>
    <row r="71" spans="1:6" ht="12.75">
      <c r="A71" s="165" t="s">
        <v>166</v>
      </c>
      <c r="B71" s="165">
        <f>B16+(11/0.017)*(B17*B50-B32*B51)</f>
        <v>-0.008527050228661806</v>
      </c>
      <c r="C71" s="165">
        <f>C16+(11/0.017)*(C17*C50-C32*C51)</f>
        <v>0.01109859693489028</v>
      </c>
      <c r="D71" s="165">
        <f>D16+(11/0.017)*(D17*D50-D32*D51)</f>
        <v>-0.025600594891387538</v>
      </c>
      <c r="E71" s="165">
        <f>E16+(11/0.017)*(E17*E50-E32*E51)</f>
        <v>-0.03075698363521481</v>
      </c>
      <c r="F71" s="165">
        <f>F16+(11/0.017)*(F17*F50-F32*F51)</f>
        <v>-0.027325694081266512</v>
      </c>
    </row>
    <row r="72" spans="1:6" ht="12.75">
      <c r="A72" s="165" t="s">
        <v>167</v>
      </c>
      <c r="B72" s="165">
        <f>B17+(12/0.017)*(B18*B50-B33*B51)</f>
        <v>-0.011504238327096454</v>
      </c>
      <c r="C72" s="165">
        <f>C17+(12/0.017)*(C18*C50-C33*C51)</f>
        <v>0.00919062265874654</v>
      </c>
      <c r="D72" s="165">
        <f>D17+(12/0.017)*(D18*D50-D33*D51)</f>
        <v>-0.00436069333833399</v>
      </c>
      <c r="E72" s="165">
        <f>E17+(12/0.017)*(E18*E50-E33*E51)</f>
        <v>0.005443742785613092</v>
      </c>
      <c r="F72" s="165">
        <f>F17+(12/0.017)*(F18*F50-F33*F51)</f>
        <v>0.00112678695215625</v>
      </c>
    </row>
    <row r="73" spans="1:6" ht="12.75">
      <c r="A73" s="165" t="s">
        <v>168</v>
      </c>
      <c r="B73" s="165">
        <f>B18+(13/0.017)*(B19*B50-B34*B51)</f>
        <v>0.01768194185900082</v>
      </c>
      <c r="C73" s="165">
        <f>C18+(13/0.017)*(C19*C50-C34*C51)</f>
        <v>0.029402037467096867</v>
      </c>
      <c r="D73" s="165">
        <f>D18+(13/0.017)*(D19*D50-D34*D51)</f>
        <v>0.03992422400640049</v>
      </c>
      <c r="E73" s="165">
        <f>E18+(13/0.017)*(E19*E50-E34*E51)</f>
        <v>0.04389251558502383</v>
      </c>
      <c r="F73" s="165">
        <f>F18+(13/0.017)*(F19*F50-F34*F51)</f>
        <v>0.010524845574857616</v>
      </c>
    </row>
    <row r="74" spans="1:6" ht="12.75">
      <c r="A74" s="165" t="s">
        <v>169</v>
      </c>
      <c r="B74" s="165">
        <f>B19+(14/0.017)*(B20*B50-B35*B51)</f>
        <v>-0.1787201052303328</v>
      </c>
      <c r="C74" s="165">
        <f>C19+(14/0.017)*(C20*C50-C35*C51)</f>
        <v>-0.1519817012228464</v>
      </c>
      <c r="D74" s="165">
        <f>D19+(14/0.017)*(D20*D50-D35*D51)</f>
        <v>-0.16637476413578112</v>
      </c>
      <c r="E74" s="165">
        <f>E19+(14/0.017)*(E20*E50-E35*E51)</f>
        <v>-0.16460506208347164</v>
      </c>
      <c r="F74" s="165">
        <f>F19+(14/0.017)*(F20*F50-F35*F51)</f>
        <v>-0.12995696105822216</v>
      </c>
    </row>
    <row r="75" spans="1:6" ht="12.75">
      <c r="A75" s="165" t="s">
        <v>170</v>
      </c>
      <c r="B75" s="166">
        <f>B20</f>
        <v>0.00034996</v>
      </c>
      <c r="C75" s="166">
        <f>C20</f>
        <v>0.001268502</v>
      </c>
      <c r="D75" s="166">
        <f>D20</f>
        <v>-0.001563507</v>
      </c>
      <c r="E75" s="166">
        <f>E20</f>
        <v>0.002014356</v>
      </c>
      <c r="F75" s="166">
        <f>F20</f>
        <v>0.001625875</v>
      </c>
    </row>
    <row r="78" ht="12.75">
      <c r="A78" s="165" t="s">
        <v>152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171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172</v>
      </c>
      <c r="B82" s="165">
        <f>B22+(2/0.017)*(B8*B51+B23*B50)</f>
        <v>134.23400666642374</v>
      </c>
      <c r="C82" s="165">
        <f>C22+(2/0.017)*(C8*C51+C23*C50)</f>
        <v>40.656183078337484</v>
      </c>
      <c r="D82" s="165">
        <f>D22+(2/0.017)*(D8*D51+D23*D50)</f>
        <v>-19.271891569592295</v>
      </c>
      <c r="E82" s="165">
        <f>E22+(2/0.017)*(E8*E51+E23*E50)</f>
        <v>-49.581745335025126</v>
      </c>
      <c r="F82" s="165">
        <f>F22+(2/0.017)*(F8*F51+F23*F50)</f>
        <v>-94.41430462538216</v>
      </c>
    </row>
    <row r="83" spans="1:6" ht="12.75">
      <c r="A83" s="165" t="s">
        <v>173</v>
      </c>
      <c r="B83" s="165">
        <f>B23+(3/0.017)*(B9*B51+B24*B50)</f>
        <v>0.4192926353759424</v>
      </c>
      <c r="C83" s="165">
        <f>C23+(3/0.017)*(C9*C51+C24*C50)</f>
        <v>1.7453145615103476</v>
      </c>
      <c r="D83" s="165">
        <f>D23+(3/0.017)*(D9*D51+D24*D50)</f>
        <v>-0.49079727268566725</v>
      </c>
      <c r="E83" s="165">
        <f>E23+(3/0.017)*(E9*E51+E24*E50)</f>
        <v>0.5766964212427925</v>
      </c>
      <c r="F83" s="165">
        <f>F23+(3/0.017)*(F9*F51+F24*F50)</f>
        <v>4.130023557631618</v>
      </c>
    </row>
    <row r="84" spans="1:6" ht="12.75">
      <c r="A84" s="165" t="s">
        <v>174</v>
      </c>
      <c r="B84" s="165">
        <f>B24+(4/0.017)*(B10*B51+B25*B50)</f>
        <v>0.9905390017583383</v>
      </c>
      <c r="C84" s="165">
        <f>C24+(4/0.017)*(C10*C51+C25*C50)</f>
        <v>2.154006501186885</v>
      </c>
      <c r="D84" s="165">
        <f>D24+(4/0.017)*(D10*D51+D25*D50)</f>
        <v>2.808137332588671</v>
      </c>
      <c r="E84" s="165">
        <f>E24+(4/0.017)*(E10*E51+E25*E50)</f>
        <v>1.8954497387591962</v>
      </c>
      <c r="F84" s="165">
        <f>F24+(4/0.017)*(F10*F51+F25*F50)</f>
        <v>3.8625085767823393</v>
      </c>
    </row>
    <row r="85" spans="1:6" ht="12.75">
      <c r="A85" s="165" t="s">
        <v>175</v>
      </c>
      <c r="B85" s="165">
        <f>B25+(5/0.017)*(B11*B51+B26*B50)</f>
        <v>0.22578364929758596</v>
      </c>
      <c r="C85" s="165">
        <f>C25+(5/0.017)*(C11*C51+C26*C50)</f>
        <v>0.969043345530885</v>
      </c>
      <c r="D85" s="165">
        <f>D25+(5/0.017)*(D11*D51+D26*D50)</f>
        <v>0.36645384310048257</v>
      </c>
      <c r="E85" s="165">
        <f>E25+(5/0.017)*(E11*E51+E26*E50)</f>
        <v>0.6695241121424073</v>
      </c>
      <c r="F85" s="165">
        <f>F25+(5/0.017)*(F11*F51+F26*F50)</f>
        <v>-0.5165730470175174</v>
      </c>
    </row>
    <row r="86" spans="1:6" ht="12.75">
      <c r="A86" s="165" t="s">
        <v>176</v>
      </c>
      <c r="B86" s="165">
        <f>B26+(6/0.017)*(B12*B51+B27*B50)</f>
        <v>0.9714034967447639</v>
      </c>
      <c r="C86" s="165">
        <f>C26+(6/0.017)*(C12*C51+C27*C50)</f>
        <v>-0.35542537329246565</v>
      </c>
      <c r="D86" s="165">
        <f>D26+(6/0.017)*(D12*D51+D27*D50)</f>
        <v>-0.4232981305718842</v>
      </c>
      <c r="E86" s="165">
        <f>E26+(6/0.017)*(E12*E51+E27*E50)</f>
        <v>-0.4864983940513901</v>
      </c>
      <c r="F86" s="165">
        <f>F26+(6/0.017)*(F12*F51+F27*F50)</f>
        <v>0.7911477861150376</v>
      </c>
    </row>
    <row r="87" spans="1:6" ht="12.75">
      <c r="A87" s="165" t="s">
        <v>177</v>
      </c>
      <c r="B87" s="165">
        <f>B27+(7/0.017)*(B13*B51+B28*B50)</f>
        <v>0.03260220945131589</v>
      </c>
      <c r="C87" s="165">
        <f>C27+(7/0.017)*(C13*C51+C28*C50)</f>
        <v>-0.2187940661154899</v>
      </c>
      <c r="D87" s="165">
        <f>D27+(7/0.017)*(D13*D51+D28*D50)</f>
        <v>-0.37356505002812646</v>
      </c>
      <c r="E87" s="165">
        <f>E27+(7/0.017)*(E13*E51+E28*E50)</f>
        <v>-0.2823355792769029</v>
      </c>
      <c r="F87" s="165">
        <f>F27+(7/0.017)*(F13*F51+F28*F50)</f>
        <v>0.21465059862873662</v>
      </c>
    </row>
    <row r="88" spans="1:6" ht="12.75">
      <c r="A88" s="165" t="s">
        <v>178</v>
      </c>
      <c r="B88" s="165">
        <f>B28+(8/0.017)*(B14*B51+B29*B50)</f>
        <v>0.16397256211232433</v>
      </c>
      <c r="C88" s="165">
        <f>C28+(8/0.017)*(C14*C51+C29*C50)</f>
        <v>0.035216999674208896</v>
      </c>
      <c r="D88" s="165">
        <f>D28+(8/0.017)*(D14*D51+D29*D50)</f>
        <v>0.2165485250955559</v>
      </c>
      <c r="E88" s="165">
        <f>E28+(8/0.017)*(E14*E51+E29*E50)</f>
        <v>0.13867610075475814</v>
      </c>
      <c r="F88" s="165">
        <f>F28+(8/0.017)*(F14*F51+F29*F50)</f>
        <v>0.37301058443479523</v>
      </c>
    </row>
    <row r="89" spans="1:6" ht="12.75">
      <c r="A89" s="165" t="s">
        <v>179</v>
      </c>
      <c r="B89" s="165">
        <f>B29+(9/0.017)*(B15*B51+B30*B50)</f>
        <v>-0.06746214300520391</v>
      </c>
      <c r="C89" s="165">
        <f>C29+(9/0.017)*(C15*C51+C30*C50)</f>
        <v>0.18763235899766448</v>
      </c>
      <c r="D89" s="165">
        <f>D29+(9/0.017)*(D15*D51+D30*D50)</f>
        <v>0.2634311173395818</v>
      </c>
      <c r="E89" s="165">
        <f>E29+(9/0.017)*(E15*E51+E30*E50)</f>
        <v>0.07483988831351228</v>
      </c>
      <c r="F89" s="165">
        <f>F29+(9/0.017)*(F15*F51+F30*F50)</f>
        <v>0.029237415346205504</v>
      </c>
    </row>
    <row r="90" spans="1:6" ht="12.75">
      <c r="A90" s="165" t="s">
        <v>180</v>
      </c>
      <c r="B90" s="165">
        <f>B30+(10/0.017)*(B16*B51+B31*B50)</f>
        <v>0.04864720337735207</v>
      </c>
      <c r="C90" s="165">
        <f>C30+(10/0.017)*(C16*C51+C31*C50)</f>
        <v>0.03189352337416202</v>
      </c>
      <c r="D90" s="165">
        <f>D30+(10/0.017)*(D16*D51+D31*D50)</f>
        <v>0.09243775897512026</v>
      </c>
      <c r="E90" s="165">
        <f>E30+(10/0.017)*(E16*E51+E31*E50)</f>
        <v>0.02823212410225065</v>
      </c>
      <c r="F90" s="165">
        <f>F30+(10/0.017)*(F16*F51+F31*F50)</f>
        <v>0.26255561926266785</v>
      </c>
    </row>
    <row r="91" spans="1:6" ht="12.75">
      <c r="A91" s="165" t="s">
        <v>181</v>
      </c>
      <c r="B91" s="165">
        <f>B31+(11/0.017)*(B17*B51+B32*B50)</f>
        <v>-0.00274521536832962</v>
      </c>
      <c r="C91" s="165">
        <f>C31+(11/0.017)*(C17*C51+C32*C50)</f>
        <v>0.021932289452145034</v>
      </c>
      <c r="D91" s="165">
        <f>D31+(11/0.017)*(D17*D51+D32*D50)</f>
        <v>0.03984930539002013</v>
      </c>
      <c r="E91" s="165">
        <f>E31+(11/0.017)*(E17*E51+E32*E50)</f>
        <v>-0.030623491366440776</v>
      </c>
      <c r="F91" s="165">
        <f>F31+(11/0.017)*(F17*F51+F32*F50)</f>
        <v>0.007427569085722305</v>
      </c>
    </row>
    <row r="92" spans="1:6" ht="12.75">
      <c r="A92" s="165" t="s">
        <v>182</v>
      </c>
      <c r="B92" s="165">
        <f>B32+(12/0.017)*(B18*B51+B33*B50)</f>
        <v>0.023560974892713</v>
      </c>
      <c r="C92" s="165">
        <f>C32+(12/0.017)*(C18*C51+C33*C50)</f>
        <v>-0.008680906058215452</v>
      </c>
      <c r="D92" s="165">
        <f>D32+(12/0.017)*(D18*D51+D33*D50)</f>
        <v>-0.0010915680423750867</v>
      </c>
      <c r="E92" s="165">
        <f>E32+(12/0.017)*(E18*E51+E33*E50)</f>
        <v>0.02181459247294128</v>
      </c>
      <c r="F92" s="165">
        <f>F32+(12/0.017)*(F18*F51+F33*F50)</f>
        <v>0.04914896971211004</v>
      </c>
    </row>
    <row r="93" spans="1:6" ht="12.75">
      <c r="A93" s="165" t="s">
        <v>183</v>
      </c>
      <c r="B93" s="165">
        <f>B33+(13/0.017)*(B19*B51+B34*B50)</f>
        <v>0.029528653646663197</v>
      </c>
      <c r="C93" s="165">
        <f>C33+(13/0.017)*(C19*C51+C34*C50)</f>
        <v>0.02088042170641008</v>
      </c>
      <c r="D93" s="165">
        <f>D33+(13/0.017)*(D19*D51+D34*D50)</f>
        <v>0.03224065526098868</v>
      </c>
      <c r="E93" s="165">
        <f>E33+(13/0.017)*(E19*E51+E34*E50)</f>
        <v>0.013501715996486384</v>
      </c>
      <c r="F93" s="165">
        <f>F33+(13/0.017)*(F19*F51+F34*F50)</f>
        <v>0.017672439048885744</v>
      </c>
    </row>
    <row r="94" spans="1:6" ht="12.75">
      <c r="A94" s="165" t="s">
        <v>184</v>
      </c>
      <c r="B94" s="165">
        <f>B34+(14/0.017)*(B20*B51+B35*B50)</f>
        <v>-0.0048909132650412366</v>
      </c>
      <c r="C94" s="165">
        <f>C34+(14/0.017)*(C20*C51+C35*C50)</f>
        <v>0.008799690704917729</v>
      </c>
      <c r="D94" s="165">
        <f>D34+(14/0.017)*(D20*D51+D35*D50)</f>
        <v>0.023159131538291064</v>
      </c>
      <c r="E94" s="165">
        <f>E34+(14/0.017)*(E20*E51+E35*E50)</f>
        <v>0.019535763602394618</v>
      </c>
      <c r="F94" s="165">
        <f>F34+(14/0.017)*(F20*F51+F35*F50)</f>
        <v>-0.009837526867604236</v>
      </c>
    </row>
    <row r="95" spans="1:6" ht="12.75">
      <c r="A95" s="165" t="s">
        <v>185</v>
      </c>
      <c r="B95" s="166">
        <f>B35</f>
        <v>0.00104313</v>
      </c>
      <c r="C95" s="166">
        <f>C35</f>
        <v>0.00741778</v>
      </c>
      <c r="D95" s="166">
        <f>D35</f>
        <v>0.006772002</v>
      </c>
      <c r="E95" s="166">
        <f>E35</f>
        <v>0.0007308074</v>
      </c>
      <c r="F95" s="166">
        <f>F35</f>
        <v>0.0001601698</v>
      </c>
    </row>
    <row r="98" ht="12.75">
      <c r="A98" s="165" t="s">
        <v>153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155</v>
      </c>
      <c r="H100" s="165" t="s">
        <v>156</v>
      </c>
      <c r="I100" s="165" t="s">
        <v>151</v>
      </c>
      <c r="K100" s="165" t="s">
        <v>186</v>
      </c>
    </row>
    <row r="101" spans="1:9" ht="12.75">
      <c r="A101" s="165" t="s">
        <v>154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157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10000.000000000004</v>
      </c>
    </row>
    <row r="103" spans="1:11" ht="12.75">
      <c r="A103" s="165" t="s">
        <v>158</v>
      </c>
      <c r="B103" s="165">
        <f>B63*10000/B62</f>
        <v>1.142861510110417</v>
      </c>
      <c r="C103" s="165">
        <f>C63*10000/C62</f>
        <v>1.7103040425254112</v>
      </c>
      <c r="D103" s="165">
        <f>D63*10000/D62</f>
        <v>-0.17571749994806937</v>
      </c>
      <c r="E103" s="165">
        <f>E63*10000/E62</f>
        <v>1.8693531276410935</v>
      </c>
      <c r="F103" s="165">
        <f>F63*10000/F62</f>
        <v>-0.8225599606346867</v>
      </c>
      <c r="G103" s="165">
        <f>AVERAGE(C103:E103)</f>
        <v>1.1346465567394786</v>
      </c>
      <c r="H103" s="165">
        <f>STDEV(C103:E103)</f>
        <v>1.1375915891316262</v>
      </c>
      <c r="I103" s="165">
        <f>(B103*B4+C103*C4+D103*D4+E103*E4+F103*F4)/SUM(B4:F4)</f>
        <v>0.8747972669741337</v>
      </c>
      <c r="K103" s="165">
        <f>(LN(H103)+LN(H123))/2-LN(K114*K115^3)</f>
        <v>-3.7581290380282972</v>
      </c>
    </row>
    <row r="104" spans="1:11" ht="12.75">
      <c r="A104" s="165" t="s">
        <v>159</v>
      </c>
      <c r="B104" s="165">
        <f>B64*10000/B62</f>
        <v>-0.10833248305481155</v>
      </c>
      <c r="C104" s="165">
        <f>C64*10000/C62</f>
        <v>0.2693598555256313</v>
      </c>
      <c r="D104" s="165">
        <f>D64*10000/D62</f>
        <v>0.7524381918123723</v>
      </c>
      <c r="E104" s="165">
        <f>E64*10000/E62</f>
        <v>0.11306451380348488</v>
      </c>
      <c r="F104" s="165">
        <f>F64*10000/F62</f>
        <v>0.18808728987249004</v>
      </c>
      <c r="G104" s="165">
        <f>AVERAGE(C104:E104)</f>
        <v>0.3782875203804961</v>
      </c>
      <c r="H104" s="165">
        <f>STDEV(C104:E104)</f>
        <v>0.33331456937959275</v>
      </c>
      <c r="I104" s="165">
        <f>(B104*B4+C104*C4+D104*D4+E104*E4+F104*F4)/SUM(B4:F4)</f>
        <v>0.2824188905330523</v>
      </c>
      <c r="K104" s="165">
        <f>(LN(H104)+LN(H124))/2-LN(K114*K115^4)</f>
        <v>-4.213640452810855</v>
      </c>
    </row>
    <row r="105" spans="1:11" ht="12.75">
      <c r="A105" s="165" t="s">
        <v>160</v>
      </c>
      <c r="B105" s="165">
        <f>B65*10000/B62</f>
        <v>-0.3720248135797407</v>
      </c>
      <c r="C105" s="165">
        <f>C65*10000/C62</f>
        <v>-0.5376752626736789</v>
      </c>
      <c r="D105" s="165">
        <f>D65*10000/D62</f>
        <v>0.14723145612975733</v>
      </c>
      <c r="E105" s="165">
        <f>E65*10000/E62</f>
        <v>-0.6685419525126178</v>
      </c>
      <c r="F105" s="165">
        <f>F65*10000/F62</f>
        <v>-0.36610682416726537</v>
      </c>
      <c r="G105" s="165">
        <f>AVERAGE(C105:E105)</f>
        <v>-0.3529952530188465</v>
      </c>
      <c r="H105" s="165">
        <f>STDEV(C105:E105)</f>
        <v>0.4381228058850413</v>
      </c>
      <c r="I105" s="165">
        <f>(B105*B4+C105*C4+D105*D4+E105*E4+F105*F4)/SUM(B4:F4)</f>
        <v>-0.35748929110191063</v>
      </c>
      <c r="K105" s="165">
        <f>(LN(H105)+LN(H125))/2-LN(K114*K115^5)</f>
        <v>-3.70838605672154</v>
      </c>
    </row>
    <row r="106" spans="1:11" ht="12.75">
      <c r="A106" s="165" t="s">
        <v>161</v>
      </c>
      <c r="B106" s="165">
        <f>B66*10000/B62</f>
        <v>4.136410125219361</v>
      </c>
      <c r="C106" s="165">
        <f>C66*10000/C62</f>
        <v>3.9834476448396376</v>
      </c>
      <c r="D106" s="165">
        <f>D66*10000/D62</f>
        <v>4.700128355490612</v>
      </c>
      <c r="E106" s="165">
        <f>E66*10000/E62</f>
        <v>4.36113691531069</v>
      </c>
      <c r="F106" s="165">
        <f>F66*10000/F62</f>
        <v>14.935215554933666</v>
      </c>
      <c r="G106" s="165">
        <f>AVERAGE(C106:E106)</f>
        <v>4.34823763854698</v>
      </c>
      <c r="H106" s="165">
        <f>STDEV(C106:E106)</f>
        <v>0.35851444010049094</v>
      </c>
      <c r="I106" s="165">
        <f>(B106*B4+C106*C4+D106*D4+E106*E4+F106*F4)/SUM(B4:F4)</f>
        <v>5.729390526651827</v>
      </c>
      <c r="K106" s="165">
        <f>(LN(H106)+LN(H126))/2-LN(K114*K115^6)</f>
        <v>-3.9799677747139346</v>
      </c>
    </row>
    <row r="107" spans="1:11" ht="12.75">
      <c r="A107" s="165" t="s">
        <v>162</v>
      </c>
      <c r="B107" s="165">
        <f>B67*10000/B62</f>
        <v>0.09454750359289679</v>
      </c>
      <c r="C107" s="165">
        <f>C67*10000/C62</f>
        <v>0.09135198314029234</v>
      </c>
      <c r="D107" s="165">
        <f>D67*10000/D62</f>
        <v>-0.18836489784347832</v>
      </c>
      <c r="E107" s="165">
        <f>E67*10000/E62</f>
        <v>-0.2692018407024032</v>
      </c>
      <c r="F107" s="165">
        <f>F67*10000/F62</f>
        <v>-0.3848052796875019</v>
      </c>
      <c r="G107" s="165">
        <f>AVERAGE(C107:E107)</f>
        <v>-0.12207158513519639</v>
      </c>
      <c r="H107" s="165">
        <f>STDEV(C107:E107)</f>
        <v>0.18919795837766307</v>
      </c>
      <c r="I107" s="165">
        <f>(B107*B4+C107*C4+D107*D4+E107*E4+F107*F4)/SUM(B4:F4)</f>
        <v>-0.12573382074172343</v>
      </c>
      <c r="K107" s="165">
        <f>(LN(H107)+LN(H127))/2-LN(K114*K115^7)</f>
        <v>-3.6226015050958287</v>
      </c>
    </row>
    <row r="108" spans="1:9" ht="12.75">
      <c r="A108" s="165" t="s">
        <v>163</v>
      </c>
      <c r="B108" s="165">
        <f>B68*10000/B62</f>
        <v>-0.054976712895719516</v>
      </c>
      <c r="C108" s="165">
        <f>C68*10000/C62</f>
        <v>-0.029883831117864742</v>
      </c>
      <c r="D108" s="165">
        <f>D68*10000/D62</f>
        <v>0.09187721599030489</v>
      </c>
      <c r="E108" s="165">
        <f>E68*10000/E62</f>
        <v>0.00796242005333663</v>
      </c>
      <c r="F108" s="165">
        <f>F68*10000/F62</f>
        <v>-0.0015691020618330217</v>
      </c>
      <c r="G108" s="165">
        <f>AVERAGE(C108:E108)</f>
        <v>0.02331860164192559</v>
      </c>
      <c r="H108" s="165">
        <f>STDEV(C108:E108)</f>
        <v>0.06231610853507916</v>
      </c>
      <c r="I108" s="165">
        <f>(B108*B4+C108*C4+D108*D4+E108*E4+F108*F4)/SUM(B4:F4)</f>
        <v>0.008658085342509643</v>
      </c>
    </row>
    <row r="109" spans="1:9" ht="12.75">
      <c r="A109" s="165" t="s">
        <v>164</v>
      </c>
      <c r="B109" s="165">
        <f>B69*10000/B62</f>
        <v>-0.08526087399807777</v>
      </c>
      <c r="C109" s="165">
        <f>C69*10000/C62</f>
        <v>-0.0003990292382421613</v>
      </c>
      <c r="D109" s="165">
        <f>D69*10000/D62</f>
        <v>0.13703996330437743</v>
      </c>
      <c r="E109" s="165">
        <f>E69*10000/E62</f>
        <v>0.03479177894337351</v>
      </c>
      <c r="F109" s="165">
        <f>F69*10000/F62</f>
        <v>0.00538869664137047</v>
      </c>
      <c r="G109" s="165">
        <f>AVERAGE(C109:E109)</f>
        <v>0.057144237669836256</v>
      </c>
      <c r="H109" s="165">
        <f>STDEV(C109:E109)</f>
        <v>0.07139393164773339</v>
      </c>
      <c r="I109" s="165">
        <f>(B109*B4+C109*C4+D109*D4+E109*E4+F109*F4)/SUM(B4:F4)</f>
        <v>0.02961150041588564</v>
      </c>
    </row>
    <row r="110" spans="1:11" ht="12.75">
      <c r="A110" s="165" t="s">
        <v>165</v>
      </c>
      <c r="B110" s="165">
        <f>B70*10000/B62</f>
        <v>-0.396816411692832</v>
      </c>
      <c r="C110" s="165">
        <f>C70*10000/C62</f>
        <v>-0.09558318719026686</v>
      </c>
      <c r="D110" s="165">
        <f>D70*10000/D62</f>
        <v>-0.07953898091088789</v>
      </c>
      <c r="E110" s="165">
        <f>E70*10000/E62</f>
        <v>-0.056277053844657386</v>
      </c>
      <c r="F110" s="165">
        <f>F70*10000/F62</f>
        <v>-0.36646378276361563</v>
      </c>
      <c r="G110" s="165">
        <f>AVERAGE(C110:E110)</f>
        <v>-0.07713307398193738</v>
      </c>
      <c r="H110" s="165">
        <f>STDEV(C110:E110)</f>
        <v>0.01976320623681256</v>
      </c>
      <c r="I110" s="165">
        <f>(B110*B4+C110*C4+D110*D4+E110*E4+F110*F4)/SUM(B4:F4)</f>
        <v>-0.16203780479225247</v>
      </c>
      <c r="K110" s="165">
        <f>EXP(AVERAGE(K103:K107))</f>
        <v>0.021140916080862434</v>
      </c>
    </row>
    <row r="111" spans="1:9" ht="12.75">
      <c r="A111" s="165" t="s">
        <v>166</v>
      </c>
      <c r="B111" s="165">
        <f>B71*10000/B62</f>
        <v>-0.008527057549885643</v>
      </c>
      <c r="C111" s="165">
        <f>C71*10000/C62</f>
        <v>0.011098559353577864</v>
      </c>
      <c r="D111" s="165">
        <f>D71*10000/D62</f>
        <v>-0.025600618922164742</v>
      </c>
      <c r="E111" s="165">
        <f>E71*10000/E62</f>
        <v>-0.030756995594963914</v>
      </c>
      <c r="F111" s="165">
        <f>F71*10000/F62</f>
        <v>-0.027326014586339976</v>
      </c>
      <c r="G111" s="165">
        <f>AVERAGE(C111:E111)</f>
        <v>-0.015086351721183597</v>
      </c>
      <c r="H111" s="165">
        <f>STDEV(C111:E111)</f>
        <v>0.0228228883161799</v>
      </c>
      <c r="I111" s="165">
        <f>(B111*B4+C111*C4+D111*D4+E111*E4+F111*F4)/SUM(B4:F4)</f>
        <v>-0.015769802553433295</v>
      </c>
    </row>
    <row r="112" spans="1:9" ht="12.75">
      <c r="A112" s="165" t="s">
        <v>167</v>
      </c>
      <c r="B112" s="165">
        <f>B72*10000/B62</f>
        <v>-0.011504248204498559</v>
      </c>
      <c r="C112" s="165">
        <f>C72*10000/C62</f>
        <v>0.009190591538086563</v>
      </c>
      <c r="D112" s="165">
        <f>D72*10000/D62</f>
        <v>-0.004360697431631451</v>
      </c>
      <c r="E112" s="165">
        <f>E72*10000/E62</f>
        <v>0.0054437449023940696</v>
      </c>
      <c r="F112" s="165">
        <f>F72*10000/F62</f>
        <v>0.0011268001683231953</v>
      </c>
      <c r="G112" s="165">
        <f>AVERAGE(C112:E112)</f>
        <v>0.0034245463362830605</v>
      </c>
      <c r="H112" s="165">
        <f>STDEV(C112:E112)</f>
        <v>0.006997658917255031</v>
      </c>
      <c r="I112" s="165">
        <f>(B112*B4+C112*C4+D112*D4+E112*E4+F112*F4)/SUM(B4:F4)</f>
        <v>0.0009545702493031987</v>
      </c>
    </row>
    <row r="113" spans="1:9" ht="12.75">
      <c r="A113" s="165" t="s">
        <v>168</v>
      </c>
      <c r="B113" s="165">
        <f>B73*10000/B62</f>
        <v>0.017681957040505653</v>
      </c>
      <c r="C113" s="165">
        <f>C73*10000/C62</f>
        <v>0.029401937907921758</v>
      </c>
      <c r="D113" s="165">
        <f>D73*10000/D62</f>
        <v>0.03992426148248791</v>
      </c>
      <c r="E113" s="165">
        <f>E73*10000/E62</f>
        <v>0.043892532652480123</v>
      </c>
      <c r="F113" s="165">
        <f>F73*10000/F62</f>
        <v>0.01052496902154461</v>
      </c>
      <c r="G113" s="165">
        <f>AVERAGE(C113:E113)</f>
        <v>0.03773957734762993</v>
      </c>
      <c r="H113" s="165">
        <f>STDEV(C113:E113)</f>
        <v>0.007488255310122695</v>
      </c>
      <c r="I113" s="165">
        <f>(B113*B4+C113*C4+D113*D4+E113*E4+F113*F4)/SUM(B4:F4)</f>
        <v>0.0312045550676886</v>
      </c>
    </row>
    <row r="114" spans="1:11" ht="12.75">
      <c r="A114" s="165" t="s">
        <v>169</v>
      </c>
      <c r="B114" s="165">
        <f>B74*10000/B62</f>
        <v>-0.17872025867728805</v>
      </c>
      <c r="C114" s="165">
        <f>C74*10000/C62</f>
        <v>-0.1519811865927694</v>
      </c>
      <c r="D114" s="165">
        <f>D74*10000/D62</f>
        <v>-0.16637492030851483</v>
      </c>
      <c r="E114" s="165">
        <f>E74*10000/E62</f>
        <v>-0.16460512608959355</v>
      </c>
      <c r="F114" s="165">
        <f>F74*10000/F62</f>
        <v>-0.1299584853329662</v>
      </c>
      <c r="G114" s="165">
        <f>AVERAGE(C114:E114)</f>
        <v>-0.16098707766362594</v>
      </c>
      <c r="H114" s="165">
        <f>STDEV(C114:E114)</f>
        <v>0.007849369298194084</v>
      </c>
      <c r="I114" s="165">
        <f>(B114*B4+C114*C4+D114*D4+E114*E4+F114*F4)/SUM(B4:F4)</f>
        <v>-0.15941939442728803</v>
      </c>
      <c r="J114" s="165" t="s">
        <v>187</v>
      </c>
      <c r="K114" s="165">
        <v>285</v>
      </c>
    </row>
    <row r="115" spans="1:11" ht="12.75">
      <c r="A115" s="165" t="s">
        <v>170</v>
      </c>
      <c r="B115" s="165">
        <f>B75*10000/B62</f>
        <v>0.0003499603004714908</v>
      </c>
      <c r="C115" s="165">
        <f>C75*10000/C62</f>
        <v>0.0012684977046849937</v>
      </c>
      <c r="D115" s="165">
        <f>D75*10000/D62</f>
        <v>-0.0015635084676334098</v>
      </c>
      <c r="E115" s="165">
        <f>E75*10000/E62</f>
        <v>0.0020143567832755205</v>
      </c>
      <c r="F115" s="165">
        <f>F75*10000/F62</f>
        <v>0.0016258940700073258</v>
      </c>
      <c r="G115" s="165">
        <f>AVERAGE(C115:E115)</f>
        <v>0.0005731153401090348</v>
      </c>
      <c r="H115" s="165">
        <f>STDEV(C115:E115)</f>
        <v>0.0018875771277322272</v>
      </c>
      <c r="I115" s="165">
        <f>(B115*B4+C115*C4+D115*D4+E115*E4+F115*F4)/SUM(B4:F4)</f>
        <v>0.0006811284486756005</v>
      </c>
      <c r="J115" s="165" t="s">
        <v>188</v>
      </c>
      <c r="K115" s="165">
        <v>0.5536</v>
      </c>
    </row>
    <row r="118" ht="12.75">
      <c r="A118" s="165" t="s">
        <v>153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155</v>
      </c>
      <c r="H120" s="165" t="s">
        <v>156</v>
      </c>
      <c r="I120" s="165" t="s">
        <v>151</v>
      </c>
    </row>
    <row r="121" spans="1:9" ht="12.75">
      <c r="A121" s="165" t="s">
        <v>171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172</v>
      </c>
      <c r="B122" s="165">
        <f>B82*10000/B62</f>
        <v>134.2341219181442</v>
      </c>
      <c r="C122" s="165">
        <f>C82*10000/C62</f>
        <v>40.65604541114163</v>
      </c>
      <c r="D122" s="165">
        <f>D82*10000/D62</f>
        <v>-19.271909659739595</v>
      </c>
      <c r="E122" s="165">
        <f>E82*10000/E62</f>
        <v>-49.58176461471918</v>
      </c>
      <c r="F122" s="165">
        <f>F82*10000/F62</f>
        <v>-94.4154120176976</v>
      </c>
      <c r="G122" s="165">
        <f>AVERAGE(C122:E122)</f>
        <v>-9.399209621105713</v>
      </c>
      <c r="H122" s="165">
        <f>STDEV(C122:E122)</f>
        <v>45.921871086721495</v>
      </c>
      <c r="I122" s="165">
        <f>(B122*B4+C122*C4+D122*D4+E122*E4+F122*F4)/SUM(B4:F4)</f>
        <v>0.07282090548946275</v>
      </c>
    </row>
    <row r="123" spans="1:9" ht="12.75">
      <c r="A123" s="165" t="s">
        <v>173</v>
      </c>
      <c r="B123" s="165">
        <f>B83*10000/B62</f>
        <v>0.41929299537560877</v>
      </c>
      <c r="C123" s="165">
        <f>C83*10000/C62</f>
        <v>1.745308651645147</v>
      </c>
      <c r="D123" s="165">
        <f>D83*10000/D62</f>
        <v>-0.490797733387458</v>
      </c>
      <c r="E123" s="165">
        <f>E83*10000/E62</f>
        <v>0.5766966454892463</v>
      </c>
      <c r="F123" s="165">
        <f>F83*10000/F62</f>
        <v>4.130071998981353</v>
      </c>
      <c r="G123" s="165">
        <f>AVERAGE(C123:E123)</f>
        <v>0.6104025212489784</v>
      </c>
      <c r="H123" s="165">
        <f>STDEV(C123:E123)</f>
        <v>1.1184341759090894</v>
      </c>
      <c r="I123" s="165">
        <f>(B123*B4+C123*C4+D123*D4+E123*E4+F123*F4)/SUM(B4:F4)</f>
        <v>1.0520023621166672</v>
      </c>
    </row>
    <row r="124" spans="1:9" ht="12.75">
      <c r="A124" s="165" t="s">
        <v>174</v>
      </c>
      <c r="B124" s="165">
        <f>B84*10000/B62</f>
        <v>0.9905398522233358</v>
      </c>
      <c r="C124" s="165">
        <f>C84*10000/C62</f>
        <v>2.1539992074368968</v>
      </c>
      <c r="D124" s="165">
        <f>D84*10000/D62</f>
        <v>2.808139968532206</v>
      </c>
      <c r="E124" s="165">
        <f>E84*10000/E62</f>
        <v>1.8954504757984187</v>
      </c>
      <c r="F124" s="165">
        <f>F84*10000/F62</f>
        <v>3.86255388042921</v>
      </c>
      <c r="G124" s="165">
        <f>AVERAGE(C124:E124)</f>
        <v>2.2858632172558404</v>
      </c>
      <c r="H124" s="165">
        <f>STDEV(C124:E124)</f>
        <v>0.47041642759454494</v>
      </c>
      <c r="I124" s="165">
        <f>(B124*B4+C124*C4+D124*D4+E124*E4+F124*F4)/SUM(B4:F4)</f>
        <v>2.308437705462308</v>
      </c>
    </row>
    <row r="125" spans="1:9" ht="12.75">
      <c r="A125" s="165" t="s">
        <v>175</v>
      </c>
      <c r="B125" s="165">
        <f>B85*10000/B62</f>
        <v>0.22578384315273997</v>
      </c>
      <c r="C125" s="165">
        <f>C85*10000/C62</f>
        <v>0.9690400642223622</v>
      </c>
      <c r="D125" s="165">
        <f>D85*10000/D62</f>
        <v>0.36645418708353045</v>
      </c>
      <c r="E125" s="165">
        <f>E85*10000/E62</f>
        <v>0.6695243724845947</v>
      </c>
      <c r="F125" s="165">
        <f>F85*10000/F62</f>
        <v>-0.5165791059407379</v>
      </c>
      <c r="G125" s="165">
        <f>AVERAGE(C125:E125)</f>
        <v>0.6683395412634958</v>
      </c>
      <c r="H125" s="165">
        <f>STDEV(C125:E125)</f>
        <v>0.3012946858153337</v>
      </c>
      <c r="I125" s="165">
        <f>(B125*B4+C125*C4+D125*D4+E125*E4+F125*F4)/SUM(B4:F4)</f>
        <v>0.44617918910873267</v>
      </c>
    </row>
    <row r="126" spans="1:9" ht="12.75">
      <c r="A126" s="165" t="s">
        <v>176</v>
      </c>
      <c r="B126" s="165">
        <f>B86*10000/B62</f>
        <v>0.9714043307802446</v>
      </c>
      <c r="C126" s="165">
        <f>C86*10000/C62</f>
        <v>-0.35542416977529384</v>
      </c>
      <c r="D126" s="165">
        <f>D86*10000/D62</f>
        <v>-0.4232985279135518</v>
      </c>
      <c r="E126" s="165">
        <f>E86*10000/E62</f>
        <v>-0.4864985832246459</v>
      </c>
      <c r="F126" s="165">
        <f>F86*10000/F62</f>
        <v>0.7911570655455455</v>
      </c>
      <c r="G126" s="165">
        <f>AVERAGE(C126:E126)</f>
        <v>-0.4217404269711638</v>
      </c>
      <c r="H126" s="165">
        <f>STDEV(C126:E126)</f>
        <v>0.06555109628513407</v>
      </c>
      <c r="I126" s="165">
        <f>(B126*B4+C126*C4+D126*D4+E126*E4+F126*F4)/SUM(B4:F4)</f>
        <v>-0.05813160218312829</v>
      </c>
    </row>
    <row r="127" spans="1:9" ht="12.75">
      <c r="A127" s="165" t="s">
        <v>177</v>
      </c>
      <c r="B127" s="165">
        <f>B87*10000/B62</f>
        <v>0.0326022374431849</v>
      </c>
      <c r="C127" s="165">
        <f>C87*10000/C62</f>
        <v>-0.21879332524993708</v>
      </c>
      <c r="D127" s="165">
        <f>D87*10000/D62</f>
        <v>-0.3735654006863251</v>
      </c>
      <c r="E127" s="165">
        <f>E87*10000/E62</f>
        <v>-0.2823356890621384</v>
      </c>
      <c r="F127" s="165">
        <f>F87*10000/F62</f>
        <v>0.21465311628137806</v>
      </c>
      <c r="G127" s="165">
        <f>AVERAGE(C127:E127)</f>
        <v>-0.29156480499946685</v>
      </c>
      <c r="H127" s="165">
        <f>STDEV(C127:E127)</f>
        <v>0.0777976944996457</v>
      </c>
      <c r="I127" s="165">
        <f>(B127*B4+C127*C4+D127*D4+E127*E4+F127*F4)/SUM(B4:F4)</f>
        <v>-0.1770909348428872</v>
      </c>
    </row>
    <row r="128" spans="1:9" ht="12.75">
      <c r="A128" s="165" t="s">
        <v>178</v>
      </c>
      <c r="B128" s="165">
        <f>B88*10000/B62</f>
        <v>0.16397270289721458</v>
      </c>
      <c r="C128" s="165">
        <f>C88*10000/C62</f>
        <v>0.035216880424805135</v>
      </c>
      <c r="D128" s="165">
        <f>D88*10000/D62</f>
        <v>0.21654872836541672</v>
      </c>
      <c r="E128" s="165">
        <f>E88*10000/E62</f>
        <v>0.1386761546784911</v>
      </c>
      <c r="F128" s="165">
        <f>F88*10000/F62</f>
        <v>0.3730149595033447</v>
      </c>
      <c r="G128" s="165">
        <f>AVERAGE(C128:E128)</f>
        <v>0.13014725448957098</v>
      </c>
      <c r="H128" s="165">
        <f>STDEV(C128:E128)</f>
        <v>0.09096629251109278</v>
      </c>
      <c r="I128" s="165">
        <f>(B128*B4+C128*C4+D128*D4+E128*E4+F128*F4)/SUM(B4:F4)</f>
        <v>0.16744222415285306</v>
      </c>
    </row>
    <row r="129" spans="1:9" ht="12.75">
      <c r="A129" s="165" t="s">
        <v>179</v>
      </c>
      <c r="B129" s="165">
        <f>B89*10000/B62</f>
        <v>-0.06746220092739696</v>
      </c>
      <c r="C129" s="165">
        <f>C89*10000/C62</f>
        <v>0.18763172364976022</v>
      </c>
      <c r="D129" s="165">
        <f>D89*10000/D62</f>
        <v>0.26343136461721406</v>
      </c>
      <c r="E129" s="165">
        <f>E89*10000/E62</f>
        <v>0.07483991741474984</v>
      </c>
      <c r="F129" s="165">
        <f>F89*10000/F62</f>
        <v>0.02923775827399814</v>
      </c>
      <c r="G129" s="165">
        <f>AVERAGE(C129:E129)</f>
        <v>0.17530100189390804</v>
      </c>
      <c r="H129" s="165">
        <f>STDEV(C129:E129)</f>
        <v>0.09489846423280597</v>
      </c>
      <c r="I129" s="165">
        <f>(B129*B4+C129*C4+D129*D4+E129*E4+F129*F4)/SUM(B4:F4)</f>
        <v>0.12064546056094612</v>
      </c>
    </row>
    <row r="130" spans="1:9" ht="12.75">
      <c r="A130" s="165" t="s">
        <v>180</v>
      </c>
      <c r="B130" s="165">
        <f>B90*10000/B62</f>
        <v>0.0486472451452619</v>
      </c>
      <c r="C130" s="165">
        <f>C90*10000/C62</f>
        <v>0.03189341537848716</v>
      </c>
      <c r="D130" s="165">
        <f>D90*10000/D62</f>
        <v>0.09243784574463482</v>
      </c>
      <c r="E130" s="165">
        <f>E90*10000/E62</f>
        <v>0.02823213508021666</v>
      </c>
      <c r="F130" s="165">
        <f>F90*10000/F62</f>
        <v>0.2625586987968158</v>
      </c>
      <c r="G130" s="165">
        <f>AVERAGE(C130:E130)</f>
        <v>0.05085446540111288</v>
      </c>
      <c r="H130" s="165">
        <f>STDEV(C130:E130)</f>
        <v>0.03605876292874079</v>
      </c>
      <c r="I130" s="165">
        <f>(B130*B4+C130*C4+D130*D4+E130*E4+F130*F4)/SUM(B4:F4)</f>
        <v>0.07876761175914507</v>
      </c>
    </row>
    <row r="131" spans="1:9" ht="12.75">
      <c r="A131" s="165" t="s">
        <v>181</v>
      </c>
      <c r="B131" s="165">
        <f>B91*10000/B62</f>
        <v>-0.0027452177253388618</v>
      </c>
      <c r="C131" s="165">
        <f>C91*10000/C62</f>
        <v>0.021932215186521484</v>
      </c>
      <c r="D131" s="165">
        <f>D91*10000/D62</f>
        <v>0.03984934279578291</v>
      </c>
      <c r="E131" s="165">
        <f>E91*10000/E62</f>
        <v>-0.030623503274281864</v>
      </c>
      <c r="F131" s="165">
        <f>F91*10000/F62</f>
        <v>0.007427656204225806</v>
      </c>
      <c r="G131" s="165">
        <f>AVERAGE(C131:E131)</f>
        <v>0.010386018236007509</v>
      </c>
      <c r="H131" s="165">
        <f>STDEV(C131:E131)</f>
        <v>0.03662774230441735</v>
      </c>
      <c r="I131" s="165">
        <f>(B131*B4+C131*C4+D131*D4+E131*E4+F131*F4)/SUM(B4:F4)</f>
        <v>0.008088042424737074</v>
      </c>
    </row>
    <row r="132" spans="1:9" ht="12.75">
      <c r="A132" s="165" t="s">
        <v>182</v>
      </c>
      <c r="B132" s="165">
        <f>B92*10000/B62</f>
        <v>0.02356099512188562</v>
      </c>
      <c r="C132" s="165">
        <f>C92*10000/C62</f>
        <v>-0.008680876663523083</v>
      </c>
      <c r="D132" s="165">
        <f>D92*10000/D62</f>
        <v>-0.0010915690670086368</v>
      </c>
      <c r="E132" s="165">
        <f>E92*10000/E62</f>
        <v>0.021814600955471813</v>
      </c>
      <c r="F132" s="165">
        <f>F92*10000/F62</f>
        <v>0.0491495461839867</v>
      </c>
      <c r="G132" s="165">
        <f>AVERAGE(C132:E132)</f>
        <v>0.004014051741646697</v>
      </c>
      <c r="H132" s="165">
        <f>STDEV(C132:E132)</f>
        <v>0.015875895618326086</v>
      </c>
      <c r="I132" s="165">
        <f>(B132*B4+C132*C4+D132*D4+E132*E4+F132*F4)/SUM(B4:F4)</f>
        <v>0.012866260399118784</v>
      </c>
    </row>
    <row r="133" spans="1:9" ht="12.75">
      <c r="A133" s="165" t="s">
        <v>183</v>
      </c>
      <c r="B133" s="165">
        <f>B93*10000/B62</f>
        <v>0.02952867899961377</v>
      </c>
      <c r="C133" s="165">
        <f>C93*10000/C62</f>
        <v>0.02088035100254939</v>
      </c>
      <c r="D133" s="165">
        <f>D93*10000/D62</f>
        <v>0.032240685524660556</v>
      </c>
      <c r="E133" s="165">
        <f>E93*10000/E62</f>
        <v>0.013501721246583004</v>
      </c>
      <c r="F133" s="165">
        <f>F93*10000/F62</f>
        <v>0.01767264633022172</v>
      </c>
      <c r="G133" s="165">
        <f>AVERAGE(C133:E133)</f>
        <v>0.02220758592459765</v>
      </c>
      <c r="H133" s="165">
        <f>STDEV(C133:E133)</f>
        <v>0.009439722451295636</v>
      </c>
      <c r="I133" s="165">
        <f>(B133*B4+C133*C4+D133*D4+E133*E4+F133*F4)/SUM(B4:F4)</f>
        <v>0.022663746096161213</v>
      </c>
    </row>
    <row r="134" spans="1:9" ht="12.75">
      <c r="A134" s="165" t="s">
        <v>184</v>
      </c>
      <c r="B134" s="165">
        <f>B94*10000/B62</f>
        <v>-0.004890917464321155</v>
      </c>
      <c r="C134" s="165">
        <f>C94*10000/C62</f>
        <v>0.008799660908004887</v>
      </c>
      <c r="D134" s="165">
        <f>D94*10000/D62</f>
        <v>0.023159153277314416</v>
      </c>
      <c r="E134" s="165">
        <f>E94*10000/E62</f>
        <v>0.01953577119881025</v>
      </c>
      <c r="F134" s="165">
        <f>F94*10000/F62</f>
        <v>-0.009837642252679616</v>
      </c>
      <c r="G134" s="165">
        <f>AVERAGE(C134:E134)</f>
        <v>0.017164861794709853</v>
      </c>
      <c r="H134" s="165">
        <f>STDEV(C134:E134)</f>
        <v>0.007467574159518158</v>
      </c>
      <c r="I134" s="165">
        <f>(B134*B4+C134*C4+D134*D4+E134*E4+F134*F4)/SUM(B4:F4)</f>
        <v>0.01036859200254904</v>
      </c>
    </row>
    <row r="135" spans="1:9" ht="12.75">
      <c r="A135" s="165" t="s">
        <v>185</v>
      </c>
      <c r="B135" s="165">
        <f>B95*10000/B62</f>
        <v>0.0010431308956190028</v>
      </c>
      <c r="C135" s="165">
        <f>C95*10000/C62</f>
        <v>0.007417754882418989</v>
      </c>
      <c r="D135" s="165">
        <f>D95*10000/D62</f>
        <v>0.006772008356745692</v>
      </c>
      <c r="E135" s="165">
        <f>E95*10000/E62</f>
        <v>0.0007308076841719868</v>
      </c>
      <c r="F135" s="165">
        <f>F95*10000/F62</f>
        <v>0.00016017167864335166</v>
      </c>
      <c r="G135" s="165">
        <f>AVERAGE(C135:E135)</f>
        <v>0.004973523641112223</v>
      </c>
      <c r="H135" s="165">
        <f>STDEV(C135:E135)</f>
        <v>0.003688458507603313</v>
      </c>
      <c r="I135" s="165">
        <f>(B135*B4+C135*C4+D135*D4+E135*E4+F135*F4)/SUM(B4:F4)</f>
        <v>0.0037619675042755794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2003-10-30T07:10:13Z</cp:lastPrinted>
  <dcterms:created xsi:type="dcterms:W3CDTF">1999-06-17T15:15:05Z</dcterms:created>
  <dcterms:modified xsi:type="dcterms:W3CDTF">2005-10-04T10:19:34Z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-1496797198</vt:i4>
  </property>
  <property fmtid="{D5CDD505-2E9C-101B-9397-08002B2CF9AE}" pid="3" name="_EmailSubject">
    <vt:lpwstr>WFM result of aperture 103 and 107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