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106_pos1ap2" sheetId="2" r:id="rId2"/>
    <sheet name="HCMQAP106_pos2ap2" sheetId="3" r:id="rId3"/>
    <sheet name="HCMQAP106_pos3ap2" sheetId="4" r:id="rId4"/>
    <sheet name="HCMQAP106_pos4ap2" sheetId="5" r:id="rId5"/>
    <sheet name="HCMQAP106_pos5ap2" sheetId="6" r:id="rId6"/>
    <sheet name="Lmag_hcmqap" sheetId="7" r:id="rId7"/>
    <sheet name="Result_HCMQAP" sheetId="8" r:id="rId8"/>
  </sheets>
  <definedNames>
    <definedName name="_xlnm.Print_Area" localSheetId="1">'HCMQAP106_pos1ap2'!$A$1:$N$28</definedName>
    <definedName name="_xlnm.Print_Area" localSheetId="2">'HCMQAP106_pos2ap2'!$A$1:$N$28</definedName>
    <definedName name="_xlnm.Print_Area" localSheetId="3">'HCMQAP106_pos3ap2'!$A$1:$N$28</definedName>
    <definedName name="_xlnm.Print_Area" localSheetId="4">'HCMQAP106_pos4ap2'!$A$1:$N$28</definedName>
    <definedName name="_xlnm.Print_Area" localSheetId="5">'HCMQAP106_pos5ap2'!$A$1:$N$28</definedName>
    <definedName name="_xlnm.Print_Area" localSheetId="6">'Lmag_hcmqap'!$A$1:$G$54</definedName>
    <definedName name="_xlnm.Print_Area" localSheetId="0">'Sommaire'!$A$1:$N$16</definedName>
  </definedNames>
  <calcPr fullCalcOnLoad="1"/>
</workbook>
</file>

<file path=xl/sharedStrings.xml><?xml version="1.0" encoding="utf-8"?>
<sst xmlns="http://schemas.openxmlformats.org/spreadsheetml/2006/main" count="510" uniqueCount="191">
  <si>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</si>
  <si>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</si>
  <si>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</si>
  <si>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</si>
  <si>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</si>
  <si>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</si>
  <si>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</si>
  <si>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</si>
  <si>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</si>
  <si>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</si>
  <si>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</si>
  <si>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</si>
  <si>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</si>
  <si>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</si>
  <si>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</si>
  <si>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hcmqap106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</si>
  <si>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</si>
  <si>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</si>
  <si>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</si>
  <si>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</si>
  <si>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</si>
  <si>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</si>
  <si>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</si>
  <si>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</si>
  <si>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</si>
  <si>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</si>
  <si>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</si>
  <si>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</si>
  <si>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</si>
  <si>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</si>
  <si>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</si>
  <si>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</si>
  <si>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</si>
  <si>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</si>
  <si>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</si>
  <si>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</si>
  <si>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</si>
  <si>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</si>
  <si>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</si>
  <si>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</si>
  <si>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</si>
  <si>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</si>
  <si>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</si>
  <si>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</si>
  <si>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</si>
  <si>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</si>
  <si>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</si>
  <si>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</si>
  <si>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</si>
  <si>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</si>
  <si>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</si>
  <si>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</si>
  <si>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</si>
  <si>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</si>
  <si>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</si>
  <si>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</si>
  <si>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</si>
  <si>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</si>
  <si>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</si>
  <si>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-2.258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</si>
  <si>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</si>
  <si>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</si>
  <si>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</si>
  <si>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</si>
  <si>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</si>
  <si>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</si>
  <si>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</si>
  <si>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</si>
  <si>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HCMQAP106_pos1ap2</t>
  </si>
  <si>
    <t>13/10/2003</t>
  </si>
  <si>
    <t>±12.5</t>
  </si>
  <si>
    <t>THCMQAP106_pos1ap2.xls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</si>
  <si>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 mT)</t>
    </r>
  </si>
  <si>
    <t>HCMQAP106_pos2ap2</t>
  </si>
  <si>
    <t>THCMQAP106_pos2ap2.xls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</si>
  <si>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-3.759 mT)</t>
    </r>
  </si>
  <si>
    <t>HCMQAP106_pos3ap2</t>
  </si>
  <si>
    <t>THCMQAP106_pos3ap2.xls</t>
  </si>
  <si>
    <t>HCMQAP106_pos4ap2</t>
  </si>
  <si>
    <t>THCMQAP106_pos4ap2.xls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</si>
  <si>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-2.09 mT)</t>
    </r>
  </si>
  <si>
    <t>HCMQAP106_pos5ap2</t>
  </si>
  <si>
    <t>THCMQAP106_pos5ap2.xls</t>
  </si>
  <si>
    <t>Sommaire : Valeurs intégrales calculées avec les fichiers: HCMQAP106_pos1ap2+HCMQAP106_pos2ap2+HCMQAP106_pos3ap2+HCMQAP106_pos4ap2+HCMQAP106_pos5ap2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</si>
  <si>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</si>
  <si>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</si>
  <si>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</si>
  <si>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</si>
  <si>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</si>
  <si>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</si>
  <si>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</si>
  <si>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</si>
  <si>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</si>
  <si>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</si>
  <si>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</si>
  <si>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</si>
  <si>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</si>
  <si>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</si>
  <si>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</si>
  <si>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</si>
  <si>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</si>
  <si>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</si>
  <si>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</si>
  <si>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</si>
  <si>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</si>
  <si>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</si>
  <si>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</si>
  <si>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</si>
  <si>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</si>
  <si>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</si>
  <si>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</si>
  <si>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</si>
  <si>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</si>
  <si>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</si>
  <si>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</si>
  <si>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</si>
  <si>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</si>
  <si>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</si>
  <si>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</si>
  <si>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</si>
  <si>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</si>
  <si>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</si>
  <si>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</si>
  <si>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</si>
  <si>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</si>
  <si>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</si>
  <si>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</si>
  <si>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=-3.76</t>
    </r>
  </si>
  <si>
    <t>Gradient (T/m)</t>
  </si>
  <si>
    <t xml:space="preserve"> Mon 13/10/2003       14:39:49</t>
  </si>
  <si>
    <t>LISSNER</t>
  </si>
  <si>
    <t>HCMQAP106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</si>
  <si>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</si>
  <si>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</si>
  <si>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</si>
  <si>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</si>
  <si>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</si>
  <si>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</si>
  <si>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</si>
  <si>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</si>
  <si>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</si>
  <si>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b13*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</si>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</sst>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3" fontId="5" fillId="0" borderId="11" xfId="0" applyNumberFormat="1" applyFont="1" applyFill="1" applyBorder="1" applyAlignment="1">
      <alignment horizontal="left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5" fillId="3" borderId="10" xfId="0" applyNumberFormat="1" applyFont="1" applyFill="1" applyBorder="1" applyAlignment="1">
      <alignment horizontal="center"/>
    </xf>
    <xf numFmtId="173" fontId="5" fillId="3" borderId="15" xfId="0" applyNumberFormat="1" applyFont="1" applyFill="1" applyBorder="1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0" borderId="6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0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1" fillId="0" borderId="66" xfId="0" applyNumberFormat="1" applyFont="1" applyBorder="1" applyAlignment="1">
      <alignment horizontal="center"/>
    </xf>
    <xf numFmtId="179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106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/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/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/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/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/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/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/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/>
            </c:numRef>
          </c:val>
          <c:smooth val="0"/>
        </c:ser>
        <c:marker val="1"/>
        <c:axId val="52829329"/>
        <c:axId val="1363598"/>
      </c:lineChart>
      <c:catAx>
        <c:axId val="528293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363598"/>
        <c:crosses val="autoZero"/>
        <c:auto val="1"/>
        <c:lblOffset val="100"/>
        <c:noMultiLvlLbl val="0"/>
      </c:catAx>
      <c:valAx>
        <c:axId val="1363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5282932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28575</xdr:rowOff>
    </xdr:from>
    <xdr:to>
      <xdr:col>7</xdr:col>
      <xdr:colOff>19050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171450" y="6010275"/>
        <a:ext cx="53816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7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69</v>
      </c>
      <c r="B2" s="24">
        <v>80</v>
      </c>
      <c r="C2" s="24" t="s">
        <v>70</v>
      </c>
      <c r="D2" s="25">
        <v>5</v>
      </c>
      <c r="E2" s="25">
        <v>1</v>
      </c>
      <c r="F2" s="26"/>
      <c r="G2" s="26" t="s">
        <v>68</v>
      </c>
      <c r="H2" s="25">
        <v>2387</v>
      </c>
      <c r="I2" s="27" t="s">
        <v>71</v>
      </c>
      <c r="J2" s="30"/>
      <c r="K2" s="28"/>
      <c r="L2" s="28"/>
      <c r="M2" s="28"/>
      <c r="N2" s="28"/>
    </row>
    <row r="3" spans="1:14" s="29" customFormat="1" ht="15" customHeight="1">
      <c r="A3" s="40" t="s">
        <v>69</v>
      </c>
      <c r="B3" s="24">
        <v>80</v>
      </c>
      <c r="C3" s="24" t="s">
        <v>70</v>
      </c>
      <c r="D3" s="25">
        <v>5</v>
      </c>
      <c r="E3" s="25">
        <v>2</v>
      </c>
      <c r="F3" s="26"/>
      <c r="G3" s="26" t="s">
        <v>73</v>
      </c>
      <c r="H3" s="25">
        <v>2387</v>
      </c>
      <c r="I3" s="27" t="s">
        <v>74</v>
      </c>
      <c r="J3" s="30"/>
      <c r="K3" s="28"/>
      <c r="L3" s="28"/>
      <c r="M3" s="28"/>
      <c r="N3" s="28"/>
    </row>
    <row r="4" spans="1:14" s="29" customFormat="1" ht="15" customHeight="1">
      <c r="A4" s="40" t="s">
        <v>69</v>
      </c>
      <c r="B4" s="24">
        <v>80</v>
      </c>
      <c r="C4" s="24" t="s">
        <v>70</v>
      </c>
      <c r="D4" s="25">
        <v>5</v>
      </c>
      <c r="E4" s="25">
        <v>3</v>
      </c>
      <c r="F4" s="26"/>
      <c r="G4" s="26" t="s">
        <v>76</v>
      </c>
      <c r="H4" s="25">
        <v>2387</v>
      </c>
      <c r="I4" s="27" t="s">
        <v>77</v>
      </c>
      <c r="J4" s="30"/>
      <c r="K4" s="31"/>
      <c r="L4" s="31"/>
      <c r="M4" s="31"/>
      <c r="N4" s="28"/>
    </row>
    <row r="5" spans="1:14" s="29" customFormat="1" ht="15" customHeight="1">
      <c r="A5" s="40" t="s">
        <v>69</v>
      </c>
      <c r="B5" s="24">
        <v>80</v>
      </c>
      <c r="C5" s="24" t="s">
        <v>70</v>
      </c>
      <c r="D5" s="25">
        <v>5</v>
      </c>
      <c r="E5" s="25">
        <v>4</v>
      </c>
      <c r="F5" s="26"/>
      <c r="G5" s="26" t="s">
        <v>78</v>
      </c>
      <c r="H5" s="25">
        <v>2387</v>
      </c>
      <c r="I5" s="27" t="s">
        <v>79</v>
      </c>
      <c r="J5" s="30"/>
      <c r="K5" s="28"/>
      <c r="L5" s="28"/>
      <c r="M5" s="28"/>
      <c r="N5" s="28"/>
    </row>
    <row r="6" spans="1:14" s="29" customFormat="1" ht="15" customHeight="1">
      <c r="A6" s="40" t="s">
        <v>69</v>
      </c>
      <c r="B6" s="24">
        <v>80</v>
      </c>
      <c r="C6" s="24" t="s">
        <v>70</v>
      </c>
      <c r="D6" s="25">
        <v>5</v>
      </c>
      <c r="E6" s="25">
        <v>5</v>
      </c>
      <c r="F6" s="26"/>
      <c r="G6" s="26" t="s">
        <v>81</v>
      </c>
      <c r="H6" s="25">
        <v>2387</v>
      </c>
      <c r="I6" s="27" t="s">
        <v>82</v>
      </c>
      <c r="J6" s="30"/>
      <c r="K6" s="28"/>
      <c r="L6" s="28"/>
      <c r="M6" s="28"/>
      <c r="N6" s="28"/>
    </row>
    <row r="7" spans="1:14" s="29" customFormat="1" ht="15" customHeight="1">
      <c r="A7" s="40" t="s">
        <v>83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5" customHeight="1">
      <c r="A10" s="40"/>
      <c r="B10" s="24"/>
      <c r="C10" s="24"/>
      <c r="D10" s="25"/>
      <c r="E10" s="25"/>
      <c r="F10" s="26"/>
      <c r="G10" s="26"/>
      <c r="H10" s="25"/>
      <c r="I10" s="27"/>
      <c r="J10" s="30"/>
      <c r="K10" s="28"/>
      <c r="L10" s="28"/>
      <c r="M10" s="28"/>
      <c r="N10" s="28"/>
    </row>
    <row r="11" spans="1:14" s="29" customFormat="1" ht="18" customHeight="1">
      <c r="A11" s="41"/>
      <c r="B11" s="24"/>
      <c r="C11" s="24"/>
      <c r="D11" s="25"/>
      <c r="E11" s="33"/>
      <c r="F11" s="34"/>
      <c r="G11" s="4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38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8" customHeight="1">
      <c r="A13" s="40"/>
      <c r="B13" s="24"/>
      <c r="C13" s="24"/>
      <c r="D13" s="25"/>
      <c r="E13" s="33"/>
      <c r="F13" s="34"/>
      <c r="G13" s="34"/>
      <c r="H13" s="33"/>
      <c r="I13" s="35"/>
      <c r="J13" s="36"/>
      <c r="K13" s="37"/>
      <c r="L13" s="37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7"/>
      <c r="J14" s="30"/>
      <c r="K14" s="31"/>
      <c r="L14" s="28"/>
      <c r="M14" s="28"/>
      <c r="N14" s="28"/>
    </row>
    <row r="15" spans="1:14" s="29" customFormat="1" ht="15" customHeight="1">
      <c r="A15" s="40"/>
      <c r="B15" s="24"/>
      <c r="C15" s="24"/>
      <c r="D15" s="25"/>
      <c r="E15" s="25"/>
      <c r="F15" s="26"/>
      <c r="G15" s="26"/>
      <c r="H15" s="25"/>
      <c r="I15" s="28"/>
      <c r="J15" s="30"/>
      <c r="K15" s="31"/>
      <c r="L15" s="28"/>
      <c r="M15" s="28"/>
      <c r="N15" s="28"/>
    </row>
    <row r="16" spans="1:14" s="2" customFormat="1" ht="18" customHeight="1">
      <c r="A16" s="42"/>
      <c r="B16" s="20"/>
      <c r="C16" s="20"/>
      <c r="D16" s="15"/>
      <c r="E16" s="15"/>
      <c r="F16" s="22"/>
      <c r="G16" s="22"/>
      <c r="H16" s="15"/>
      <c r="I16" s="23"/>
      <c r="J16" s="17"/>
      <c r="K16"/>
      <c r="L16" s="4"/>
      <c r="M16" s="4"/>
      <c r="N16" s="4"/>
    </row>
    <row r="17" spans="10:14" ht="15" customHeight="1">
      <c r="J17" s="32"/>
      <c r="M17"/>
      <c r="N17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-1.3089641E-05</v>
      </c>
      <c r="L2" s="55">
        <v>1.6715618850044706E-07</v>
      </c>
      <c r="M2" s="55">
        <v>0.00012741798</v>
      </c>
      <c r="N2" s="56">
        <v>6.926238227539068E-08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-3.1902453000000006E-05</v>
      </c>
      <c r="L3" s="55">
        <v>9.689361798405536E-08</v>
      </c>
      <c r="M3" s="55">
        <v>1.3936120000000002E-05</v>
      </c>
      <c r="N3" s="56">
        <v>1.9050484403272211E-07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-0.002257929520017028</v>
      </c>
      <c r="L4" s="55">
        <v>5.694193759036574E-06</v>
      </c>
      <c r="M4" s="55">
        <v>8.225848317095596E-08</v>
      </c>
      <c r="N4" s="56">
        <v>-1.2609299</v>
      </c>
    </row>
    <row r="5" spans="1:14" ht="15" customHeight="1" thickBot="1">
      <c r="A5" t="s">
        <v>18</v>
      </c>
      <c r="B5" s="59">
        <v>37907.58887731482</v>
      </c>
      <c r="D5" s="60"/>
      <c r="E5" s="61" t="s">
        <v>59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2387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6" t="s">
        <v>24</v>
      </c>
      <c r="J7" s="167"/>
      <c r="K7" s="166" t="s">
        <v>25</v>
      </c>
      <c r="L7" s="167"/>
      <c r="M7" s="166" t="s">
        <v>26</v>
      </c>
      <c r="N7" s="168"/>
    </row>
    <row r="8" spans="1:14" ht="15" customHeight="1">
      <c r="A8" s="57" t="s">
        <v>27</v>
      </c>
      <c r="B8" s="72" t="s">
        <v>28</v>
      </c>
      <c r="D8" s="77">
        <v>1.9988129000000001</v>
      </c>
      <c r="E8" s="78">
        <v>0.01672065027263412</v>
      </c>
      <c r="F8" s="78">
        <v>-3.1522923</v>
      </c>
      <c r="G8" s="78">
        <v>0.014438721971177265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-0.30570956000000005</v>
      </c>
      <c r="E9" s="80">
        <v>0.029729967953386234</v>
      </c>
      <c r="F9" s="80">
        <v>0.6715119700000001</v>
      </c>
      <c r="G9" s="80">
        <v>0.05585305233924492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0.5736839699999999</v>
      </c>
      <c r="E10" s="80">
        <v>0.01724847140530588</v>
      </c>
      <c r="F10" s="84">
        <v>-2.3620614</v>
      </c>
      <c r="G10" s="80">
        <v>0.018730554197379127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1</v>
      </c>
      <c r="D11" s="77">
        <v>4.6827292</v>
      </c>
      <c r="E11" s="78">
        <v>0.009264343552825589</v>
      </c>
      <c r="F11" s="78">
        <v>0.42848384</v>
      </c>
      <c r="G11" s="78">
        <v>0.011402112784365998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5">
        <v>0.7499</v>
      </c>
      <c r="D12" s="86">
        <v>0.62024105</v>
      </c>
      <c r="E12" s="80">
        <v>0.005687009483734877</v>
      </c>
      <c r="F12" s="80">
        <v>0.18047974</v>
      </c>
      <c r="G12" s="80">
        <v>0.005251588051189029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21.655274</v>
      </c>
      <c r="D13" s="83">
        <v>0.22655441</v>
      </c>
      <c r="E13" s="80">
        <v>0.0034729495981646696</v>
      </c>
      <c r="F13" s="80">
        <v>0.18315071</v>
      </c>
      <c r="G13" s="80">
        <v>0.005505304198261871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7">
        <v>12.5</v>
      </c>
      <c r="D14" s="83">
        <v>-0.07756459099999999</v>
      </c>
      <c r="E14" s="80">
        <v>0.0023655885892638054</v>
      </c>
      <c r="F14" s="80">
        <v>0.33508456999999997</v>
      </c>
      <c r="G14" s="80">
        <v>0.0033482203472297773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-0.41878337000000004</v>
      </c>
      <c r="E15" s="78">
        <v>0.0046971800243933</v>
      </c>
      <c r="F15" s="78">
        <v>-0.075932892</v>
      </c>
      <c r="G15" s="78">
        <v>0.00179588130472061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0.060092259</v>
      </c>
      <c r="E16" s="80">
        <v>0.00275531070706251</v>
      </c>
      <c r="F16" s="80">
        <v>-0.08410148499999999</v>
      </c>
      <c r="G16" s="80">
        <v>0.003833900183895298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-0.13300000131130219</v>
      </c>
      <c r="D17" s="86">
        <v>0.17090956999999998</v>
      </c>
      <c r="E17" s="80">
        <v>0.0018358505428295883</v>
      </c>
      <c r="F17" s="80">
        <v>0.055537402199999995</v>
      </c>
      <c r="G17" s="80">
        <v>0.001763696781053513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186.66600036621094</v>
      </c>
      <c r="D18" s="83">
        <v>-0.031690699</v>
      </c>
      <c r="E18" s="80">
        <v>0.002272067378647524</v>
      </c>
      <c r="F18" s="84">
        <v>0.19351532</v>
      </c>
      <c r="G18" s="80">
        <v>0.0019683303949303865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-0.3319999873638153</v>
      </c>
      <c r="D19" s="86">
        <v>-0.19381348999999998</v>
      </c>
      <c r="E19" s="80">
        <v>0.0018360526826316623</v>
      </c>
      <c r="F19" s="80">
        <v>-0.00029509649999999996</v>
      </c>
      <c r="G19" s="80">
        <v>0.0019922621436433197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-0.09608130000000001</v>
      </c>
      <c r="D20" s="89">
        <v>-0.0018956398700000002</v>
      </c>
      <c r="E20" s="90">
        <v>0.0008761170612794508</v>
      </c>
      <c r="F20" s="90">
        <v>-0.002876291437</v>
      </c>
      <c r="G20" s="90">
        <v>0.0028548138238972333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0.9595755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-0.07224602255545759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-2.2579367</v>
      </c>
      <c r="I25" s="102" t="s">
        <v>49</v>
      </c>
      <c r="J25" s="103"/>
      <c r="K25" s="102"/>
      <c r="L25" s="105">
        <v>4.702292117858458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3.732586201797046</v>
      </c>
      <c r="I26" s="107" t="s">
        <v>53</v>
      </c>
      <c r="J26" s="108"/>
      <c r="K26" s="107"/>
      <c r="L26" s="110">
        <v>0.4256116951824052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HCMQAP106_pos1ap2res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2.0664991599999998E-05</v>
      </c>
      <c r="L2" s="55">
        <v>2.0360140290386097E-07</v>
      </c>
      <c r="M2" s="55">
        <v>0.000104630916</v>
      </c>
      <c r="N2" s="56">
        <v>2.1643492183918526E-07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-2.93862624E-05</v>
      </c>
      <c r="L3" s="55">
        <v>1.0005585659597643E-07</v>
      </c>
      <c r="M3" s="55">
        <v>1.2643164E-05</v>
      </c>
      <c r="N3" s="56">
        <v>6.912136684111598E-08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-0.003760084967842594</v>
      </c>
      <c r="L4" s="55">
        <v>-2.0361881842491513E-05</v>
      </c>
      <c r="M4" s="55">
        <v>3.0389777711486594E-08</v>
      </c>
      <c r="N4" s="56">
        <v>2.7076094</v>
      </c>
    </row>
    <row r="5" spans="1:14" ht="15" customHeight="1" thickBot="1">
      <c r="A5" t="s">
        <v>18</v>
      </c>
      <c r="B5" s="59">
        <v>37907.59373842592</v>
      </c>
      <c r="D5" s="60"/>
      <c r="E5" s="61" t="s">
        <v>72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2387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6" t="s">
        <v>24</v>
      </c>
      <c r="J7" s="167"/>
      <c r="K7" s="166" t="s">
        <v>25</v>
      </c>
      <c r="L7" s="167"/>
      <c r="M7" s="166" t="s">
        <v>26</v>
      </c>
      <c r="N7" s="168"/>
    </row>
    <row r="8" spans="1:14" ht="15" customHeight="1">
      <c r="A8" s="57" t="s">
        <v>27</v>
      </c>
      <c r="B8" s="72" t="s">
        <v>28</v>
      </c>
      <c r="D8" s="77">
        <v>-2.784925</v>
      </c>
      <c r="E8" s="78">
        <v>0.011178231559609474</v>
      </c>
      <c r="F8" s="78">
        <v>-0.90210236</v>
      </c>
      <c r="G8" s="78">
        <v>0.019663833754219526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0.33052282</v>
      </c>
      <c r="E9" s="80">
        <v>0.0480421239496609</v>
      </c>
      <c r="F9" s="80">
        <v>-1.6987598</v>
      </c>
      <c r="G9" s="80">
        <v>0.03551995665341578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0.95063978</v>
      </c>
      <c r="E10" s="80">
        <v>0.004732843980887887</v>
      </c>
      <c r="F10" s="80">
        <v>-1.3411104</v>
      </c>
      <c r="G10" s="80">
        <v>0.006068266889347724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2</v>
      </c>
      <c r="D11" s="77">
        <v>4.081201</v>
      </c>
      <c r="E11" s="78">
        <v>0.0044566883556001165</v>
      </c>
      <c r="F11" s="78">
        <v>0.19344741000000001</v>
      </c>
      <c r="G11" s="78">
        <v>0.010456656065033224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5">
        <v>0.7499</v>
      </c>
      <c r="D12" s="83">
        <v>0.23033359</v>
      </c>
      <c r="E12" s="80">
        <v>0.0025491158205178275</v>
      </c>
      <c r="F12" s="80">
        <v>-0.24282597</v>
      </c>
      <c r="G12" s="80">
        <v>0.003250226930630696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21.765137</v>
      </c>
      <c r="D13" s="83">
        <v>0.15740864000000002</v>
      </c>
      <c r="E13" s="80">
        <v>0.005162007391644888</v>
      </c>
      <c r="F13" s="80">
        <v>0.13833967</v>
      </c>
      <c r="G13" s="80">
        <v>0.00488701908913773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7">
        <v>12.5</v>
      </c>
      <c r="D14" s="83">
        <v>-0.07644129899999999</v>
      </c>
      <c r="E14" s="80">
        <v>0.0017623770419024005</v>
      </c>
      <c r="F14" s="80">
        <v>0.07199176700000001</v>
      </c>
      <c r="G14" s="80">
        <v>0.000981592813810514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-0.14713347</v>
      </c>
      <c r="E15" s="78">
        <v>0.0023343622766415152</v>
      </c>
      <c r="F15" s="78">
        <v>-0.0089099531</v>
      </c>
      <c r="G15" s="78">
        <v>0.0020344545679512544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12.506400000000001</v>
      </c>
      <c r="D16" s="83">
        <v>0.08179716899999998</v>
      </c>
      <c r="E16" s="80">
        <v>0.0019190562317860872</v>
      </c>
      <c r="F16" s="80">
        <v>0.00459485591</v>
      </c>
      <c r="G16" s="80">
        <v>0.0022629118073369883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0.4519999921321869</v>
      </c>
      <c r="D17" s="83">
        <v>0.04516454099999999</v>
      </c>
      <c r="E17" s="80">
        <v>0.0011764356623439646</v>
      </c>
      <c r="F17" s="80">
        <v>0.040176615</v>
      </c>
      <c r="G17" s="80">
        <v>0.0015725223846038202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26.957000732421875</v>
      </c>
      <c r="D18" s="83">
        <v>-0.00801729166</v>
      </c>
      <c r="E18" s="80">
        <v>0.0016838142190414033</v>
      </c>
      <c r="F18" s="80">
        <v>0.07901951700000001</v>
      </c>
      <c r="G18" s="80">
        <v>0.0014275289148644923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0.20000000298023224</v>
      </c>
      <c r="D19" s="86">
        <v>-0.15426893000000003</v>
      </c>
      <c r="E19" s="80">
        <v>0.0013674391191546942</v>
      </c>
      <c r="F19" s="80">
        <v>0.0029966433399999997</v>
      </c>
      <c r="G19" s="80">
        <v>0.0012828260896067959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0.0908628</v>
      </c>
      <c r="D20" s="89">
        <v>-0.0033154093600000004</v>
      </c>
      <c r="E20" s="90">
        <v>0.001976346823623409</v>
      </c>
      <c r="F20" s="90">
        <v>0.0047431033999999995</v>
      </c>
      <c r="G20" s="90">
        <v>0.0008072207094785465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0.47354409999999997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0.1551347222266432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-3.7601401</v>
      </c>
      <c r="I25" s="102" t="s">
        <v>49</v>
      </c>
      <c r="J25" s="103"/>
      <c r="K25" s="102"/>
      <c r="L25" s="105">
        <v>4.085783095422064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2.92738721790312</v>
      </c>
      <c r="I26" s="107" t="s">
        <v>53</v>
      </c>
      <c r="J26" s="108"/>
      <c r="K26" s="107"/>
      <c r="L26" s="110">
        <v>0.14740300288150543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HCMQAP106_pos2ap2res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-2.12693181E-05</v>
      </c>
      <c r="L2" s="55">
        <v>1.9025570129271715E-07</v>
      </c>
      <c r="M2" s="55">
        <v>0.00011691290999999999</v>
      </c>
      <c r="N2" s="56">
        <v>1.7495855910192598E-07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-2.82460459E-05</v>
      </c>
      <c r="L3" s="55">
        <v>2.5911342729985966E-07</v>
      </c>
      <c r="M3" s="55">
        <v>1.0851110000000003E-05</v>
      </c>
      <c r="N3" s="56">
        <v>2.1281063272304313E-07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-0.0037586486785707893</v>
      </c>
      <c r="L4" s="55">
        <v>-4.5004372961609484E-05</v>
      </c>
      <c r="M4" s="55">
        <v>5.772988740700017E-08</v>
      </c>
      <c r="N4" s="56">
        <v>5.9864896000000005</v>
      </c>
    </row>
    <row r="5" spans="1:14" ht="15" customHeight="1" thickBot="1">
      <c r="A5" t="s">
        <v>18</v>
      </c>
      <c r="B5" s="59">
        <v>37907.59825231481</v>
      </c>
      <c r="D5" s="60"/>
      <c r="E5" s="61" t="s">
        <v>75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2387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6" t="s">
        <v>24</v>
      </c>
      <c r="J7" s="167"/>
      <c r="K7" s="166" t="s">
        <v>25</v>
      </c>
      <c r="L7" s="167"/>
      <c r="M7" s="166" t="s">
        <v>26</v>
      </c>
      <c r="N7" s="168"/>
    </row>
    <row r="8" spans="1:14" ht="15" customHeight="1">
      <c r="A8" s="57" t="s">
        <v>27</v>
      </c>
      <c r="B8" s="72" t="s">
        <v>28</v>
      </c>
      <c r="D8" s="77">
        <v>0.50026074</v>
      </c>
      <c r="E8" s="78">
        <v>0.01236881902537459</v>
      </c>
      <c r="F8" s="78">
        <v>-2.9378787</v>
      </c>
      <c r="G8" s="78">
        <v>0.017092411338290706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-0.31896446</v>
      </c>
      <c r="E9" s="80">
        <v>0.025473870551673588</v>
      </c>
      <c r="F9" s="80">
        <v>0.91070954</v>
      </c>
      <c r="G9" s="80">
        <v>0.03262933610926596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-0.22099499500000003</v>
      </c>
      <c r="E10" s="80">
        <v>0.010230823715048127</v>
      </c>
      <c r="F10" s="84">
        <v>-2.9470274</v>
      </c>
      <c r="G10" s="80">
        <v>0.007700081976213677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3</v>
      </c>
      <c r="D11" s="77">
        <v>4.5986615</v>
      </c>
      <c r="E11" s="78">
        <v>0.00498074264535097</v>
      </c>
      <c r="F11" s="78">
        <v>0.47394732</v>
      </c>
      <c r="G11" s="78">
        <v>0.004267272563901917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5">
        <v>0.7499</v>
      </c>
      <c r="D12" s="83">
        <v>-0.12976559000000001</v>
      </c>
      <c r="E12" s="80">
        <v>0.001974942902819898</v>
      </c>
      <c r="F12" s="80">
        <v>0.5006026400000001</v>
      </c>
      <c r="G12" s="80">
        <v>0.002975381155303917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21.862794</v>
      </c>
      <c r="D13" s="83">
        <v>-0.0118672929</v>
      </c>
      <c r="E13" s="80">
        <v>0.003596746351665593</v>
      </c>
      <c r="F13" s="80">
        <v>0.33135306</v>
      </c>
      <c r="G13" s="80">
        <v>0.0011078839891460533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7">
        <v>12.5</v>
      </c>
      <c r="D14" s="83">
        <v>-0.17055309</v>
      </c>
      <c r="E14" s="80">
        <v>0.0014875015671952953</v>
      </c>
      <c r="F14" s="80">
        <v>-0.08951087900000002</v>
      </c>
      <c r="G14" s="80">
        <v>0.003225005382814409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-0.087928504</v>
      </c>
      <c r="E15" s="78">
        <v>0.001693386323800236</v>
      </c>
      <c r="F15" s="78">
        <v>0.033729214</v>
      </c>
      <c r="G15" s="78">
        <v>0.0022435889434194597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12.506499999999999</v>
      </c>
      <c r="D16" s="83">
        <v>0.035220237</v>
      </c>
      <c r="E16" s="80">
        <v>0.0023466749778305864</v>
      </c>
      <c r="F16" s="80">
        <v>0.034218376</v>
      </c>
      <c r="G16" s="80">
        <v>0.0029769768238859426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-0.20399999618530273</v>
      </c>
      <c r="D17" s="83">
        <v>0.05987561399999999</v>
      </c>
      <c r="E17" s="80">
        <v>0.0012579729126913318</v>
      </c>
      <c r="F17" s="80">
        <v>0.045464086</v>
      </c>
      <c r="G17" s="80">
        <v>0.0019748823096615003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154.6219940185547</v>
      </c>
      <c r="D18" s="83">
        <v>-0.01239905002</v>
      </c>
      <c r="E18" s="80">
        <v>0.0015904569113247317</v>
      </c>
      <c r="F18" s="80">
        <v>0.10916043999999998</v>
      </c>
      <c r="G18" s="80">
        <v>0.0018139787783779003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-0.4099999964237213</v>
      </c>
      <c r="D19" s="86">
        <v>-0.16883343999999997</v>
      </c>
      <c r="E19" s="80">
        <v>0.0010021667582842658</v>
      </c>
      <c r="F19" s="80">
        <v>0.0031365553800000003</v>
      </c>
      <c r="G19" s="80">
        <v>0.0008925693955810022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-0.10250359999999999</v>
      </c>
      <c r="D20" s="89">
        <v>0.0058327831</v>
      </c>
      <c r="E20" s="90">
        <v>0.0007405822849838079</v>
      </c>
      <c r="F20" s="90">
        <v>-0.008802076599999998</v>
      </c>
      <c r="G20" s="90">
        <v>0.0004210131779434574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0.5275634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0.34300087789940764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-3.7589181</v>
      </c>
      <c r="I25" s="102" t="s">
        <v>49</v>
      </c>
      <c r="J25" s="103"/>
      <c r="K25" s="102"/>
      <c r="L25" s="105">
        <v>4.623019971157105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2.980166449025799</v>
      </c>
      <c r="I26" s="107" t="s">
        <v>53</v>
      </c>
      <c r="J26" s="108"/>
      <c r="K26" s="107"/>
      <c r="L26" s="110">
        <v>0.09417580205517664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HCMQAP106_pos3ap2res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0.000107146049</v>
      </c>
      <c r="L2" s="55">
        <v>7.805868987207547E-07</v>
      </c>
      <c r="M2" s="55">
        <v>0.00010722725100000001</v>
      </c>
      <c r="N2" s="56">
        <v>7.072004973993338E-07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-2.9082291E-05</v>
      </c>
      <c r="L3" s="55">
        <v>1.5335187828719562E-07</v>
      </c>
      <c r="M3" s="55">
        <v>1.0446089E-05</v>
      </c>
      <c r="N3" s="56">
        <v>1.8402835597805574E-07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-0.0037589659343433106</v>
      </c>
      <c r="L4" s="55">
        <v>-7.257613704774078E-05</v>
      </c>
      <c r="M4" s="55">
        <v>7.959209898507712E-08</v>
      </c>
      <c r="N4" s="56">
        <v>9.6525377</v>
      </c>
    </row>
    <row r="5" spans="1:14" ht="15" customHeight="1" thickBot="1">
      <c r="A5" t="s">
        <v>18</v>
      </c>
      <c r="B5" s="59">
        <v>37907.60288194445</v>
      </c>
      <c r="D5" s="60"/>
      <c r="E5" s="61" t="s">
        <v>72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2387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6" t="s">
        <v>24</v>
      </c>
      <c r="J7" s="167"/>
      <c r="K7" s="166" t="s">
        <v>25</v>
      </c>
      <c r="L7" s="167"/>
      <c r="M7" s="166" t="s">
        <v>26</v>
      </c>
      <c r="N7" s="168"/>
    </row>
    <row r="8" spans="1:14" ht="15" customHeight="1">
      <c r="A8" s="57" t="s">
        <v>27</v>
      </c>
      <c r="B8" s="72" t="s">
        <v>28</v>
      </c>
      <c r="D8" s="77">
        <v>-0.22484537000000002</v>
      </c>
      <c r="E8" s="78">
        <v>0.015639136736936007</v>
      </c>
      <c r="F8" s="78">
        <v>-1.4392318</v>
      </c>
      <c r="G8" s="78">
        <v>0.01672499860269602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0.010430681000000002</v>
      </c>
      <c r="E9" s="80">
        <v>0.01534585465546784</v>
      </c>
      <c r="F9" s="80">
        <v>0.099556069</v>
      </c>
      <c r="G9" s="80">
        <v>0.024726719587278113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-1.0727112399999998</v>
      </c>
      <c r="E10" s="80">
        <v>0.008548020100911345</v>
      </c>
      <c r="F10" s="80">
        <v>-2.2271649</v>
      </c>
      <c r="G10" s="80">
        <v>0.011754551073532482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4</v>
      </c>
      <c r="D11" s="77">
        <v>4.1768635000000005</v>
      </c>
      <c r="E11" s="78">
        <v>0.005750137476322617</v>
      </c>
      <c r="F11" s="78">
        <v>0.19980774</v>
      </c>
      <c r="G11" s="78">
        <v>0.0074988774041451585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5">
        <v>0.7499</v>
      </c>
      <c r="D12" s="83">
        <v>0.14851923</v>
      </c>
      <c r="E12" s="80">
        <v>0.003255411423860893</v>
      </c>
      <c r="F12" s="80">
        <v>0.32994911</v>
      </c>
      <c r="G12" s="80">
        <v>0.0026366520300190894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21.969605</v>
      </c>
      <c r="D13" s="83">
        <v>0.13158667</v>
      </c>
      <c r="E13" s="80">
        <v>0.0030685245543429322</v>
      </c>
      <c r="F13" s="80">
        <v>0.18530578</v>
      </c>
      <c r="G13" s="80">
        <v>0.004900674710546872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7">
        <v>12.5</v>
      </c>
      <c r="D14" s="83">
        <v>0.039445346000000006</v>
      </c>
      <c r="E14" s="80">
        <v>0.002677419377235014</v>
      </c>
      <c r="F14" s="80">
        <v>0.062851246</v>
      </c>
      <c r="G14" s="80">
        <v>0.0024766568985416684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-0.16526718999999998</v>
      </c>
      <c r="E15" s="78">
        <v>0.001288449898291909</v>
      </c>
      <c r="F15" s="78">
        <v>-0.04928979</v>
      </c>
      <c r="G15" s="78">
        <v>0.003062280901137273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12.506400000000001</v>
      </c>
      <c r="D16" s="83">
        <v>0.032163787</v>
      </c>
      <c r="E16" s="80">
        <v>0.001858843190260005</v>
      </c>
      <c r="F16" s="80">
        <v>0.022364287</v>
      </c>
      <c r="G16" s="80">
        <v>0.0021199387010373723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0.3310000002384186</v>
      </c>
      <c r="D17" s="83">
        <v>0.040509358</v>
      </c>
      <c r="E17" s="80">
        <v>0.0007047849142300656</v>
      </c>
      <c r="F17" s="80">
        <v>-0.036284866</v>
      </c>
      <c r="G17" s="80">
        <v>0.0024122338155523173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24.413999557495117</v>
      </c>
      <c r="D18" s="83">
        <v>0.068990268</v>
      </c>
      <c r="E18" s="80">
        <v>0.0014755467182900096</v>
      </c>
      <c r="F18" s="80">
        <v>0.11048651000000001</v>
      </c>
      <c r="G18" s="80">
        <v>0.0007276853519207262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-0.027000000700354576</v>
      </c>
      <c r="D19" s="86">
        <v>-0.16485559</v>
      </c>
      <c r="E19" s="80">
        <v>0.0015338036769432658</v>
      </c>
      <c r="F19" s="80">
        <v>0.0035360357499999995</v>
      </c>
      <c r="G19" s="80">
        <v>0.0009876778022794186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0.47502189999999994</v>
      </c>
      <c r="D20" s="89">
        <v>0.001076722993</v>
      </c>
      <c r="E20" s="90">
        <v>0.001072650152317598</v>
      </c>
      <c r="F20" s="90">
        <v>-0.0047891</v>
      </c>
      <c r="G20" s="90">
        <v>0.0006978388853216022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0.49411570000000005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0.5530501389423826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-3.7596665000000002</v>
      </c>
      <c r="I25" s="102" t="s">
        <v>49</v>
      </c>
      <c r="J25" s="103"/>
      <c r="K25" s="102"/>
      <c r="L25" s="105">
        <v>4.181639849460516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1.45668926492292</v>
      </c>
      <c r="I26" s="107" t="s">
        <v>53</v>
      </c>
      <c r="J26" s="108"/>
      <c r="K26" s="107"/>
      <c r="L26" s="110">
        <v>0.17246079986112842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HCMQAP106_pos4ap2res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1.3786937E-05</v>
      </c>
      <c r="L2" s="55">
        <v>1.4437720486985288E-07</v>
      </c>
      <c r="M2" s="55">
        <v>9.636328100000001E-05</v>
      </c>
      <c r="N2" s="56">
        <v>9.905934893860939E-08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-3.0084369E-05</v>
      </c>
      <c r="L3" s="55">
        <v>7.938157540500501E-08</v>
      </c>
      <c r="M3" s="55">
        <v>9.739079E-06</v>
      </c>
      <c r="N3" s="56">
        <v>1.4668510876699925E-07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-0.002089449775907142</v>
      </c>
      <c r="L4" s="55">
        <v>-5.259802694479578E-05</v>
      </c>
      <c r="M4" s="55">
        <v>6.918063733326328E-08</v>
      </c>
      <c r="N4" s="56">
        <v>12.583916</v>
      </c>
    </row>
    <row r="5" spans="1:14" ht="15" customHeight="1" thickBot="1">
      <c r="A5" t="s">
        <v>18</v>
      </c>
      <c r="B5" s="59">
        <v>37907.607465277775</v>
      </c>
      <c r="D5" s="60"/>
      <c r="E5" s="61" t="s">
        <v>80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2387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6" t="s">
        <v>24</v>
      </c>
      <c r="J7" s="167"/>
      <c r="K7" s="166" t="s">
        <v>25</v>
      </c>
      <c r="L7" s="167"/>
      <c r="M7" s="166" t="s">
        <v>26</v>
      </c>
      <c r="N7" s="168"/>
    </row>
    <row r="8" spans="1:14" ht="15" customHeight="1">
      <c r="A8" s="57" t="s">
        <v>27</v>
      </c>
      <c r="B8" s="72" t="s">
        <v>28</v>
      </c>
      <c r="D8" s="77">
        <v>0.9006295</v>
      </c>
      <c r="E8" s="78">
        <v>0.020564899287011093</v>
      </c>
      <c r="F8" s="78">
        <v>3.8889348000000004</v>
      </c>
      <c r="G8" s="78">
        <v>0.040322592144587686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-2.4290317999999997</v>
      </c>
      <c r="E9" s="80">
        <v>0.08057208906351569</v>
      </c>
      <c r="F9" s="80">
        <v>1.6821384</v>
      </c>
      <c r="G9" s="80">
        <v>0.03814800367700267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-0.69893817</v>
      </c>
      <c r="E10" s="80">
        <v>0.023207134304791176</v>
      </c>
      <c r="F10" s="84">
        <v>-8.8551903</v>
      </c>
      <c r="G10" s="80">
        <v>0.015085856914955656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5</v>
      </c>
      <c r="D11" s="115">
        <v>15.08845</v>
      </c>
      <c r="E11" s="78">
        <v>0.011522119161161049</v>
      </c>
      <c r="F11" s="116">
        <v>1.8275890000000001</v>
      </c>
      <c r="G11" s="78">
        <v>0.0076224423579197495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5">
        <v>0.7499</v>
      </c>
      <c r="D12" s="83">
        <v>-0.37432764</v>
      </c>
      <c r="E12" s="80">
        <v>0.006409599129538938</v>
      </c>
      <c r="F12" s="84">
        <v>0.68891399</v>
      </c>
      <c r="G12" s="80">
        <v>0.008361082404776512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22.11609</v>
      </c>
      <c r="D13" s="83">
        <v>0.10418862100000001</v>
      </c>
      <c r="E13" s="80">
        <v>0.004511221663963543</v>
      </c>
      <c r="F13" s="80">
        <v>0.038573594</v>
      </c>
      <c r="G13" s="80">
        <v>0.0073552363771312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7">
        <v>12.5</v>
      </c>
      <c r="D14" s="83">
        <v>0.34347112</v>
      </c>
      <c r="E14" s="80">
        <v>0.005465297215942225</v>
      </c>
      <c r="F14" s="80">
        <v>0.30112192000000004</v>
      </c>
      <c r="G14" s="80">
        <v>0.0021272139054622865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-0.33624212</v>
      </c>
      <c r="E15" s="78">
        <v>0.003729685072310845</v>
      </c>
      <c r="F15" s="78">
        <v>0.24247725</v>
      </c>
      <c r="G15" s="78">
        <v>0.0036444779829222346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12.506499999999999</v>
      </c>
      <c r="D16" s="83">
        <v>-0.06024616199999999</v>
      </c>
      <c r="E16" s="80">
        <v>0.0018462966682381288</v>
      </c>
      <c r="F16" s="80">
        <v>0.044594690000000006</v>
      </c>
      <c r="G16" s="80">
        <v>0.0035219835388853623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-0.21299999952316284</v>
      </c>
      <c r="D17" s="83">
        <v>0.073385133</v>
      </c>
      <c r="E17" s="80">
        <v>0.0027046153382293252</v>
      </c>
      <c r="F17" s="80">
        <v>0.0156908883</v>
      </c>
      <c r="G17" s="80">
        <v>0.0032714246592424174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136.31199645996094</v>
      </c>
      <c r="D18" s="83">
        <v>-0.0104533927</v>
      </c>
      <c r="E18" s="80">
        <v>0.0017925916354083185</v>
      </c>
      <c r="F18" s="80">
        <v>0.11704813</v>
      </c>
      <c r="G18" s="80">
        <v>0.002635641697310038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-0.4009999930858612</v>
      </c>
      <c r="D19" s="83">
        <v>-0.12597348000000003</v>
      </c>
      <c r="E19" s="80">
        <v>0.0016216592606316546</v>
      </c>
      <c r="F19" s="80">
        <v>-0.025695784</v>
      </c>
      <c r="G19" s="80">
        <v>0.0015616176812536916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0.0923862</v>
      </c>
      <c r="D20" s="89">
        <v>0.0013089024100000003</v>
      </c>
      <c r="E20" s="90">
        <v>0.0016032459449835535</v>
      </c>
      <c r="F20" s="90">
        <v>0.0023445271599999997</v>
      </c>
      <c r="G20" s="90">
        <v>0.001810542734934355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0.7863322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0.7210058855547669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-2.0901117</v>
      </c>
      <c r="I25" s="102" t="s">
        <v>49</v>
      </c>
      <c r="J25" s="103"/>
      <c r="K25" s="102"/>
      <c r="L25" s="105">
        <v>15.198730373140416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3.9918601396994475</v>
      </c>
      <c r="I26" s="107" t="s">
        <v>53</v>
      </c>
      <c r="J26" s="108"/>
      <c r="K26" s="107"/>
      <c r="L26" s="110">
        <v>0.41455274698119765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HCMQAP106_pos5ap2res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9" t="s">
        <v>120</v>
      </c>
      <c r="B1" s="131" t="s">
        <v>68</v>
      </c>
      <c r="C1" s="121" t="s">
        <v>73</v>
      </c>
      <c r="D1" s="121" t="s">
        <v>76</v>
      </c>
      <c r="E1" s="121" t="s">
        <v>78</v>
      </c>
      <c r="F1" s="128" t="s">
        <v>81</v>
      </c>
      <c r="G1" s="163" t="s">
        <v>121</v>
      </c>
    </row>
    <row r="2" spans="1:7" ht="13.5" thickBot="1">
      <c r="A2" s="140" t="s">
        <v>90</v>
      </c>
      <c r="B2" s="132">
        <v>-2.2579367</v>
      </c>
      <c r="C2" s="123">
        <v>-3.7601401</v>
      </c>
      <c r="D2" s="123">
        <v>-3.7589181</v>
      </c>
      <c r="E2" s="123">
        <v>-3.7596665000000002</v>
      </c>
      <c r="F2" s="129">
        <v>-2.0901117</v>
      </c>
      <c r="G2" s="164">
        <v>3.11697930201896</v>
      </c>
    </row>
    <row r="3" spans="1:7" ht="14.25" thickBot="1" thickTop="1">
      <c r="A3" s="148" t="s">
        <v>89</v>
      </c>
      <c r="B3" s="149" t="s">
        <v>84</v>
      </c>
      <c r="C3" s="150" t="s">
        <v>85</v>
      </c>
      <c r="D3" s="150" t="s">
        <v>86</v>
      </c>
      <c r="E3" s="150" t="s">
        <v>87</v>
      </c>
      <c r="F3" s="151" t="s">
        <v>88</v>
      </c>
      <c r="G3" s="158" t="s">
        <v>122</v>
      </c>
    </row>
    <row r="4" spans="1:7" ht="12.75">
      <c r="A4" s="145" t="s">
        <v>91</v>
      </c>
      <c r="B4" s="146">
        <v>1.9988129000000001</v>
      </c>
      <c r="C4" s="147">
        <v>-2.784925</v>
      </c>
      <c r="D4" s="147">
        <v>0.50026074</v>
      </c>
      <c r="E4" s="147">
        <v>-0.22484537000000002</v>
      </c>
      <c r="F4" s="152">
        <v>0.9006295</v>
      </c>
      <c r="G4" s="159">
        <v>-0.1946021321764523</v>
      </c>
    </row>
    <row r="5" spans="1:7" ht="12.75">
      <c r="A5" s="140" t="s">
        <v>93</v>
      </c>
      <c r="B5" s="134">
        <v>-0.30570956000000005</v>
      </c>
      <c r="C5" s="118">
        <v>0.33052282</v>
      </c>
      <c r="D5" s="118">
        <v>-0.31896446</v>
      </c>
      <c r="E5" s="118">
        <v>0.010430681000000002</v>
      </c>
      <c r="F5" s="153">
        <v>-2.4290317999999997</v>
      </c>
      <c r="G5" s="160">
        <v>-0.36374457311936453</v>
      </c>
    </row>
    <row r="6" spans="1:7" ht="12.75">
      <c r="A6" s="140" t="s">
        <v>95</v>
      </c>
      <c r="B6" s="134">
        <v>0.5736839699999999</v>
      </c>
      <c r="C6" s="118">
        <v>0.95063978</v>
      </c>
      <c r="D6" s="118">
        <v>-0.22099499500000003</v>
      </c>
      <c r="E6" s="118">
        <v>-1.0727112399999998</v>
      </c>
      <c r="F6" s="153">
        <v>-0.69893817</v>
      </c>
      <c r="G6" s="160">
        <v>-0.09309129849156644</v>
      </c>
    </row>
    <row r="7" spans="1:7" ht="12.75">
      <c r="A7" s="140" t="s">
        <v>97</v>
      </c>
      <c r="B7" s="133">
        <v>4.6827292</v>
      </c>
      <c r="C7" s="117">
        <v>4.081201</v>
      </c>
      <c r="D7" s="117">
        <v>4.5986615</v>
      </c>
      <c r="E7" s="117">
        <v>4.1768635000000005</v>
      </c>
      <c r="F7" s="154">
        <v>15.08845</v>
      </c>
      <c r="G7" s="160">
        <v>5.787845301031001</v>
      </c>
    </row>
    <row r="8" spans="1:7" ht="12.75">
      <c r="A8" s="140" t="s">
        <v>99</v>
      </c>
      <c r="B8" s="135">
        <v>0.62024105</v>
      </c>
      <c r="C8" s="118">
        <v>0.23033359</v>
      </c>
      <c r="D8" s="118">
        <v>-0.12976559000000001</v>
      </c>
      <c r="E8" s="118">
        <v>0.14851923</v>
      </c>
      <c r="F8" s="153">
        <v>-0.37432764</v>
      </c>
      <c r="G8" s="160">
        <v>0.09949396183455952</v>
      </c>
    </row>
    <row r="9" spans="1:7" ht="12.75">
      <c r="A9" s="140" t="s">
        <v>101</v>
      </c>
      <c r="B9" s="134">
        <v>0.22655441</v>
      </c>
      <c r="C9" s="118">
        <v>0.15740864000000002</v>
      </c>
      <c r="D9" s="118">
        <v>-0.0118672929</v>
      </c>
      <c r="E9" s="118">
        <v>0.13158667</v>
      </c>
      <c r="F9" s="153">
        <v>0.10418862100000001</v>
      </c>
      <c r="G9" s="160">
        <v>0.11335057555555217</v>
      </c>
    </row>
    <row r="10" spans="1:7" ht="12.75">
      <c r="A10" s="140" t="s">
        <v>103</v>
      </c>
      <c r="B10" s="134">
        <v>-0.07756459099999999</v>
      </c>
      <c r="C10" s="118">
        <v>-0.07644129899999999</v>
      </c>
      <c r="D10" s="118">
        <v>-0.17055309</v>
      </c>
      <c r="E10" s="118">
        <v>0.039445346000000006</v>
      </c>
      <c r="F10" s="153">
        <v>0.34347112</v>
      </c>
      <c r="G10" s="160">
        <v>-0.01519614275682389</v>
      </c>
    </row>
    <row r="11" spans="1:7" ht="12.75">
      <c r="A11" s="140" t="s">
        <v>105</v>
      </c>
      <c r="B11" s="133">
        <v>-0.41878337000000004</v>
      </c>
      <c r="C11" s="117">
        <v>-0.14713347</v>
      </c>
      <c r="D11" s="117">
        <v>-0.087928504</v>
      </c>
      <c r="E11" s="117">
        <v>-0.16526718999999998</v>
      </c>
      <c r="F11" s="155">
        <v>-0.33624212</v>
      </c>
      <c r="G11" s="160">
        <v>-0.20179968909257964</v>
      </c>
    </row>
    <row r="12" spans="1:7" ht="12.75">
      <c r="A12" s="140" t="s">
        <v>107</v>
      </c>
      <c r="B12" s="134">
        <v>0.060092259</v>
      </c>
      <c r="C12" s="118">
        <v>0.08179716899999998</v>
      </c>
      <c r="D12" s="118">
        <v>0.035220237</v>
      </c>
      <c r="E12" s="118">
        <v>0.032163787</v>
      </c>
      <c r="F12" s="153">
        <v>-0.06024616199999999</v>
      </c>
      <c r="G12" s="160">
        <v>0.036517278347870295</v>
      </c>
    </row>
    <row r="13" spans="1:7" ht="12.75">
      <c r="A13" s="140" t="s">
        <v>109</v>
      </c>
      <c r="B13" s="135">
        <v>0.17090956999999998</v>
      </c>
      <c r="C13" s="118">
        <v>0.04516454099999999</v>
      </c>
      <c r="D13" s="118">
        <v>0.05987561399999999</v>
      </c>
      <c r="E13" s="118">
        <v>0.040509358</v>
      </c>
      <c r="F13" s="153">
        <v>0.073385133</v>
      </c>
      <c r="G13" s="160">
        <v>0.06952685085752537</v>
      </c>
    </row>
    <row r="14" spans="1:7" ht="12.75">
      <c r="A14" s="140" t="s">
        <v>111</v>
      </c>
      <c r="B14" s="134">
        <v>-0.031690699</v>
      </c>
      <c r="C14" s="118">
        <v>-0.00801729166</v>
      </c>
      <c r="D14" s="118">
        <v>-0.01239905002</v>
      </c>
      <c r="E14" s="118">
        <v>0.068990268</v>
      </c>
      <c r="F14" s="153">
        <v>-0.0104533927</v>
      </c>
      <c r="G14" s="160">
        <v>0.005709617381643503</v>
      </c>
    </row>
    <row r="15" spans="1:7" ht="12.75">
      <c r="A15" s="140" t="s">
        <v>113</v>
      </c>
      <c r="B15" s="135">
        <v>-0.19381348999999998</v>
      </c>
      <c r="C15" s="119">
        <v>-0.15426893000000003</v>
      </c>
      <c r="D15" s="119">
        <v>-0.16883343999999997</v>
      </c>
      <c r="E15" s="119">
        <v>-0.16485559</v>
      </c>
      <c r="F15" s="153">
        <v>-0.12597348000000003</v>
      </c>
      <c r="G15" s="160">
        <v>-0.16224866917040542</v>
      </c>
    </row>
    <row r="16" spans="1:7" ht="12.75">
      <c r="A16" s="140" t="s">
        <v>115</v>
      </c>
      <c r="B16" s="134">
        <v>-0.0018956398700000002</v>
      </c>
      <c r="C16" s="118">
        <v>-0.0033154093600000004</v>
      </c>
      <c r="D16" s="118">
        <v>0.0058327831</v>
      </c>
      <c r="E16" s="118">
        <v>0.001076722993</v>
      </c>
      <c r="F16" s="153">
        <v>0.0013089024100000003</v>
      </c>
      <c r="G16" s="160">
        <v>0.000765493104965962</v>
      </c>
    </row>
    <row r="17" spans="1:7" ht="12.75">
      <c r="A17" s="140" t="s">
        <v>92</v>
      </c>
      <c r="B17" s="133">
        <v>-3.1522923</v>
      </c>
      <c r="C17" s="117">
        <v>-0.90210236</v>
      </c>
      <c r="D17" s="117">
        <v>-2.9378787</v>
      </c>
      <c r="E17" s="117">
        <v>-1.4392318</v>
      </c>
      <c r="F17" s="155">
        <v>3.8889348000000004</v>
      </c>
      <c r="G17" s="160">
        <v>-1.2053465222868087</v>
      </c>
    </row>
    <row r="18" spans="1:7" ht="12.75">
      <c r="A18" s="140" t="s">
        <v>94</v>
      </c>
      <c r="B18" s="134">
        <v>0.6715119700000001</v>
      </c>
      <c r="C18" s="118">
        <v>-1.6987598</v>
      </c>
      <c r="D18" s="118">
        <v>0.91070954</v>
      </c>
      <c r="E18" s="118">
        <v>0.099556069</v>
      </c>
      <c r="F18" s="153">
        <v>1.6821384</v>
      </c>
      <c r="G18" s="160">
        <v>0.15627628325922652</v>
      </c>
    </row>
    <row r="19" spans="1:7" ht="12.75">
      <c r="A19" s="140" t="s">
        <v>96</v>
      </c>
      <c r="B19" s="135">
        <v>-2.3620614</v>
      </c>
      <c r="C19" s="118">
        <v>-1.3411104</v>
      </c>
      <c r="D19" s="119">
        <v>-2.9470274</v>
      </c>
      <c r="E19" s="118">
        <v>-2.2271649</v>
      </c>
      <c r="F19" s="156">
        <v>-8.8551903</v>
      </c>
      <c r="G19" s="161">
        <v>-3.093122076982018</v>
      </c>
    </row>
    <row r="20" spans="1:7" ht="12.75">
      <c r="A20" s="140" t="s">
        <v>98</v>
      </c>
      <c r="B20" s="133">
        <v>0.42848384</v>
      </c>
      <c r="C20" s="117">
        <v>0.19344741000000001</v>
      </c>
      <c r="D20" s="117">
        <v>0.47394732</v>
      </c>
      <c r="E20" s="117">
        <v>0.19980774</v>
      </c>
      <c r="F20" s="154">
        <v>1.8275890000000001</v>
      </c>
      <c r="G20" s="160">
        <v>0.5149805066971613</v>
      </c>
    </row>
    <row r="21" spans="1:7" ht="12.75">
      <c r="A21" s="140" t="s">
        <v>100</v>
      </c>
      <c r="B21" s="134">
        <v>0.18047974</v>
      </c>
      <c r="C21" s="118">
        <v>-0.24282597</v>
      </c>
      <c r="D21" s="118">
        <v>0.5006026400000001</v>
      </c>
      <c r="E21" s="118">
        <v>0.32994911</v>
      </c>
      <c r="F21" s="156">
        <v>0.68891399</v>
      </c>
      <c r="G21" s="160">
        <v>0.2595918086378526</v>
      </c>
    </row>
    <row r="22" spans="1:7" ht="12.75">
      <c r="A22" s="140" t="s">
        <v>102</v>
      </c>
      <c r="B22" s="134">
        <v>0.18315071</v>
      </c>
      <c r="C22" s="118">
        <v>0.13833967</v>
      </c>
      <c r="D22" s="118">
        <v>0.33135306</v>
      </c>
      <c r="E22" s="118">
        <v>0.18530578</v>
      </c>
      <c r="F22" s="153">
        <v>0.038573594</v>
      </c>
      <c r="G22" s="160">
        <v>0.18919832646095242</v>
      </c>
    </row>
    <row r="23" spans="1:7" ht="12.75">
      <c r="A23" s="140" t="s">
        <v>104</v>
      </c>
      <c r="B23" s="134">
        <v>0.33508456999999997</v>
      </c>
      <c r="C23" s="118">
        <v>0.07199176700000001</v>
      </c>
      <c r="D23" s="118">
        <v>-0.08951087900000002</v>
      </c>
      <c r="E23" s="118">
        <v>0.062851246</v>
      </c>
      <c r="F23" s="153">
        <v>0.30112192000000004</v>
      </c>
      <c r="G23" s="160">
        <v>0.09960552810107602</v>
      </c>
    </row>
    <row r="24" spans="1:7" ht="12.75">
      <c r="A24" s="140" t="s">
        <v>106</v>
      </c>
      <c r="B24" s="133">
        <v>-0.075932892</v>
      </c>
      <c r="C24" s="117">
        <v>-0.0089099531</v>
      </c>
      <c r="D24" s="117">
        <v>0.033729214</v>
      </c>
      <c r="E24" s="117">
        <v>-0.04928979</v>
      </c>
      <c r="F24" s="155">
        <v>0.24247725</v>
      </c>
      <c r="G24" s="160">
        <v>0.015570865518793364</v>
      </c>
    </row>
    <row r="25" spans="1:7" ht="12.75">
      <c r="A25" s="140" t="s">
        <v>108</v>
      </c>
      <c r="B25" s="134">
        <v>-0.08410148499999999</v>
      </c>
      <c r="C25" s="118">
        <v>0.00459485591</v>
      </c>
      <c r="D25" s="118">
        <v>0.034218376</v>
      </c>
      <c r="E25" s="118">
        <v>0.022364287</v>
      </c>
      <c r="F25" s="153">
        <v>0.044594690000000006</v>
      </c>
      <c r="G25" s="160">
        <v>0.00852995615013298</v>
      </c>
    </row>
    <row r="26" spans="1:7" ht="12.75">
      <c r="A26" s="140" t="s">
        <v>110</v>
      </c>
      <c r="B26" s="134">
        <v>0.055537402199999995</v>
      </c>
      <c r="C26" s="118">
        <v>0.040176615</v>
      </c>
      <c r="D26" s="118">
        <v>0.045464086</v>
      </c>
      <c r="E26" s="118">
        <v>-0.036284866</v>
      </c>
      <c r="F26" s="153">
        <v>0.0156908883</v>
      </c>
      <c r="G26" s="160">
        <v>0.02199700011137891</v>
      </c>
    </row>
    <row r="27" spans="1:7" ht="12.75">
      <c r="A27" s="140" t="s">
        <v>112</v>
      </c>
      <c r="B27" s="135">
        <v>0.19351532</v>
      </c>
      <c r="C27" s="118">
        <v>0.07901951700000001</v>
      </c>
      <c r="D27" s="118">
        <v>0.10916043999999998</v>
      </c>
      <c r="E27" s="118">
        <v>0.11048651000000001</v>
      </c>
      <c r="F27" s="153">
        <v>0.11704813</v>
      </c>
      <c r="G27" s="161">
        <v>0.11547048364320178</v>
      </c>
    </row>
    <row r="28" spans="1:7" ht="12.75">
      <c r="A28" s="140" t="s">
        <v>114</v>
      </c>
      <c r="B28" s="134">
        <v>-0.00029509649999999996</v>
      </c>
      <c r="C28" s="118">
        <v>0.0029966433399999997</v>
      </c>
      <c r="D28" s="118">
        <v>0.0031365553800000003</v>
      </c>
      <c r="E28" s="118">
        <v>0.0035360357499999995</v>
      </c>
      <c r="F28" s="153">
        <v>-0.025695784</v>
      </c>
      <c r="G28" s="160">
        <v>-0.0011532258868416454</v>
      </c>
    </row>
    <row r="29" spans="1:7" ht="13.5" thickBot="1">
      <c r="A29" s="141" t="s">
        <v>116</v>
      </c>
      <c r="B29" s="136">
        <v>-0.002876291437</v>
      </c>
      <c r="C29" s="120">
        <v>0.0047431033999999995</v>
      </c>
      <c r="D29" s="120">
        <v>-0.008802076599999998</v>
      </c>
      <c r="E29" s="120">
        <v>-0.0047891</v>
      </c>
      <c r="F29" s="157">
        <v>0.0023445271599999997</v>
      </c>
      <c r="G29" s="162">
        <v>-0.00223021929838505</v>
      </c>
    </row>
    <row r="30" spans="1:7" ht="13.5" thickTop="1">
      <c r="A30" s="142" t="s">
        <v>117</v>
      </c>
      <c r="B30" s="137">
        <v>-0.07224602255545759</v>
      </c>
      <c r="C30" s="126">
        <v>0.1551347222266432</v>
      </c>
      <c r="D30" s="126">
        <v>0.34300087789940764</v>
      </c>
      <c r="E30" s="126">
        <v>0.5530501389423826</v>
      </c>
      <c r="F30" s="122">
        <v>0.7210058855547669</v>
      </c>
      <c r="G30" s="163" t="s">
        <v>128</v>
      </c>
    </row>
    <row r="31" spans="1:7" ht="13.5" thickBot="1">
      <c r="A31" s="143" t="s">
        <v>118</v>
      </c>
      <c r="B31" s="132">
        <v>21.655274</v>
      </c>
      <c r="C31" s="123">
        <v>21.765137</v>
      </c>
      <c r="D31" s="123">
        <v>21.862794</v>
      </c>
      <c r="E31" s="123">
        <v>21.969605</v>
      </c>
      <c r="F31" s="124">
        <v>22.11609</v>
      </c>
      <c r="G31" s="165">
        <v>-210.01</v>
      </c>
    </row>
    <row r="32" spans="1:7" ht="15.75" thickBot="1" thickTop="1">
      <c r="A32" s="144" t="s">
        <v>119</v>
      </c>
      <c r="B32" s="138">
        <v>-0.23249999433755875</v>
      </c>
      <c r="C32" s="127">
        <v>0.32599999755620956</v>
      </c>
      <c r="D32" s="127">
        <v>-0.306999996304512</v>
      </c>
      <c r="E32" s="127">
        <v>0.151999999769032</v>
      </c>
      <c r="F32" s="125">
        <v>-0.306999996304512</v>
      </c>
      <c r="G32" s="130" t="s">
        <v>127</v>
      </c>
    </row>
    <row r="33" spans="1:7" ht="15" thickTop="1">
      <c r="A33" t="s">
        <v>123</v>
      </c>
      <c r="G33" s="32" t="s">
        <v>124</v>
      </c>
    </row>
    <row r="34" ht="14.25">
      <c r="A34" t="s">
        <v>125</v>
      </c>
    </row>
    <row r="35" spans="1:2" ht="12.75">
      <c r="A35" t="s">
        <v>126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69" bestFit="1" customWidth="1"/>
    <col min="2" max="2" width="15.66015625" style="169" bestFit="1" customWidth="1"/>
    <col min="3" max="3" width="14.83203125" style="169" bestFit="1" customWidth="1"/>
    <col min="4" max="4" width="16" style="169" bestFit="1" customWidth="1"/>
    <col min="5" max="5" width="21.33203125" style="169" bestFit="1" customWidth="1"/>
    <col min="6" max="7" width="14.83203125" style="169" bestFit="1" customWidth="1"/>
    <col min="8" max="8" width="14.16015625" style="169" bestFit="1" customWidth="1"/>
    <col min="9" max="9" width="14.83203125" style="169" bestFit="1" customWidth="1"/>
    <col min="10" max="10" width="6.33203125" style="169" bestFit="1" customWidth="1"/>
    <col min="11" max="11" width="15" style="169" bestFit="1" customWidth="1"/>
    <col min="12" max="16384" width="10.66015625" style="169" customWidth="1"/>
  </cols>
  <sheetData>
    <row r="1" spans="1:5" ht="12.75">
      <c r="A1" s="169" t="s">
        <v>129</v>
      </c>
      <c r="B1" s="169" t="s">
        <v>130</v>
      </c>
      <c r="C1" s="169" t="s">
        <v>131</v>
      </c>
      <c r="D1" s="169" t="s">
        <v>132</v>
      </c>
      <c r="E1" s="169" t="s">
        <v>133</v>
      </c>
    </row>
    <row r="3" spans="1:7" ht="12.75">
      <c r="A3" s="169" t="s">
        <v>134</v>
      </c>
      <c r="B3" s="169" t="s">
        <v>84</v>
      </c>
      <c r="C3" s="169" t="s">
        <v>85</v>
      </c>
      <c r="D3" s="169" t="s">
        <v>86</v>
      </c>
      <c r="E3" s="169" t="s">
        <v>87</v>
      </c>
      <c r="F3" s="169" t="s">
        <v>88</v>
      </c>
      <c r="G3" s="169" t="s">
        <v>135</v>
      </c>
    </row>
    <row r="4" spans="1:7" ht="12.75">
      <c r="A4" s="169" t="s">
        <v>136</v>
      </c>
      <c r="B4" s="169">
        <v>0.002257</v>
      </c>
      <c r="C4" s="169">
        <v>0.003758</v>
      </c>
      <c r="D4" s="169">
        <v>0.003757</v>
      </c>
      <c r="E4" s="169">
        <v>0.003758</v>
      </c>
      <c r="F4" s="169">
        <v>0.002089</v>
      </c>
      <c r="G4" s="169">
        <v>0.011712</v>
      </c>
    </row>
    <row r="5" spans="1:7" ht="12.75">
      <c r="A5" s="169" t="s">
        <v>137</v>
      </c>
      <c r="B5" s="169">
        <v>7.351155</v>
      </c>
      <c r="C5" s="169">
        <v>3.282989</v>
      </c>
      <c r="D5" s="169">
        <v>-0.359235</v>
      </c>
      <c r="E5" s="169">
        <v>-3.601376</v>
      </c>
      <c r="F5" s="169">
        <v>-6.74966</v>
      </c>
      <c r="G5" s="169">
        <v>-5.847173</v>
      </c>
    </row>
    <row r="6" spans="1:7" ht="12.75">
      <c r="A6" s="169" t="s">
        <v>138</v>
      </c>
      <c r="B6" s="170">
        <v>0.06177609</v>
      </c>
      <c r="C6" s="170">
        <v>-117.5191</v>
      </c>
      <c r="D6" s="170">
        <v>-8.468219</v>
      </c>
      <c r="E6" s="170">
        <v>-352.3682</v>
      </c>
      <c r="F6" s="170">
        <v>-134.608</v>
      </c>
      <c r="G6" s="170">
        <v>708.0536</v>
      </c>
    </row>
    <row r="7" spans="1:7" ht="12.75">
      <c r="A7" s="169" t="s">
        <v>139</v>
      </c>
      <c r="B7" s="170">
        <v>10000</v>
      </c>
      <c r="C7" s="170">
        <v>10000</v>
      </c>
      <c r="D7" s="170">
        <v>10000</v>
      </c>
      <c r="E7" s="170">
        <v>10000</v>
      </c>
      <c r="F7" s="170">
        <v>10000</v>
      </c>
      <c r="G7" s="170">
        <v>10000</v>
      </c>
    </row>
    <row r="8" spans="1:7" ht="12.75">
      <c r="A8" s="169" t="s">
        <v>91</v>
      </c>
      <c r="B8" s="170">
        <v>2.033805</v>
      </c>
      <c r="C8" s="170">
        <v>-2.814226</v>
      </c>
      <c r="D8" s="170">
        <v>0.524195</v>
      </c>
      <c r="E8" s="170">
        <v>-0.2403824</v>
      </c>
      <c r="F8" s="170">
        <v>0.9371152</v>
      </c>
      <c r="G8" s="170">
        <v>-1.232273</v>
      </c>
    </row>
    <row r="9" spans="1:7" ht="12.75">
      <c r="A9" s="169" t="s">
        <v>93</v>
      </c>
      <c r="B9" s="170">
        <v>-0.1753313</v>
      </c>
      <c r="C9" s="170">
        <v>0.3035841</v>
      </c>
      <c r="D9" s="170">
        <v>-0.3533553</v>
      </c>
      <c r="E9" s="170">
        <v>-0.1252356</v>
      </c>
      <c r="F9" s="170">
        <v>-2.045035</v>
      </c>
      <c r="G9" s="170">
        <v>0.3409357</v>
      </c>
    </row>
    <row r="10" spans="1:7" ht="12.75">
      <c r="A10" s="169" t="s">
        <v>140</v>
      </c>
      <c r="B10" s="170">
        <v>0.3099049</v>
      </c>
      <c r="C10" s="170">
        <v>0.9610605</v>
      </c>
      <c r="D10" s="170">
        <v>-0.5062242</v>
      </c>
      <c r="E10" s="170">
        <v>-0.6572061</v>
      </c>
      <c r="F10" s="170">
        <v>-1.137008</v>
      </c>
      <c r="G10" s="170">
        <v>3.001518</v>
      </c>
    </row>
    <row r="11" spans="1:7" ht="12.75">
      <c r="A11" s="169" t="s">
        <v>97</v>
      </c>
      <c r="B11" s="170">
        <v>4.588969</v>
      </c>
      <c r="C11" s="170">
        <v>4.065179</v>
      </c>
      <c r="D11" s="170">
        <v>4.622095</v>
      </c>
      <c r="E11" s="170">
        <v>4.216192</v>
      </c>
      <c r="F11" s="170">
        <v>15.10681</v>
      </c>
      <c r="G11" s="170">
        <v>5.787954</v>
      </c>
    </row>
    <row r="12" spans="1:7" ht="12.75">
      <c r="A12" s="169" t="s">
        <v>99</v>
      </c>
      <c r="B12" s="170">
        <v>0.5682577</v>
      </c>
      <c r="C12" s="170">
        <v>0.2421945</v>
      </c>
      <c r="D12" s="170">
        <v>-0.1172586</v>
      </c>
      <c r="E12" s="170">
        <v>0.1861514</v>
      </c>
      <c r="F12" s="170">
        <v>-0.348791</v>
      </c>
      <c r="G12" s="170">
        <v>0.2678408</v>
      </c>
    </row>
    <row r="13" spans="1:7" ht="12.75">
      <c r="A13" s="169" t="s">
        <v>101</v>
      </c>
      <c r="B13" s="170">
        <v>0.1730555</v>
      </c>
      <c r="C13" s="170">
        <v>0.1597985</v>
      </c>
      <c r="D13" s="170">
        <v>0.002018164</v>
      </c>
      <c r="E13" s="170">
        <v>0.1451171</v>
      </c>
      <c r="F13" s="170">
        <v>0.08086666</v>
      </c>
      <c r="G13" s="170">
        <v>-0.1096651</v>
      </c>
    </row>
    <row r="14" spans="1:7" ht="12.75">
      <c r="A14" s="169" t="s">
        <v>103</v>
      </c>
      <c r="B14" s="170">
        <v>-0.03596705</v>
      </c>
      <c r="C14" s="170">
        <v>-0.07914231</v>
      </c>
      <c r="D14" s="170">
        <v>-0.1591749</v>
      </c>
      <c r="E14" s="170">
        <v>0.006993726</v>
      </c>
      <c r="F14" s="170">
        <v>0.340316</v>
      </c>
      <c r="G14" s="170">
        <v>-0.08353878</v>
      </c>
    </row>
    <row r="15" spans="1:7" ht="12.75">
      <c r="A15" s="169" t="s">
        <v>105</v>
      </c>
      <c r="B15" s="170">
        <v>-0.4069348</v>
      </c>
      <c r="C15" s="170">
        <v>-0.1479134</v>
      </c>
      <c r="D15" s="170">
        <v>-0.0913076</v>
      </c>
      <c r="E15" s="170">
        <v>-0.1586102</v>
      </c>
      <c r="F15" s="170">
        <v>-0.3258617</v>
      </c>
      <c r="G15" s="170">
        <v>-0.1980949</v>
      </c>
    </row>
    <row r="16" spans="1:7" ht="12.75">
      <c r="A16" s="169" t="s">
        <v>107</v>
      </c>
      <c r="B16" s="170">
        <v>0.03345122</v>
      </c>
      <c r="C16" s="170">
        <v>0.08368483</v>
      </c>
      <c r="D16" s="170">
        <v>0.02765871</v>
      </c>
      <c r="E16" s="170">
        <v>0.04267264</v>
      </c>
      <c r="F16" s="170">
        <v>-0.05929506</v>
      </c>
      <c r="G16" s="170">
        <v>0.008169132</v>
      </c>
    </row>
    <row r="17" spans="1:7" ht="12.75">
      <c r="A17" s="169" t="s">
        <v>109</v>
      </c>
      <c r="B17" s="170">
        <v>0.127042</v>
      </c>
      <c r="C17" s="170">
        <v>0.05117626</v>
      </c>
      <c r="D17" s="170">
        <v>0.06730967</v>
      </c>
      <c r="E17" s="170">
        <v>0.06449799</v>
      </c>
      <c r="F17" s="170">
        <v>0.06027092</v>
      </c>
      <c r="G17" s="170">
        <v>-0.07043897</v>
      </c>
    </row>
    <row r="18" spans="1:7" ht="12.75">
      <c r="A18" s="169" t="s">
        <v>141</v>
      </c>
      <c r="B18" s="170">
        <v>-0.03916239</v>
      </c>
      <c r="C18" s="170">
        <v>-0.01079148</v>
      </c>
      <c r="D18" s="170">
        <v>-0.00327693</v>
      </c>
      <c r="E18" s="170">
        <v>0.0602064</v>
      </c>
      <c r="F18" s="170">
        <v>0.0007939734</v>
      </c>
      <c r="G18" s="170">
        <v>-0.1142268</v>
      </c>
    </row>
    <row r="19" spans="1:7" ht="12.75">
      <c r="A19" s="169" t="s">
        <v>113</v>
      </c>
      <c r="B19" s="170">
        <v>-0.1927371</v>
      </c>
      <c r="C19" s="170">
        <v>-0.1541206</v>
      </c>
      <c r="D19" s="170">
        <v>-0.1689138</v>
      </c>
      <c r="E19" s="170">
        <v>-0.1643696</v>
      </c>
      <c r="F19" s="170">
        <v>-0.1279133</v>
      </c>
      <c r="G19" s="170">
        <v>-0.1622189</v>
      </c>
    </row>
    <row r="20" spans="1:7" ht="12.75">
      <c r="A20" s="169" t="s">
        <v>115</v>
      </c>
      <c r="B20" s="170">
        <v>-0.001599078</v>
      </c>
      <c r="C20" s="170">
        <v>-0.003591292</v>
      </c>
      <c r="D20" s="170">
        <v>0.005763808</v>
      </c>
      <c r="E20" s="170">
        <v>0.0008917047</v>
      </c>
      <c r="F20" s="170">
        <v>0.001536753</v>
      </c>
      <c r="G20" s="170">
        <v>-0.002337957</v>
      </c>
    </row>
    <row r="21" spans="1:7" ht="12.75">
      <c r="A21" s="169" t="s">
        <v>142</v>
      </c>
      <c r="B21" s="170">
        <v>-919.0413</v>
      </c>
      <c r="C21" s="170">
        <v>-633.0579</v>
      </c>
      <c r="D21" s="170">
        <v>-664.6968</v>
      </c>
      <c r="E21" s="170">
        <v>-640.486</v>
      </c>
      <c r="F21" s="170">
        <v>-814.5801</v>
      </c>
      <c r="G21" s="170">
        <v>-133.0854</v>
      </c>
    </row>
    <row r="22" spans="1:7" ht="12.75">
      <c r="A22" s="169" t="s">
        <v>143</v>
      </c>
      <c r="B22" s="170">
        <v>147.0337</v>
      </c>
      <c r="C22" s="170">
        <v>65.66072</v>
      </c>
      <c r="D22" s="170">
        <v>-7.184691</v>
      </c>
      <c r="E22" s="170">
        <v>-72.02876</v>
      </c>
      <c r="F22" s="170">
        <v>-135.0014</v>
      </c>
      <c r="G22" s="170">
        <v>0</v>
      </c>
    </row>
    <row r="23" spans="1:7" ht="12.75">
      <c r="A23" s="169" t="s">
        <v>92</v>
      </c>
      <c r="B23" s="170">
        <v>-3.153419</v>
      </c>
      <c r="C23" s="170">
        <v>-0.9331079</v>
      </c>
      <c r="D23" s="170">
        <v>-2.972174</v>
      </c>
      <c r="E23" s="170">
        <v>-1.435402</v>
      </c>
      <c r="F23" s="170">
        <v>3.799428</v>
      </c>
      <c r="G23" s="170">
        <v>0.1897235</v>
      </c>
    </row>
    <row r="24" spans="1:7" ht="12.75">
      <c r="A24" s="169" t="s">
        <v>94</v>
      </c>
      <c r="B24" s="170">
        <v>0.8110401</v>
      </c>
      <c r="C24" s="170">
        <v>-1.715713</v>
      </c>
      <c r="D24" s="170">
        <v>1.06981</v>
      </c>
      <c r="E24" s="170">
        <v>-0.07115727</v>
      </c>
      <c r="F24" s="170">
        <v>1.751</v>
      </c>
      <c r="G24" s="170">
        <v>-0.1787434</v>
      </c>
    </row>
    <row r="25" spans="1:7" ht="12.75">
      <c r="A25" s="169" t="s">
        <v>96</v>
      </c>
      <c r="B25" s="170">
        <v>-1.887438</v>
      </c>
      <c r="C25" s="170">
        <v>-1.481387</v>
      </c>
      <c r="D25" s="170">
        <v>-3.073764</v>
      </c>
      <c r="E25" s="170">
        <v>-2.330779</v>
      </c>
      <c r="F25" s="170">
        <v>-8.016445</v>
      </c>
      <c r="G25" s="170">
        <v>-0.1558796</v>
      </c>
    </row>
    <row r="26" spans="1:7" ht="12.75">
      <c r="A26" s="169" t="s">
        <v>98</v>
      </c>
      <c r="B26" s="170">
        <v>0.6905792</v>
      </c>
      <c r="C26" s="170">
        <v>0.2657005</v>
      </c>
      <c r="D26" s="170">
        <v>0.4298673</v>
      </c>
      <c r="E26" s="170">
        <v>0.147363</v>
      </c>
      <c r="F26" s="170">
        <v>1.186656</v>
      </c>
      <c r="G26" s="170">
        <v>0.4614064</v>
      </c>
    </row>
    <row r="27" spans="1:7" ht="12.75">
      <c r="A27" s="169" t="s">
        <v>100</v>
      </c>
      <c r="B27" s="170">
        <v>0.2300976</v>
      </c>
      <c r="C27" s="170">
        <v>-0.2453342</v>
      </c>
      <c r="D27" s="170">
        <v>0.47391</v>
      </c>
      <c r="E27" s="170">
        <v>0.3491957</v>
      </c>
      <c r="F27" s="170">
        <v>0.7148796</v>
      </c>
      <c r="G27" s="170">
        <v>-0.110304</v>
      </c>
    </row>
    <row r="28" spans="1:7" ht="12.75">
      <c r="A28" s="169" t="s">
        <v>102</v>
      </c>
      <c r="B28" s="170">
        <v>0.1540903</v>
      </c>
      <c r="C28" s="170">
        <v>0.1471732</v>
      </c>
      <c r="D28" s="170">
        <v>0.345919</v>
      </c>
      <c r="E28" s="170">
        <v>0.1916871</v>
      </c>
      <c r="F28" s="170">
        <v>0.05642739</v>
      </c>
      <c r="G28" s="170">
        <v>-0.1945564</v>
      </c>
    </row>
    <row r="29" spans="1:7" ht="12.75">
      <c r="A29" s="169" t="s">
        <v>104</v>
      </c>
      <c r="B29" s="170">
        <v>0.2617944</v>
      </c>
      <c r="C29" s="170">
        <v>0.0803539</v>
      </c>
      <c r="D29" s="170">
        <v>-0.08952817</v>
      </c>
      <c r="E29" s="170">
        <v>0.06330446</v>
      </c>
      <c r="F29" s="170">
        <v>0.2443755</v>
      </c>
      <c r="G29" s="170">
        <v>-0.01533273</v>
      </c>
    </row>
    <row r="30" spans="1:7" ht="12.75">
      <c r="A30" s="169" t="s">
        <v>106</v>
      </c>
      <c r="B30" s="170">
        <v>-0.08591775</v>
      </c>
      <c r="C30" s="170">
        <v>-0.02009405</v>
      </c>
      <c r="D30" s="170">
        <v>0.02949354</v>
      </c>
      <c r="E30" s="170">
        <v>-0.04232913</v>
      </c>
      <c r="F30" s="170">
        <v>0.25869</v>
      </c>
      <c r="G30" s="170">
        <v>0.01425442</v>
      </c>
    </row>
    <row r="31" spans="1:7" ht="12.75">
      <c r="A31" s="169" t="s">
        <v>108</v>
      </c>
      <c r="B31" s="170">
        <v>-0.05588133</v>
      </c>
      <c r="C31" s="170">
        <v>0.002319304</v>
      </c>
      <c r="D31" s="170">
        <v>0.02464988</v>
      </c>
      <c r="E31" s="170">
        <v>0.01053251</v>
      </c>
      <c r="F31" s="170">
        <v>0.05398095</v>
      </c>
      <c r="G31" s="170">
        <v>-0.03395898</v>
      </c>
    </row>
    <row r="32" spans="1:7" ht="12.75">
      <c r="A32" s="169" t="s">
        <v>110</v>
      </c>
      <c r="B32" s="170">
        <v>0.03251984</v>
      </c>
      <c r="C32" s="170">
        <v>0.04131394</v>
      </c>
      <c r="D32" s="170">
        <v>0.02879025</v>
      </c>
      <c r="E32" s="170">
        <v>-0.01523534</v>
      </c>
      <c r="F32" s="170">
        <v>0.008654303</v>
      </c>
      <c r="G32" s="170">
        <v>-0.01906018</v>
      </c>
    </row>
    <row r="33" spans="1:7" ht="12.75">
      <c r="A33" s="169" t="s">
        <v>112</v>
      </c>
      <c r="B33" s="170">
        <v>0.1743697</v>
      </c>
      <c r="C33" s="170">
        <v>0.08328966</v>
      </c>
      <c r="D33" s="170">
        <v>0.1120672</v>
      </c>
      <c r="E33" s="170">
        <v>0.1124402</v>
      </c>
      <c r="F33" s="170">
        <v>0.1120128</v>
      </c>
      <c r="G33" s="170">
        <v>0.005543051</v>
      </c>
    </row>
    <row r="34" spans="1:7" ht="12.75">
      <c r="A34" s="169" t="s">
        <v>114</v>
      </c>
      <c r="B34" s="170">
        <v>-0.02017465</v>
      </c>
      <c r="C34" s="170">
        <v>-0.004064667</v>
      </c>
      <c r="D34" s="170">
        <v>0.004048544</v>
      </c>
      <c r="E34" s="170">
        <v>0.01175589</v>
      </c>
      <c r="F34" s="170">
        <v>-0.01369922</v>
      </c>
      <c r="G34" s="170">
        <v>-0.001930964</v>
      </c>
    </row>
    <row r="35" spans="1:7" ht="12.75">
      <c r="A35" s="169" t="s">
        <v>116</v>
      </c>
      <c r="B35" s="170">
        <v>-0.003070153</v>
      </c>
      <c r="C35" s="170">
        <v>0.004570179</v>
      </c>
      <c r="D35" s="170">
        <v>-0.008835875</v>
      </c>
      <c r="E35" s="170">
        <v>-0.004833623</v>
      </c>
      <c r="F35" s="170">
        <v>0.002200198</v>
      </c>
      <c r="G35" s="170">
        <v>-0.000711483</v>
      </c>
    </row>
    <row r="36" spans="1:6" ht="12.75">
      <c r="A36" s="169" t="s">
        <v>144</v>
      </c>
      <c r="B36" s="170">
        <v>22.11609</v>
      </c>
      <c r="C36" s="170">
        <v>22.11609</v>
      </c>
      <c r="D36" s="170">
        <v>22.11609</v>
      </c>
      <c r="E36" s="170">
        <v>22.11914</v>
      </c>
      <c r="F36" s="170">
        <v>22.12524</v>
      </c>
    </row>
    <row r="37" spans="1:6" ht="12.75">
      <c r="A37" s="169" t="s">
        <v>145</v>
      </c>
      <c r="B37" s="170">
        <v>-0.2649943</v>
      </c>
      <c r="C37" s="170">
        <v>-0.243632</v>
      </c>
      <c r="D37" s="170">
        <v>-0.2370199</v>
      </c>
      <c r="E37" s="170">
        <v>-0.223287</v>
      </c>
      <c r="F37" s="170">
        <v>-0.2207438</v>
      </c>
    </row>
    <row r="38" spans="1:7" ht="12.75">
      <c r="A38" s="169" t="s">
        <v>146</v>
      </c>
      <c r="B38" s="170">
        <v>2.286214E-05</v>
      </c>
      <c r="C38" s="170">
        <v>0.00020684</v>
      </c>
      <c r="D38" s="170">
        <v>1.358411E-05</v>
      </c>
      <c r="E38" s="170">
        <v>0.0005911526</v>
      </c>
      <c r="F38" s="170">
        <v>0.0002101005</v>
      </c>
      <c r="G38" s="170">
        <v>0.0001095997</v>
      </c>
    </row>
    <row r="39" spans="1:7" ht="12.75">
      <c r="A39" s="169" t="s">
        <v>147</v>
      </c>
      <c r="B39" s="170">
        <v>0.001562034</v>
      </c>
      <c r="C39" s="170">
        <v>0.00107484</v>
      </c>
      <c r="D39" s="170">
        <v>0.001129994</v>
      </c>
      <c r="E39" s="170">
        <v>0.001093084</v>
      </c>
      <c r="F39" s="170">
        <v>0.001387623</v>
      </c>
      <c r="G39" s="170">
        <v>0.0006024806</v>
      </c>
    </row>
    <row r="40" spans="2:5" ht="12.75">
      <c r="B40" s="169" t="s">
        <v>148</v>
      </c>
      <c r="C40" s="169">
        <v>0.003758</v>
      </c>
      <c r="D40" s="169" t="s">
        <v>149</v>
      </c>
      <c r="E40" s="169">
        <v>3.116984</v>
      </c>
    </row>
    <row r="42" ht="12.75">
      <c r="A42" s="169" t="s">
        <v>150</v>
      </c>
    </row>
    <row r="50" spans="1:7" ht="12.75">
      <c r="A50" s="169" t="s">
        <v>151</v>
      </c>
      <c r="B50" s="169">
        <f>-0.017/(B7*B7+B22*B22)*(B21*B22+B6*B7)</f>
        <v>2.2862145375218288E-05</v>
      </c>
      <c r="C50" s="169">
        <f>-0.017/(C7*C7+C22*C22)*(C21*C22+C6*C7)</f>
        <v>0.00020683994882458916</v>
      </c>
      <c r="D50" s="169">
        <f>-0.017/(D7*D7+D22*D22)*(D21*D22+D6*D7)</f>
        <v>1.3584106298076468E-05</v>
      </c>
      <c r="E50" s="169">
        <f>-0.017/(E7*E7+E22*E22)*(E21*E22+E6*E7)</f>
        <v>0.0005911525900584607</v>
      </c>
      <c r="F50" s="169">
        <f>-0.017/(F7*F7+F22*F22)*(F21*F22+F6*F7)</f>
        <v>0.00021010050122440406</v>
      </c>
      <c r="G50" s="169">
        <f>(B50*B$4+C50*C$4+D50*D$4+E50*E$4+F50*F$4)/SUM(B$4:F$4)</f>
        <v>0.00022667208256956412</v>
      </c>
    </row>
    <row r="51" spans="1:7" ht="12.75">
      <c r="A51" s="169" t="s">
        <v>152</v>
      </c>
      <c r="B51" s="169">
        <f>-0.017/(B7*B7+B22*B22)*(B21*B7-B6*B22)</f>
        <v>0.0015620340594175543</v>
      </c>
      <c r="C51" s="169">
        <f>-0.017/(C7*C7+C22*C22)*(C21*C7-C6*C22)</f>
        <v>0.0010748403040035414</v>
      </c>
      <c r="D51" s="169">
        <f>-0.017/(D7*D7+D22*D22)*(D21*D7-D6*D22)</f>
        <v>0.0011299943197606264</v>
      </c>
      <c r="E51" s="169">
        <f>-0.017/(E7*E7+E22*E22)*(E21*E7-E6*E22)</f>
        <v>0.0010930841988032699</v>
      </c>
      <c r="F51" s="169">
        <f>-0.017/(F7*F7+F22*F22)*(F21*F7-F6*F22)</f>
        <v>0.0013876225561805997</v>
      </c>
      <c r="G51" s="169">
        <f>(B51*B$4+C51*C$4+D51*D$4+E51*E$4+F51*F$4)/SUM(B$4:F$4)</f>
        <v>0.0012047316302487587</v>
      </c>
    </row>
    <row r="58" ht="12.75">
      <c r="A58" s="169" t="s">
        <v>154</v>
      </c>
    </row>
    <row r="60" spans="2:6" ht="12.75">
      <c r="B60" s="169" t="s">
        <v>84</v>
      </c>
      <c r="C60" s="169" t="s">
        <v>85</v>
      </c>
      <c r="D60" s="169" t="s">
        <v>86</v>
      </c>
      <c r="E60" s="169" t="s">
        <v>87</v>
      </c>
      <c r="F60" s="169" t="s">
        <v>88</v>
      </c>
    </row>
    <row r="61" spans="1:6" ht="12.75">
      <c r="A61" s="169" t="s">
        <v>156</v>
      </c>
      <c r="B61" s="169">
        <f>B6+(1/0.017)*(B7*B50-B22*B51)</f>
        <v>4.0245584642661925E-16</v>
      </c>
      <c r="C61" s="169">
        <f>C6+(1/0.017)*(C7*C50-C22*C51)</f>
        <v>0</v>
      </c>
      <c r="D61" s="169">
        <f>D6+(1/0.017)*(D7*D50-D22*D51)</f>
        <v>0</v>
      </c>
      <c r="E61" s="169">
        <f>E6+(1/0.017)*(E7*E50-E22*E51)</f>
        <v>0</v>
      </c>
      <c r="F61" s="169">
        <f>F6+(1/0.017)*(F7*F50-F22*F51)</f>
        <v>0</v>
      </c>
    </row>
    <row r="62" spans="1:6" ht="12.75">
      <c r="A62" s="169" t="s">
        <v>159</v>
      </c>
      <c r="B62" s="169">
        <f>B7+(2/0.017)*(B8*B50-B23*B51)</f>
        <v>10000.5849700032</v>
      </c>
      <c r="C62" s="169">
        <f>C7+(2/0.017)*(C8*C50-C23*C51)</f>
        <v>10000.049511484363</v>
      </c>
      <c r="D62" s="169">
        <f>D7+(2/0.017)*(D8*D50-D23*D51)</f>
        <v>10000.395960053875</v>
      </c>
      <c r="E62" s="169">
        <f>E7+(2/0.017)*(E8*E50-E23*E51)</f>
        <v>10000.167872066679</v>
      </c>
      <c r="F62" s="169">
        <f>F7+(2/0.017)*(F8*F50-F23*F51)</f>
        <v>9999.402907809394</v>
      </c>
    </row>
    <row r="63" spans="1:6" ht="12.75">
      <c r="A63" s="169" t="s">
        <v>160</v>
      </c>
      <c r="B63" s="169">
        <f>B8+(3/0.017)*(B9*B50-B24*B51)</f>
        <v>1.8095319336312627</v>
      </c>
      <c r="C63" s="169">
        <f>C8+(3/0.017)*(C9*C50-C24*C51)</f>
        <v>-2.477712329021626</v>
      </c>
      <c r="D63" s="169">
        <f>D8+(3/0.017)*(D9*D50-D24*D51)</f>
        <v>0.3100163107330639</v>
      </c>
      <c r="E63" s="169">
        <f>E8+(3/0.017)*(E9*E50-E24*E51)</f>
        <v>-0.23972106973656718</v>
      </c>
      <c r="F63" s="169">
        <f>F8+(3/0.017)*(F9*F50-F24*F51)</f>
        <v>0.4325169692246449</v>
      </c>
    </row>
    <row r="64" spans="1:6" ht="12.75">
      <c r="A64" s="169" t="s">
        <v>161</v>
      </c>
      <c r="B64" s="169">
        <f>B9+(4/0.017)*(B10*B50-B25*B51)</f>
        <v>0.5200398839800571</v>
      </c>
      <c r="C64" s="169">
        <f>C9+(4/0.017)*(C10*C50-C25*C51)</f>
        <v>0.7250053136621714</v>
      </c>
      <c r="D64" s="169">
        <f>D9+(4/0.017)*(D10*D50-D25*D51)</f>
        <v>0.4622821722214691</v>
      </c>
      <c r="E64" s="169">
        <f>E9+(4/0.017)*(E10*E50-E25*E51)</f>
        <v>0.3828181900200628</v>
      </c>
      <c r="F64" s="169">
        <f>F9+(4/0.017)*(F10*F50-F25*F51)</f>
        <v>0.516121223925889</v>
      </c>
    </row>
    <row r="65" spans="1:6" ht="12.75">
      <c r="A65" s="169" t="s">
        <v>162</v>
      </c>
      <c r="B65" s="169">
        <f>B10+(5/0.017)*(B11*B50-B26*B51)</f>
        <v>0.023494736845600883</v>
      </c>
      <c r="C65" s="169">
        <f>C10+(5/0.017)*(C11*C50-C26*C51)</f>
        <v>1.1243710323908533</v>
      </c>
      <c r="D65" s="169">
        <f>D10+(5/0.017)*(D11*D50-D26*D51)</f>
        <v>-0.6306243698385381</v>
      </c>
      <c r="E65" s="169">
        <f>E10+(5/0.017)*(E11*E50-E26*E51)</f>
        <v>0.028479974763386928</v>
      </c>
      <c r="F65" s="169">
        <f>F10+(5/0.017)*(F11*F50-F26*F51)</f>
        <v>-0.6877969056250606</v>
      </c>
    </row>
    <row r="66" spans="1:6" ht="12.75">
      <c r="A66" s="169" t="s">
        <v>163</v>
      </c>
      <c r="B66" s="169">
        <f>B11+(6/0.017)*(B12*B50-B27*B51)</f>
        <v>4.466700047749794</v>
      </c>
      <c r="C66" s="169">
        <f>C11+(6/0.017)*(C12*C50-C27*C51)</f>
        <v>4.175928617916257</v>
      </c>
      <c r="D66" s="169">
        <f>D11+(6/0.017)*(D12*D50-D27*D51)</f>
        <v>4.4325273077536975</v>
      </c>
      <c r="E66" s="169">
        <f>E11+(6/0.017)*(E12*E50-E27*E51)</f>
        <v>4.12031326363281</v>
      </c>
      <c r="F66" s="169">
        <f>F11+(6/0.017)*(F12*F50-F27*F51)</f>
        <v>14.730834392293202</v>
      </c>
    </row>
    <row r="67" spans="1:6" ht="12.75">
      <c r="A67" s="169" t="s">
        <v>164</v>
      </c>
      <c r="B67" s="169">
        <f>B12+(7/0.017)*(B13*B50-B28*B51)</f>
        <v>0.4707773977771639</v>
      </c>
      <c r="C67" s="169">
        <f>C12+(7/0.017)*(C13*C50-C28*C51)</f>
        <v>0.19066833445479442</v>
      </c>
      <c r="D67" s="169">
        <f>D12+(7/0.017)*(D13*D50-D28*D51)</f>
        <v>-0.27820057829416545</v>
      </c>
      <c r="E67" s="169">
        <f>E12+(7/0.017)*(E13*E50-E28*E51)</f>
        <v>0.13519807445979132</v>
      </c>
      <c r="F67" s="169">
        <f>F12+(7/0.017)*(F13*F50-F28*F51)</f>
        <v>-0.37403620902731727</v>
      </c>
    </row>
    <row r="68" spans="1:6" ht="12.75">
      <c r="A68" s="169" t="s">
        <v>165</v>
      </c>
      <c r="B68" s="169">
        <f>B13+(8/0.017)*(B14*B50-B29*B51)</f>
        <v>-0.019769936842635616</v>
      </c>
      <c r="C68" s="169">
        <f>C13+(8/0.017)*(C14*C50-C29*C51)</f>
        <v>0.11145148745688005</v>
      </c>
      <c r="D68" s="169">
        <f>D13+(8/0.017)*(D14*D50-D29*D51)</f>
        <v>0.048608316845636726</v>
      </c>
      <c r="E68" s="169">
        <f>E13+(8/0.017)*(E14*E50-E29*E51)</f>
        <v>0.11449933731731085</v>
      </c>
      <c r="F68" s="169">
        <f>F13+(8/0.017)*(F14*F50-F29*F51)</f>
        <v>-0.04506293708387191</v>
      </c>
    </row>
    <row r="69" spans="1:6" ht="12.75">
      <c r="A69" s="169" t="s">
        <v>166</v>
      </c>
      <c r="B69" s="169">
        <f>B14+(9/0.017)*(B15*B50-B30*B51)</f>
        <v>0.030158093722010865</v>
      </c>
      <c r="C69" s="169">
        <f>C14+(9/0.017)*(C15*C50-C30*C51)</f>
        <v>-0.08390516573425162</v>
      </c>
      <c r="D69" s="169">
        <f>D14+(9/0.017)*(D15*D50-D30*D51)</f>
        <v>-0.1774755343132174</v>
      </c>
      <c r="E69" s="169">
        <f>E14+(9/0.017)*(E15*E50-E30*E51)</f>
        <v>-0.018149906146377</v>
      </c>
      <c r="F69" s="169">
        <f>F14+(9/0.017)*(F15*F50-F30*F51)</f>
        <v>0.1140307017633082</v>
      </c>
    </row>
    <row r="70" spans="1:6" ht="12.75">
      <c r="A70" s="169" t="s">
        <v>167</v>
      </c>
      <c r="B70" s="169">
        <f>B15+(10/0.017)*(B16*B50-B31*B51)</f>
        <v>-0.35513873682342917</v>
      </c>
      <c r="C70" s="169">
        <f>C15+(10/0.017)*(C16*C50-C31*C51)</f>
        <v>-0.13919782085990717</v>
      </c>
      <c r="D70" s="169">
        <f>D15+(10/0.017)*(D16*D50-D31*D51)</f>
        <v>-0.10747142678004318</v>
      </c>
      <c r="E70" s="169">
        <f>E15+(10/0.017)*(E16*E50-E31*E51)</f>
        <v>-0.15054365799653247</v>
      </c>
      <c r="F70" s="169">
        <f>F15+(10/0.017)*(F16*F50-F31*F51)</f>
        <v>-0.37725176214716954</v>
      </c>
    </row>
    <row r="71" spans="1:6" ht="12.75">
      <c r="A71" s="169" t="s">
        <v>168</v>
      </c>
      <c r="B71" s="169">
        <f>B16+(11/0.017)*(B17*B50-B32*B51)</f>
        <v>0.0024618614614964895</v>
      </c>
      <c r="C71" s="169">
        <f>C16+(11/0.017)*(C17*C50-C32*C51)</f>
        <v>0.06180091699251458</v>
      </c>
      <c r="D71" s="169">
        <f>D16+(11/0.017)*(D17*D50-D32*D51)</f>
        <v>0.007199695307322403</v>
      </c>
      <c r="E71" s="169">
        <f>E16+(11/0.017)*(E17*E50-E32*E51)</f>
        <v>0.07811959857965066</v>
      </c>
      <c r="F71" s="169">
        <f>F16+(11/0.017)*(F17*F50-F32*F51)</f>
        <v>-0.058871854767365894</v>
      </c>
    </row>
    <row r="72" spans="1:6" ht="12.75">
      <c r="A72" s="169" t="s">
        <v>169</v>
      </c>
      <c r="B72" s="169">
        <f>B17+(12/0.017)*(B18*B50-B33*B51)</f>
        <v>-0.06585217405918267</v>
      </c>
      <c r="C72" s="169">
        <f>C17+(12/0.017)*(C18*C50-C33*C51)</f>
        <v>-0.013592111279312827</v>
      </c>
      <c r="D72" s="169">
        <f>D17+(12/0.017)*(D18*D50-D33*D51)</f>
        <v>-0.022111374891950197</v>
      </c>
      <c r="E72" s="169">
        <f>E17+(12/0.017)*(E18*E50-E33*E51)</f>
        <v>0.002863564141987962</v>
      </c>
      <c r="F72" s="169">
        <f>F17+(12/0.017)*(F18*F50-F33*F51)</f>
        <v>-0.04932767316586876</v>
      </c>
    </row>
    <row r="73" spans="1:6" ht="12.75">
      <c r="A73" s="169" t="s">
        <v>170</v>
      </c>
      <c r="B73" s="169">
        <f>B18+(13/0.017)*(B19*B50-B34*B51)</f>
        <v>-0.01843342594784736</v>
      </c>
      <c r="C73" s="169">
        <f>C18+(13/0.017)*(C19*C50-C34*C51)</f>
        <v>-0.03182810225512962</v>
      </c>
      <c r="D73" s="169">
        <f>D18+(13/0.017)*(D19*D50-D34*D51)</f>
        <v>-0.008529981270015818</v>
      </c>
      <c r="E73" s="169">
        <f>E18+(13/0.017)*(E19*E50-E34*E51)</f>
        <v>-0.023924776517273698</v>
      </c>
      <c r="F73" s="169">
        <f>F18+(13/0.017)*(F19*F50-F34*F51)</f>
        <v>-0.005220669129378424</v>
      </c>
    </row>
    <row r="74" spans="1:6" ht="12.75">
      <c r="A74" s="169" t="s">
        <v>171</v>
      </c>
      <c r="B74" s="169">
        <f>B19+(14/0.017)*(B20*B50-B35*B51)</f>
        <v>-0.18881782042359474</v>
      </c>
      <c r="C74" s="169">
        <f>C19+(14/0.017)*(C20*C50-C35*C51)</f>
        <v>-0.15877768784405097</v>
      </c>
      <c r="D74" s="169">
        <f>D19+(14/0.017)*(D20*D50-D35*D51)</f>
        <v>-0.1606268008018023</v>
      </c>
      <c r="E74" s="169">
        <f>E19+(14/0.017)*(E20*E50-E35*E51)</f>
        <v>-0.15958432549756346</v>
      </c>
      <c r="F74" s="169">
        <f>F19+(14/0.017)*(F20*F50-F35*F51)</f>
        <v>-0.13016167677425147</v>
      </c>
    </row>
    <row r="75" spans="1:6" ht="12.75">
      <c r="A75" s="169" t="s">
        <v>172</v>
      </c>
      <c r="B75" s="170">
        <f>B20</f>
        <v>-0.001599078</v>
      </c>
      <c r="C75" s="170">
        <f>C20</f>
        <v>-0.003591292</v>
      </c>
      <c r="D75" s="170">
        <f>D20</f>
        <v>0.005763808</v>
      </c>
      <c r="E75" s="170">
        <f>E20</f>
        <v>0.0008917047</v>
      </c>
      <c r="F75" s="170">
        <f>F20</f>
        <v>0.001536753</v>
      </c>
    </row>
    <row r="78" ht="12.75">
      <c r="A78" s="169" t="s">
        <v>154</v>
      </c>
    </row>
    <row r="80" spans="2:6" ht="12.75">
      <c r="B80" s="169" t="s">
        <v>84</v>
      </c>
      <c r="C80" s="169" t="s">
        <v>85</v>
      </c>
      <c r="D80" s="169" t="s">
        <v>86</v>
      </c>
      <c r="E80" s="169" t="s">
        <v>87</v>
      </c>
      <c r="F80" s="169" t="s">
        <v>88</v>
      </c>
    </row>
    <row r="81" spans="1:6" ht="12.75">
      <c r="A81" s="169" t="s">
        <v>173</v>
      </c>
      <c r="B81" s="169">
        <f>B21+(1/0.017)*(B7*B51+B22*B50)</f>
        <v>0</v>
      </c>
      <c r="C81" s="169">
        <f>C21+(1/0.017)*(C7*C51+C22*C50)</f>
        <v>0</v>
      </c>
      <c r="D81" s="169">
        <f>D21+(1/0.017)*(D7*D51+D22*D50)</f>
        <v>0</v>
      </c>
      <c r="E81" s="169">
        <f>E21+(1/0.017)*(E7*E51+E22*E50)</f>
        <v>0</v>
      </c>
      <c r="F81" s="169">
        <f>F21+(1/0.017)*(F7*F51+F22*F50)</f>
        <v>0</v>
      </c>
    </row>
    <row r="82" spans="1:6" ht="12.75">
      <c r="A82" s="169" t="s">
        <v>174</v>
      </c>
      <c r="B82" s="169">
        <f>B22+(2/0.017)*(B8*B51+B23*B50)</f>
        <v>147.39896808901256</v>
      </c>
      <c r="C82" s="169">
        <f>C22+(2/0.017)*(C8*C51+C23*C50)</f>
        <v>65.28214970356959</v>
      </c>
      <c r="D82" s="169">
        <f>D22+(2/0.017)*(D8*D51+D23*D50)</f>
        <v>-7.119754171188878</v>
      </c>
      <c r="E82" s="169">
        <f>E22+(2/0.017)*(E8*E51+E23*E50)</f>
        <v>-72.15950115449242</v>
      </c>
      <c r="F82" s="169">
        <f>F22+(2/0.017)*(F8*F51+F23*F50)</f>
        <v>-134.7545030686558</v>
      </c>
    </row>
    <row r="83" spans="1:6" ht="12.75">
      <c r="A83" s="169" t="s">
        <v>175</v>
      </c>
      <c r="B83" s="169">
        <f>B23+(3/0.017)*(B9*B51+B24*B50)</f>
        <v>-3.198477472754816</v>
      </c>
      <c r="C83" s="169">
        <f>C23+(3/0.017)*(C9*C51+C24*C50)</f>
        <v>-0.9381502934323013</v>
      </c>
      <c r="D83" s="169">
        <f>D23+(3/0.017)*(D9*D51+D24*D50)</f>
        <v>-3.0400723063115116</v>
      </c>
      <c r="E83" s="169">
        <f>E23+(3/0.017)*(E9*E51+E24*E50)</f>
        <v>-1.4669827988146418</v>
      </c>
      <c r="F83" s="169">
        <f>F23+(3/0.017)*(F9*F51+F24*F50)</f>
        <v>3.36357199119973</v>
      </c>
    </row>
    <row r="84" spans="1:6" ht="12.75">
      <c r="A84" s="169" t="s">
        <v>176</v>
      </c>
      <c r="B84" s="169">
        <f>B24+(4/0.017)*(B10*B51+B25*B50)</f>
        <v>0.9147886004794541</v>
      </c>
      <c r="C84" s="169">
        <f>C24+(4/0.017)*(C10*C51+C25*C50)</f>
        <v>-1.5447538120667332</v>
      </c>
      <c r="D84" s="169">
        <f>D24+(4/0.017)*(D10*D51+D25*D50)</f>
        <v>0.9253900453090428</v>
      </c>
      <c r="E84" s="169">
        <f>E24+(4/0.017)*(E10*E51+E25*E50)</f>
        <v>-0.5643873043461155</v>
      </c>
      <c r="F84" s="169">
        <f>F24+(4/0.017)*(F10*F51+F25*F50)</f>
        <v>0.9834712800245509</v>
      </c>
    </row>
    <row r="85" spans="1:6" ht="12.75">
      <c r="A85" s="169" t="s">
        <v>177</v>
      </c>
      <c r="B85" s="169">
        <f>B25+(5/0.017)*(B11*B51+B26*B50)</f>
        <v>0.22547788166906368</v>
      </c>
      <c r="C85" s="169">
        <f>C25+(5/0.017)*(C11*C51+C26*C50)</f>
        <v>-0.18010002646721168</v>
      </c>
      <c r="D85" s="169">
        <f>D25+(5/0.017)*(D11*D51+D26*D50)</f>
        <v>-1.5358873945613944</v>
      </c>
      <c r="E85" s="169">
        <f>E25+(5/0.017)*(E11*E51+E26*E50)</f>
        <v>-0.9496710960442529</v>
      </c>
      <c r="F85" s="169">
        <f>F25+(5/0.017)*(F11*F51+F26*F50)</f>
        <v>-1.7776604916718846</v>
      </c>
    </row>
    <row r="86" spans="1:6" ht="12.75">
      <c r="A86" s="169" t="s">
        <v>178</v>
      </c>
      <c r="B86" s="169">
        <f>B26+(6/0.017)*(B12*B51+B27*B50)</f>
        <v>1.0057198141322252</v>
      </c>
      <c r="C86" s="169">
        <f>C26+(6/0.017)*(C12*C51+C27*C50)</f>
        <v>0.33966832234178734</v>
      </c>
      <c r="D86" s="169">
        <f>D26+(6/0.017)*(D12*D51+D27*D50)</f>
        <v>0.3853741559550487</v>
      </c>
      <c r="E86" s="169">
        <f>E26+(6/0.017)*(E12*E51+E27*E50)</f>
        <v>0.29203609285319443</v>
      </c>
      <c r="F86" s="169">
        <f>F26+(6/0.017)*(F12*F51+F27*F50)</f>
        <v>1.0688464599819931</v>
      </c>
    </row>
    <row r="87" spans="1:6" ht="12.75">
      <c r="A87" s="169" t="s">
        <v>179</v>
      </c>
      <c r="B87" s="169">
        <f>B27+(7/0.017)*(B13*B51+B28*B50)</f>
        <v>0.34285583176843054</v>
      </c>
      <c r="C87" s="169">
        <f>C27+(7/0.017)*(C13*C51+C28*C50)</f>
        <v>-0.16207572009825727</v>
      </c>
      <c r="D87" s="169">
        <f>D27+(7/0.017)*(D13*D51+D28*D50)</f>
        <v>0.4767839176623581</v>
      </c>
      <c r="E87" s="169">
        <f>E27+(7/0.017)*(E13*E51+E28*E50)</f>
        <v>0.46117162602492023</v>
      </c>
      <c r="F87" s="169">
        <f>F27+(7/0.017)*(F13*F51+F28*F50)</f>
        <v>0.7659663512156121</v>
      </c>
    </row>
    <row r="88" spans="1:6" ht="12.75">
      <c r="A88" s="169" t="s">
        <v>180</v>
      </c>
      <c r="B88" s="169">
        <f>B28+(8/0.017)*(B14*B51+B29*B50)</f>
        <v>0.1304683821244442</v>
      </c>
      <c r="C88" s="169">
        <f>C28+(8/0.017)*(C14*C51+C29*C50)</f>
        <v>0.11496381271713585</v>
      </c>
      <c r="D88" s="169">
        <f>D28+(8/0.017)*(D14*D51+D29*D50)</f>
        <v>0.26070352092874444</v>
      </c>
      <c r="E88" s="169">
        <f>E28+(8/0.017)*(E14*E51+E29*E50)</f>
        <v>0.21289525382240557</v>
      </c>
      <c r="F88" s="169">
        <f>F28+(8/0.017)*(F14*F51+F29*F50)</f>
        <v>0.30281495370170414</v>
      </c>
    </row>
    <row r="89" spans="1:6" ht="12.75">
      <c r="A89" s="169" t="s">
        <v>181</v>
      </c>
      <c r="B89" s="169">
        <f>B29+(9/0.017)*(B15*B51+B30*B50)</f>
        <v>-0.07576398440457294</v>
      </c>
      <c r="C89" s="169">
        <f>C29+(9/0.017)*(C15*C51+C30*C50)</f>
        <v>-0.006014089697816777</v>
      </c>
      <c r="D89" s="169">
        <f>D29+(9/0.017)*(D15*D51+D30*D50)</f>
        <v>-0.14393921904215173</v>
      </c>
      <c r="E89" s="169">
        <f>E29+(9/0.017)*(E15*E51+E30*E50)</f>
        <v>-0.04172939317711935</v>
      </c>
      <c r="F89" s="169">
        <f>F29+(9/0.017)*(F15*F51+F30*F50)</f>
        <v>0.033763775406909946</v>
      </c>
    </row>
    <row r="90" spans="1:6" ht="12.75">
      <c r="A90" s="169" t="s">
        <v>182</v>
      </c>
      <c r="B90" s="169">
        <f>B30+(10/0.017)*(B16*B51+B31*B50)</f>
        <v>-0.055932821835971105</v>
      </c>
      <c r="C90" s="169">
        <f>C30+(10/0.017)*(C16*C51+C31*C50)</f>
        <v>0.03309862814020785</v>
      </c>
      <c r="D90" s="169">
        <f>D30+(10/0.017)*(D16*D51+D31*D50)</f>
        <v>0.04807532340121251</v>
      </c>
      <c r="E90" s="169">
        <f>E30+(10/0.017)*(E16*E51+E31*E50)</f>
        <v>-0.011228477604978235</v>
      </c>
      <c r="F90" s="169">
        <f>F30+(10/0.017)*(F16*F51+F31*F50)</f>
        <v>0.21696191877969848</v>
      </c>
    </row>
    <row r="91" spans="1:6" ht="12.75">
      <c r="A91" s="169" t="s">
        <v>183</v>
      </c>
      <c r="B91" s="169">
        <f>B31+(11/0.017)*(B17*B51+B32*B50)</f>
        <v>0.07300463747929536</v>
      </c>
      <c r="C91" s="169">
        <f>C31+(11/0.017)*(C17*C51+C32*C50)</f>
        <v>0.043440979353327684</v>
      </c>
      <c r="D91" s="169">
        <f>D31+(11/0.017)*(D17*D51+D32*D50)</f>
        <v>0.0741179376702597</v>
      </c>
      <c r="E91" s="169">
        <f>E31+(11/0.017)*(E17*E51+E32*E50)</f>
        <v>0.05032360136727356</v>
      </c>
      <c r="F91" s="169">
        <f>F31+(11/0.017)*(F17*F51+F32*F50)</f>
        <v>0.10927313683469689</v>
      </c>
    </row>
    <row r="92" spans="1:6" ht="12.75">
      <c r="A92" s="169" t="s">
        <v>184</v>
      </c>
      <c r="B92" s="169">
        <f>B32+(12/0.017)*(B18*B51+B33*B50)</f>
        <v>-0.007847116421948401</v>
      </c>
      <c r="C92" s="169">
        <f>C32+(12/0.017)*(C18*C51+C33*C50)</f>
        <v>0.0452870068481195</v>
      </c>
      <c r="D92" s="169">
        <f>D32+(12/0.017)*(D18*D51+D33*D50)</f>
        <v>0.02725101739134678</v>
      </c>
      <c r="E92" s="169">
        <f>E32+(12/0.017)*(E18*E51+E33*E50)</f>
        <v>0.07813876350366153</v>
      </c>
      <c r="F92" s="169">
        <f>F32+(12/0.017)*(F18*F51+F33*F50)</f>
        <v>0.026044195345220934</v>
      </c>
    </row>
    <row r="93" spans="1:6" ht="12.75">
      <c r="A93" s="169" t="s">
        <v>185</v>
      </c>
      <c r="B93" s="169">
        <f>B33+(13/0.017)*(B19*B51+B34*B50)</f>
        <v>-0.056206826848782115</v>
      </c>
      <c r="C93" s="169">
        <f>C33+(13/0.017)*(C19*C51+C34*C50)</f>
        <v>-0.044030633231129615</v>
      </c>
      <c r="D93" s="169">
        <f>D33+(13/0.017)*(D19*D51+D34*D50)</f>
        <v>-0.03385140604722017</v>
      </c>
      <c r="E93" s="169">
        <f>E33+(13/0.017)*(E19*E51+E34*E50)</f>
        <v>-0.019640020007160627</v>
      </c>
      <c r="F93" s="169">
        <f>F33+(13/0.017)*(F19*F51+F34*F50)</f>
        <v>-0.025919947820613548</v>
      </c>
    </row>
    <row r="94" spans="1:6" ht="12.75">
      <c r="A94" s="169" t="s">
        <v>186</v>
      </c>
      <c r="B94" s="169">
        <f>B34+(14/0.017)*(B20*B51+B35*B50)</f>
        <v>-0.02228947730436803</v>
      </c>
      <c r="C94" s="169">
        <f>C34+(14/0.017)*(C20*C51+C35*C50)</f>
        <v>-0.006465065654348697</v>
      </c>
      <c r="D94" s="169">
        <f>D34+(14/0.017)*(D20*D51+D35*D50)</f>
        <v>0.009313402805256516</v>
      </c>
      <c r="E94" s="169">
        <f>E34+(14/0.017)*(E20*E51+E35*E50)</f>
        <v>0.010205430815560851</v>
      </c>
      <c r="F94" s="169">
        <f>F34+(14/0.017)*(F20*F51+F35*F50)</f>
        <v>-0.011562411670506123</v>
      </c>
    </row>
    <row r="95" spans="1:6" ht="12.75">
      <c r="A95" s="169" t="s">
        <v>187</v>
      </c>
      <c r="B95" s="170">
        <f>B35</f>
        <v>-0.003070153</v>
      </c>
      <c r="C95" s="170">
        <f>C35</f>
        <v>0.004570179</v>
      </c>
      <c r="D95" s="170">
        <f>D35</f>
        <v>-0.008835875</v>
      </c>
      <c r="E95" s="170">
        <f>E35</f>
        <v>-0.004833623</v>
      </c>
      <c r="F95" s="170">
        <f>F35</f>
        <v>0.002200198</v>
      </c>
    </row>
    <row r="98" ht="12.75">
      <c r="A98" s="169" t="s">
        <v>155</v>
      </c>
    </row>
    <row r="100" spans="2:11" ht="12.75">
      <c r="B100" s="169" t="s">
        <v>84</v>
      </c>
      <c r="C100" s="169" t="s">
        <v>85</v>
      </c>
      <c r="D100" s="169" t="s">
        <v>86</v>
      </c>
      <c r="E100" s="169" t="s">
        <v>87</v>
      </c>
      <c r="F100" s="169" t="s">
        <v>88</v>
      </c>
      <c r="G100" s="169" t="s">
        <v>157</v>
      </c>
      <c r="H100" s="169" t="s">
        <v>158</v>
      </c>
      <c r="I100" s="169" t="s">
        <v>153</v>
      </c>
      <c r="K100" s="169" t="s">
        <v>188</v>
      </c>
    </row>
    <row r="101" spans="1:9" ht="12.75">
      <c r="A101" s="169" t="s">
        <v>156</v>
      </c>
      <c r="B101" s="169">
        <f>B61*10000/B62</f>
        <v>4.024323053439248E-16</v>
      </c>
      <c r="C101" s="169">
        <f>C61*10000/C62</f>
        <v>0</v>
      </c>
      <c r="D101" s="169">
        <f>D61*10000/D62</f>
        <v>0</v>
      </c>
      <c r="E101" s="169">
        <f>E61*10000/E62</f>
        <v>0</v>
      </c>
      <c r="F101" s="169">
        <f>F61*10000/F62</f>
        <v>0</v>
      </c>
      <c r="G101" s="169">
        <f>AVERAGE(C101:E101)</f>
        <v>0</v>
      </c>
      <c r="H101" s="169">
        <f>STDEV(C101:E101)</f>
        <v>0</v>
      </c>
      <c r="I101" s="169">
        <f>(B101*B4+C101*C4+D101*D4+E101*E4+F101*F4)/SUM(B4:F4)</f>
        <v>5.815287234529983E-17</v>
      </c>
    </row>
    <row r="102" spans="1:9" ht="12.75">
      <c r="A102" s="169" t="s">
        <v>159</v>
      </c>
      <c r="B102" s="169">
        <f>B62*10000/B62</f>
        <v>10000</v>
      </c>
      <c r="C102" s="169">
        <f>C62*10000/C62</f>
        <v>10000</v>
      </c>
      <c r="D102" s="169">
        <f>D62*10000/D62</f>
        <v>10000</v>
      </c>
      <c r="E102" s="169">
        <f>E62*10000/E62</f>
        <v>10000</v>
      </c>
      <c r="F102" s="169">
        <f>F62*10000/F62</f>
        <v>10000</v>
      </c>
      <c r="G102" s="169">
        <f>AVERAGE(C102:E102)</f>
        <v>10000</v>
      </c>
      <c r="H102" s="169">
        <f>STDEV(C102:E102)</f>
        <v>0</v>
      </c>
      <c r="I102" s="169">
        <f>(B102*B4+C102*C4+D102*D4+E102*E4+F102*F4)/SUM(B4:F4)</f>
        <v>10000</v>
      </c>
    </row>
    <row r="103" spans="1:11" ht="12.75">
      <c r="A103" s="169" t="s">
        <v>160</v>
      </c>
      <c r="B103" s="169">
        <f>B63*10000/B62</f>
        <v>1.8094260876328354</v>
      </c>
      <c r="C103" s="169">
        <f>C63*10000/C62</f>
        <v>-2.4777000615608404</v>
      </c>
      <c r="D103" s="169">
        <f>D63*10000/D62</f>
        <v>0.31000403581159175</v>
      </c>
      <c r="E103" s="169">
        <f>E63*10000/E62</f>
        <v>-0.23971704555698162</v>
      </c>
      <c r="F103" s="169">
        <f>F63*10000/F62</f>
        <v>0.4325427960172054</v>
      </c>
      <c r="G103" s="169">
        <f>AVERAGE(C103:E103)</f>
        <v>-0.8024710237687435</v>
      </c>
      <c r="H103" s="169">
        <f>STDEV(C103:E103)</f>
        <v>1.4765983081466791</v>
      </c>
      <c r="I103" s="169">
        <f>(B103*B4+C103*C4+D103*D4+E103*E4+F103*F4)/SUM(B4:F4)</f>
        <v>-0.25993416642149775</v>
      </c>
      <c r="K103" s="169">
        <f>(LN(H103)+LN(H123))/2-LN(K114*K115^3)</f>
        <v>-3.639089758184621</v>
      </c>
    </row>
    <row r="104" spans="1:11" ht="12.75">
      <c r="A104" s="169" t="s">
        <v>161</v>
      </c>
      <c r="B104" s="169">
        <f>B64*10000/B62</f>
        <v>0.5200094649862174</v>
      </c>
      <c r="C104" s="169">
        <f>C64*10000/C62</f>
        <v>0.7250017240710189</v>
      </c>
      <c r="D104" s="169">
        <f>D64*10000/D62</f>
        <v>0.4622638684188448</v>
      </c>
      <c r="E104" s="169">
        <f>E64*10000/E62</f>
        <v>0.38281176367987096</v>
      </c>
      <c r="F104" s="169">
        <f>F64*10000/F62</f>
        <v>0.5161520429612908</v>
      </c>
      <c r="G104" s="169">
        <f>AVERAGE(C104:E104)</f>
        <v>0.5233591187232449</v>
      </c>
      <c r="H104" s="169">
        <f>STDEV(C104:E104)</f>
        <v>0.17908926393126356</v>
      </c>
      <c r="I104" s="169">
        <f>(B104*B4+C104*C4+D104*D4+E104*E4+F104*F4)/SUM(B4:F4)</f>
        <v>0.5219150663190647</v>
      </c>
      <c r="K104" s="169">
        <f>(LN(H104)+LN(H124))/2-LN(K114*K115^4)</f>
        <v>-4.038098780711259</v>
      </c>
    </row>
    <row r="105" spans="1:11" ht="12.75">
      <c r="A105" s="169" t="s">
        <v>162</v>
      </c>
      <c r="B105" s="169">
        <f>B65*10000/B62</f>
        <v>0.023493362554364024</v>
      </c>
      <c r="C105" s="169">
        <f>C65*10000/C62</f>
        <v>1.124365465490537</v>
      </c>
      <c r="D105" s="169">
        <f>D65*10000/D62</f>
        <v>-0.6305994006212738</v>
      </c>
      <c r="E105" s="169">
        <f>E65*10000/E62</f>
        <v>0.028479496672190494</v>
      </c>
      <c r="F105" s="169">
        <f>F65*10000/F62</f>
        <v>-0.6878379758934414</v>
      </c>
      <c r="G105" s="169">
        <f>AVERAGE(C105:E105)</f>
        <v>0.17408185384715125</v>
      </c>
      <c r="H105" s="169">
        <f>STDEV(C105:E105)</f>
        <v>0.8864961675793586</v>
      </c>
      <c r="I105" s="169">
        <f>(B105*B4+C105*C4+D105*D4+E105*E4+F105*F4)/SUM(B4:F4)</f>
        <v>0.037093309899302436</v>
      </c>
      <c r="K105" s="169">
        <f>(LN(H105)+LN(H125))/2-LN(K114*K115^5)</f>
        <v>-2.9490484269574226</v>
      </c>
    </row>
    <row r="106" spans="1:11" ht="12.75">
      <c r="A106" s="169" t="s">
        <v>163</v>
      </c>
      <c r="B106" s="169">
        <f>B66*10000/B62</f>
        <v>4.466438774479374</v>
      </c>
      <c r="C106" s="169">
        <f>C66*10000/C62</f>
        <v>4.175907942376178</v>
      </c>
      <c r="D106" s="169">
        <f>D66*10000/D62</f>
        <v>4.432351804327775</v>
      </c>
      <c r="E106" s="169">
        <f>E66*10000/E62</f>
        <v>4.120244096243645</v>
      </c>
      <c r="F106" s="169">
        <f>F66*10000/F62</f>
        <v>14.73171401143225</v>
      </c>
      <c r="G106" s="169">
        <f>AVERAGE(C106:E106)</f>
        <v>4.242834614315865</v>
      </c>
      <c r="H106" s="169">
        <f>STDEV(C106:E106)</f>
        <v>0.1664697868205445</v>
      </c>
      <c r="I106" s="169">
        <f>(B106*B4+C106*C4+D106*D4+E106*E4+F106*F4)/SUM(B4:F4)</f>
        <v>5.677993980016304</v>
      </c>
      <c r="K106" s="169">
        <f>(LN(H106)+LN(H126))/2-LN(K114*K115^6)</f>
        <v>-4.533439246758478</v>
      </c>
    </row>
    <row r="107" spans="1:11" ht="12.75">
      <c r="A107" s="169" t="s">
        <v>164</v>
      </c>
      <c r="B107" s="169">
        <f>B67*10000/B62</f>
        <v>0.470749860322434</v>
      </c>
      <c r="C107" s="169">
        <f>C67*10000/C62</f>
        <v>0.19066739043224243</v>
      </c>
      <c r="D107" s="169">
        <f>D67*10000/D62</f>
        <v>-0.2781895630987263</v>
      </c>
      <c r="E107" s="169">
        <f>E67*10000/E62</f>
        <v>0.13519580489987384</v>
      </c>
      <c r="F107" s="169">
        <f>F67*10000/F62</f>
        <v>-0.3740585437708488</v>
      </c>
      <c r="G107" s="169">
        <f>AVERAGE(C107:E107)</f>
        <v>0.01589121074446333</v>
      </c>
      <c r="H107" s="169">
        <f>STDEV(C107:E107)</f>
        <v>0.25618723691574813</v>
      </c>
      <c r="I107" s="169">
        <f>(B107*B4+C107*C4+D107*D4+E107*E4+F107*F4)/SUM(B4:F4)</f>
        <v>0.029483951360945553</v>
      </c>
      <c r="K107" s="169">
        <f>(LN(H107)+LN(H127))/2-LN(K114*K115^7)</f>
        <v>-2.698954410236681</v>
      </c>
    </row>
    <row r="108" spans="1:9" ht="12.75">
      <c r="A108" s="169" t="s">
        <v>165</v>
      </c>
      <c r="B108" s="169">
        <f>B68*10000/B62</f>
        <v>-0.019768780428280577</v>
      </c>
      <c r="C108" s="169">
        <f>C68*10000/C62</f>
        <v>0.11145093564675429</v>
      </c>
      <c r="D108" s="169">
        <f>D68*10000/D62</f>
        <v>0.04860639222666825</v>
      </c>
      <c r="E108" s="169">
        <f>E68*10000/E62</f>
        <v>0.11449741522553852</v>
      </c>
      <c r="F108" s="169">
        <f>F68*10000/F62</f>
        <v>-0.04506562791732133</v>
      </c>
      <c r="G108" s="169">
        <f>AVERAGE(C108:E108)</f>
        <v>0.09151824769965368</v>
      </c>
      <c r="H108" s="169">
        <f>STDEV(C108:E108)</f>
        <v>0.037193961399087115</v>
      </c>
      <c r="I108" s="169">
        <f>(B108*B4+C108*C4+D108*D4+E108*E4+F108*F4)/SUM(B4:F4)</f>
        <v>0.05717189858683369</v>
      </c>
    </row>
    <row r="109" spans="1:9" ht="12.75">
      <c r="A109" s="169" t="s">
        <v>166</v>
      </c>
      <c r="B109" s="169">
        <f>B69*10000/B62</f>
        <v>0.030156329667184675</v>
      </c>
      <c r="C109" s="169">
        <f>C69*10000/C62</f>
        <v>-0.08390475030937833</v>
      </c>
      <c r="D109" s="169">
        <f>D69*10000/D62</f>
        <v>-0.17746850726924746</v>
      </c>
      <c r="E109" s="169">
        <f>E69*10000/E62</f>
        <v>-0.018149601465266264</v>
      </c>
      <c r="F109" s="169">
        <f>F69*10000/F62</f>
        <v>0.11403751085402491</v>
      </c>
      <c r="G109" s="169">
        <f>AVERAGE(C109:E109)</f>
        <v>-0.09317428634796403</v>
      </c>
      <c r="H109" s="169">
        <f>STDEV(C109:E109)</f>
        <v>0.08006292313188693</v>
      </c>
      <c r="I109" s="169">
        <f>(B109*B4+C109*C4+D109*D4+E109*E4+F109*F4)/SUM(B4:F4)</f>
        <v>-0.04763315446230764</v>
      </c>
    </row>
    <row r="110" spans="1:11" ht="12.75">
      <c r="A110" s="169" t="s">
        <v>167</v>
      </c>
      <c r="B110" s="169">
        <f>B70*10000/B62</f>
        <v>-0.35511796348780544</v>
      </c>
      <c r="C110" s="169">
        <f>C70*10000/C62</f>
        <v>-0.13919713167424633</v>
      </c>
      <c r="D110" s="169">
        <f>D70*10000/D62</f>
        <v>-0.10746717150934113</v>
      </c>
      <c r="E110" s="169">
        <f>E70*10000/E62</f>
        <v>-0.15054113083145718</v>
      </c>
      <c r="F110" s="169">
        <f>F70*10000/F62</f>
        <v>-0.37727428890033143</v>
      </c>
      <c r="G110" s="169">
        <f>AVERAGE(C110:E110)</f>
        <v>-0.1324018113383482</v>
      </c>
      <c r="H110" s="169">
        <f>STDEV(C110:E110)</f>
        <v>0.022326526303288532</v>
      </c>
      <c r="I110" s="169">
        <f>(B110*B4+C110*C4+D110*D4+E110*E4+F110*F4)/SUM(B4:F4)</f>
        <v>-0.1973377160485177</v>
      </c>
      <c r="K110" s="169">
        <f>EXP(AVERAGE(K103:K107))</f>
        <v>0.028107295090625945</v>
      </c>
    </row>
    <row r="111" spans="1:9" ht="12.75">
      <c r="A111" s="169" t="s">
        <v>168</v>
      </c>
      <c r="B111" s="169">
        <f>B71*10000/B62</f>
        <v>0.0024617174584095373</v>
      </c>
      <c r="C111" s="169">
        <f>C71*10000/C62</f>
        <v>0.06180061100851602</v>
      </c>
      <c r="D111" s="169">
        <f>D71*10000/D62</f>
        <v>0.007199410239435775</v>
      </c>
      <c r="E111" s="169">
        <f>E71*10000/E62</f>
        <v>0.07811828719181904</v>
      </c>
      <c r="F111" s="169">
        <f>F71*10000/F62</f>
        <v>-0.058875370169740635</v>
      </c>
      <c r="G111" s="169">
        <f>AVERAGE(C111:E111)</f>
        <v>0.04903943614659028</v>
      </c>
      <c r="H111" s="169">
        <f>STDEV(C111:E111)</f>
        <v>0.03714172135132274</v>
      </c>
      <c r="I111" s="169">
        <f>(B111*B4+C111*C4+D111*D4+E111*E4+F111*F4)/SUM(B4:F4)</f>
        <v>0.027878151720690282</v>
      </c>
    </row>
    <row r="112" spans="1:9" ht="12.75">
      <c r="A112" s="169" t="s">
        <v>169</v>
      </c>
      <c r="B112" s="169">
        <f>B72*10000/B62</f>
        <v>-0.06584832212986198</v>
      </c>
      <c r="C112" s="169">
        <f>C72*10000/C62</f>
        <v>-0.013592043983085512</v>
      </c>
      <c r="D112" s="169">
        <f>D72*10000/D62</f>
        <v>-0.022110499404496657</v>
      </c>
      <c r="E112" s="169">
        <f>E72*10000/E62</f>
        <v>0.002863516071551872</v>
      </c>
      <c r="F112" s="169">
        <f>F72*10000/F62</f>
        <v>-0.049330618658584645</v>
      </c>
      <c r="G112" s="169">
        <f>AVERAGE(C112:E112)</f>
        <v>-0.010946342438676766</v>
      </c>
      <c r="H112" s="169">
        <f>STDEV(C112:E112)</f>
        <v>0.012695478121994576</v>
      </c>
      <c r="I112" s="169">
        <f>(B112*B4+C112*C4+D112*D4+E112*E4+F112*F4)/SUM(B4:F4)</f>
        <v>-0.024012950866196245</v>
      </c>
    </row>
    <row r="113" spans="1:9" ht="12.75">
      <c r="A113" s="169" t="s">
        <v>170</v>
      </c>
      <c r="B113" s="169">
        <f>B73*10000/B62</f>
        <v>-0.018432347710797423</v>
      </c>
      <c r="C113" s="169">
        <f>C73*10000/C62</f>
        <v>-0.031827944670251136</v>
      </c>
      <c r="D113" s="169">
        <f>D73*10000/D62</f>
        <v>-0.008529643530204642</v>
      </c>
      <c r="E113" s="169">
        <f>E73*10000/E62</f>
        <v>-0.023924374893847956</v>
      </c>
      <c r="F113" s="169">
        <f>F73*10000/F62</f>
        <v>-0.005220980870068906</v>
      </c>
      <c r="G113" s="169">
        <f>AVERAGE(C113:E113)</f>
        <v>-0.021427321031434576</v>
      </c>
      <c r="H113" s="169">
        <f>STDEV(C113:E113)</f>
        <v>0.01184817148326771</v>
      </c>
      <c r="I113" s="169">
        <f>(B113*B4+C113*C4+D113*D4+E113*E4+F113*F4)/SUM(B4:F4)</f>
        <v>-0.018827807509168765</v>
      </c>
    </row>
    <row r="114" spans="1:11" ht="12.75">
      <c r="A114" s="169" t="s">
        <v>171</v>
      </c>
      <c r="B114" s="169">
        <f>B74*10000/B62</f>
        <v>-0.18880677579357072</v>
      </c>
      <c r="C114" s="169">
        <f>C74*10000/C62</f>
        <v>-0.15877690171604233</v>
      </c>
      <c r="D114" s="169">
        <f>D74*10000/D62</f>
        <v>-0.16062044087396013</v>
      </c>
      <c r="E114" s="169">
        <f>E74*10000/E62</f>
        <v>-0.15958164656748214</v>
      </c>
      <c r="F114" s="169">
        <f>F74*10000/F62</f>
        <v>-0.1301694490904022</v>
      </c>
      <c r="G114" s="169">
        <f>AVERAGE(C114:E114)</f>
        <v>-0.15965966305249488</v>
      </c>
      <c r="H114" s="169">
        <f>STDEV(C114:E114)</f>
        <v>0.0009242424387791623</v>
      </c>
      <c r="I114" s="169">
        <f>(B114*B4+C114*C4+D114*D4+E114*E4+F114*F4)/SUM(B4:F4)</f>
        <v>-0.1599272228010047</v>
      </c>
      <c r="J114" s="169" t="s">
        <v>189</v>
      </c>
      <c r="K114" s="169">
        <v>285</v>
      </c>
    </row>
    <row r="115" spans="1:11" ht="12.75">
      <c r="A115" s="169" t="s">
        <v>172</v>
      </c>
      <c r="B115" s="169">
        <f>B75*10000/B62</f>
        <v>-0.0015989844642052859</v>
      </c>
      <c r="C115" s="169">
        <f>C75*10000/C62</f>
        <v>-0.003591274219068266</v>
      </c>
      <c r="D115" s="169">
        <f>D75*10000/D62</f>
        <v>0.005763579785263771</v>
      </c>
      <c r="E115" s="169">
        <f>E75*10000/E62</f>
        <v>0.0008916897310202018</v>
      </c>
      <c r="F115" s="169">
        <f>F75*10000/F62</f>
        <v>0.001536844763800664</v>
      </c>
      <c r="G115" s="169">
        <f>AVERAGE(C115:E115)</f>
        <v>0.001021331765738569</v>
      </c>
      <c r="H115" s="169">
        <f>STDEV(C115:E115)</f>
        <v>0.004678774268274355</v>
      </c>
      <c r="I115" s="169">
        <f>(B115*B4+C115*C4+D115*D4+E115*E4+F115*F4)/SUM(B4:F4)</f>
        <v>0.0007113318088878685</v>
      </c>
      <c r="J115" s="169" t="s">
        <v>190</v>
      </c>
      <c r="K115" s="169">
        <v>0.5536</v>
      </c>
    </row>
    <row r="118" ht="12.75">
      <c r="A118" s="169" t="s">
        <v>155</v>
      </c>
    </row>
    <row r="120" spans="2:9" ht="12.75">
      <c r="B120" s="169" t="s">
        <v>84</v>
      </c>
      <c r="C120" s="169" t="s">
        <v>85</v>
      </c>
      <c r="D120" s="169" t="s">
        <v>86</v>
      </c>
      <c r="E120" s="169" t="s">
        <v>87</v>
      </c>
      <c r="F120" s="169" t="s">
        <v>88</v>
      </c>
      <c r="G120" s="169" t="s">
        <v>157</v>
      </c>
      <c r="H120" s="169" t="s">
        <v>158</v>
      </c>
      <c r="I120" s="169" t="s">
        <v>153</v>
      </c>
    </row>
    <row r="121" spans="1:9" ht="12.75">
      <c r="A121" s="169" t="s">
        <v>173</v>
      </c>
      <c r="B121" s="169">
        <f>B81*10000/B62</f>
        <v>0</v>
      </c>
      <c r="C121" s="169">
        <f>C81*10000/C62</f>
        <v>0</v>
      </c>
      <c r="D121" s="169">
        <f>D81*10000/D62</f>
        <v>0</v>
      </c>
      <c r="E121" s="169">
        <f>E81*10000/E62</f>
        <v>0</v>
      </c>
      <c r="F121" s="169">
        <f>F81*10000/F62</f>
        <v>0</v>
      </c>
      <c r="G121" s="169">
        <f>AVERAGE(C121:E121)</f>
        <v>0</v>
      </c>
      <c r="H121" s="169">
        <f>STDEV(C121:E121)</f>
        <v>0</v>
      </c>
      <c r="I121" s="169">
        <f>(B121*B4+C121*C4+D121*D4+E121*E4+F121*F4)/SUM(B4:F4)</f>
        <v>0</v>
      </c>
    </row>
    <row r="122" spans="1:9" ht="12.75">
      <c r="A122" s="169" t="s">
        <v>174</v>
      </c>
      <c r="B122" s="169">
        <f>B82*10000/B62</f>
        <v>147.39034619588398</v>
      </c>
      <c r="C122" s="169">
        <f>C82*10000/C62</f>
        <v>65.28182648355647</v>
      </c>
      <c r="D122" s="169">
        <f>D82*10000/D62</f>
        <v>-7.119472268526577</v>
      </c>
      <c r="E122" s="169">
        <f>E82*10000/E62</f>
        <v>-72.15828981836844</v>
      </c>
      <c r="F122" s="169">
        <f>F82*10000/F62</f>
        <v>-134.76254963525315</v>
      </c>
      <c r="G122" s="169">
        <f>AVERAGE(C122:E122)</f>
        <v>-4.665311867779518</v>
      </c>
      <c r="H122" s="169">
        <f>STDEV(C122:E122)</f>
        <v>68.75291680886062</v>
      </c>
      <c r="I122" s="169">
        <f>(B122*B4+C122*C4+D122*D4+E122*E4+F122*F4)/SUM(B4:F4)</f>
        <v>-0.0927435398560408</v>
      </c>
    </row>
    <row r="123" spans="1:9" ht="12.75">
      <c r="A123" s="169" t="s">
        <v>175</v>
      </c>
      <c r="B123" s="169">
        <f>B83*10000/B62</f>
        <v>-3.198290382361296</v>
      </c>
      <c r="C123" s="169">
        <f>C83*10000/C62</f>
        <v>-0.9381456485339404</v>
      </c>
      <c r="D123" s="169">
        <f>D83*10000/D62</f>
        <v>-3.039951936358262</v>
      </c>
      <c r="E123" s="169">
        <f>E83*10000/E62</f>
        <v>-1.466958172684624</v>
      </c>
      <c r="F123" s="169">
        <f>F83*10000/F62</f>
        <v>3.363772839449071</v>
      </c>
      <c r="G123" s="169">
        <f>AVERAGE(C123:E123)</f>
        <v>-1.815018585858942</v>
      </c>
      <c r="H123" s="169">
        <f>STDEV(C123:E123)</f>
        <v>1.0932780782119302</v>
      </c>
      <c r="I123" s="169">
        <f>(B123*B4+C123*C4+D123*D4+E123*E4+F123*F4)/SUM(B4:F4)</f>
        <v>-1.3221780854355392</v>
      </c>
    </row>
    <row r="124" spans="1:9" ht="12.75">
      <c r="A124" s="169" t="s">
        <v>176</v>
      </c>
      <c r="B124" s="169">
        <f>B84*10000/B62</f>
        <v>0.9147350912205304</v>
      </c>
      <c r="C124" s="169">
        <f>C84*10000/C62</f>
        <v>-1.5447461637991797</v>
      </c>
      <c r="D124" s="169">
        <f>D84*10000/D62</f>
        <v>0.9253534050106327</v>
      </c>
      <c r="E124" s="169">
        <f>E84*10000/E62</f>
        <v>-0.5643778300188442</v>
      </c>
      <c r="F124" s="169">
        <f>F84*10000/F62</f>
        <v>0.9835300058331219</v>
      </c>
      <c r="G124" s="169">
        <f>AVERAGE(C124:E124)</f>
        <v>-0.39459019626913044</v>
      </c>
      <c r="H124" s="169">
        <f>STDEV(C124:E124)</f>
        <v>1.243772025087134</v>
      </c>
      <c r="I124" s="169">
        <f>(B124*B4+C124*C4+D124*D4+E124*E4+F124*F4)/SUM(B4:F4)</f>
        <v>-0.021152694991552527</v>
      </c>
    </row>
    <row r="125" spans="1:9" ht="12.75">
      <c r="A125" s="169" t="s">
        <v>177</v>
      </c>
      <c r="B125" s="169">
        <f>B85*10000/B62</f>
        <v>0.22546469266086494</v>
      </c>
      <c r="C125" s="169">
        <f>C85*10000/C62</f>
        <v>-0.1800991347696622</v>
      </c>
      <c r="D125" s="169">
        <f>D85*10000/D62</f>
        <v>-1.5358265819637809</v>
      </c>
      <c r="E125" s="169">
        <f>E85*10000/E62</f>
        <v>-0.9496551539869198</v>
      </c>
      <c r="F125" s="169">
        <f>F85*10000/F62</f>
        <v>-1.7777666407296746</v>
      </c>
      <c r="G125" s="169">
        <f>AVERAGE(C125:E125)</f>
        <v>-0.8885269569067876</v>
      </c>
      <c r="H125" s="169">
        <f>STDEV(C125:E125)</f>
        <v>0.6799277315476779</v>
      </c>
      <c r="I125" s="169">
        <f>(B125*B4+C125*C4+D125*D4+E125*E4+F125*F4)/SUM(B4:F4)</f>
        <v>-0.846443292575317</v>
      </c>
    </row>
    <row r="126" spans="1:9" ht="12.75">
      <c r="A126" s="169" t="s">
        <v>178</v>
      </c>
      <c r="B126" s="169">
        <f>B86*10000/B62</f>
        <v>1.0056609859812067</v>
      </c>
      <c r="C126" s="169">
        <f>C86*10000/C62</f>
        <v>0.3396666406018308</v>
      </c>
      <c r="D126" s="169">
        <f>D86*10000/D62</f>
        <v>0.38535889728207584</v>
      </c>
      <c r="E126" s="169">
        <f>E86*10000/E62</f>
        <v>0.2920311904652466</v>
      </c>
      <c r="F126" s="169">
        <f>F86*10000/F62</f>
        <v>1.0689102837802835</v>
      </c>
      <c r="G126" s="169">
        <f>AVERAGE(C126:E126)</f>
        <v>0.33901890944971774</v>
      </c>
      <c r="H126" s="169">
        <f>STDEV(C126:E126)</f>
        <v>0.046667224919166785</v>
      </c>
      <c r="I126" s="169">
        <f>(B126*B4+C126*C4+D126*D4+E126*E4+F126*F4)/SUM(B4:F4)</f>
        <v>0.5329690924140746</v>
      </c>
    </row>
    <row r="127" spans="1:9" ht="12.75">
      <c r="A127" s="169" t="s">
        <v>179</v>
      </c>
      <c r="B127" s="169">
        <f>B87*10000/B62</f>
        <v>0.34283577690387934</v>
      </c>
      <c r="C127" s="169">
        <f>C87*10000/C62</f>
        <v>-0.1620749176412822</v>
      </c>
      <c r="D127" s="169">
        <f>D87*10000/D62</f>
        <v>0.4767650396712787</v>
      </c>
      <c r="E127" s="169">
        <f>E87*10000/E62</f>
        <v>0.46116388437148553</v>
      </c>
      <c r="F127" s="169">
        <f>F87*10000/F62</f>
        <v>0.7660120891992491</v>
      </c>
      <c r="G127" s="169">
        <f>AVERAGE(C127:E127)</f>
        <v>0.25861800213382735</v>
      </c>
      <c r="H127" s="169">
        <f>STDEV(C127:E127)</f>
        <v>0.3644142540754301</v>
      </c>
      <c r="I127" s="169">
        <f>(B127*B4+C127*C4+D127*D4+E127*E4+F127*F4)/SUM(B4:F4)</f>
        <v>0.3386364167889356</v>
      </c>
    </row>
    <row r="128" spans="1:9" ht="12.75">
      <c r="A128" s="169" t="s">
        <v>180</v>
      </c>
      <c r="B128" s="169">
        <f>B88*10000/B62</f>
        <v>0.13046075056187684</v>
      </c>
      <c r="C128" s="169">
        <f>C88*10000/C62</f>
        <v>0.11496324351705248</v>
      </c>
      <c r="D128" s="169">
        <f>D88*10000/D62</f>
        <v>0.2606931985194514</v>
      </c>
      <c r="E128" s="169">
        <f>E88*10000/E62</f>
        <v>0.21289167996577613</v>
      </c>
      <c r="F128" s="169">
        <f>F88*10000/F62</f>
        <v>0.30283303562576713</v>
      </c>
      <c r="G128" s="169">
        <f>AVERAGE(C128:E128)</f>
        <v>0.1961827073340933</v>
      </c>
      <c r="H128" s="169">
        <f>STDEV(C128:E128)</f>
        <v>0.07428793489561449</v>
      </c>
      <c r="I128" s="169">
        <f>(B128*B4+C128*C4+D128*D4+E128*E4+F128*F4)/SUM(B4:F4)</f>
        <v>0.20094572474079211</v>
      </c>
    </row>
    <row r="129" spans="1:9" ht="12.75">
      <c r="A129" s="169" t="s">
        <v>181</v>
      </c>
      <c r="B129" s="169">
        <f>B89*10000/B62</f>
        <v>-0.07575955269799452</v>
      </c>
      <c r="C129" s="169">
        <f>C89*10000/C62</f>
        <v>-0.006014059921313401</v>
      </c>
      <c r="D129" s="169">
        <f>D89*10000/D62</f>
        <v>-0.14393351984972433</v>
      </c>
      <c r="E129" s="169">
        <f>E89*10000/E62</f>
        <v>-0.04172869266893154</v>
      </c>
      <c r="F129" s="169">
        <f>F89*10000/F62</f>
        <v>0.03376579153595352</v>
      </c>
      <c r="G129" s="169">
        <f>AVERAGE(C129:E129)</f>
        <v>-0.06389209081332309</v>
      </c>
      <c r="H129" s="169">
        <f>STDEV(C129:E129)</f>
        <v>0.07158111845812588</v>
      </c>
      <c r="I129" s="169">
        <f>(B129*B4+C129*C4+D129*D4+E129*E4+F129*F4)/SUM(B4:F4)</f>
        <v>-0.052540371997587654</v>
      </c>
    </row>
    <row r="130" spans="1:9" ht="12.75">
      <c r="A130" s="169" t="s">
        <v>182</v>
      </c>
      <c r="B130" s="169">
        <f>B90*10000/B62</f>
        <v>-0.05592955012505955</v>
      </c>
      <c r="C130" s="169">
        <f>C90*10000/C62</f>
        <v>0.03309846426479826</v>
      </c>
      <c r="D130" s="169">
        <f>D90*10000/D62</f>
        <v>0.04807341988581972</v>
      </c>
      <c r="E130" s="169">
        <f>E90*10000/E62</f>
        <v>-0.011228289113368362</v>
      </c>
      <c r="F130" s="169">
        <f>F90*10000/F62</f>
        <v>0.21697487417999153</v>
      </c>
      <c r="G130" s="169">
        <f>AVERAGE(C130:E130)</f>
        <v>0.02331453167908321</v>
      </c>
      <c r="H130" s="169">
        <f>STDEV(C130:E130)</f>
        <v>0.030837755676888335</v>
      </c>
      <c r="I130" s="169">
        <f>(B130*B4+C130*C4+D130*D4+E130*E4+F130*F4)/SUM(B4:F4)</f>
        <v>0.03776345952108594</v>
      </c>
    </row>
    <row r="131" spans="1:9" ht="12.75">
      <c r="A131" s="169" t="s">
        <v>183</v>
      </c>
      <c r="B131" s="169">
        <f>B91*10000/B62</f>
        <v>0.07300036717679327</v>
      </c>
      <c r="C131" s="169">
        <f>C91*10000/C62</f>
        <v>0.04344076427165559</v>
      </c>
      <c r="D131" s="169">
        <f>D91*10000/D62</f>
        <v>0.07411500301220114</v>
      </c>
      <c r="E131" s="169">
        <f>E91*10000/E62</f>
        <v>0.05032275658875861</v>
      </c>
      <c r="F131" s="169">
        <f>F91*10000/F62</f>
        <v>0.10927966183796443</v>
      </c>
      <c r="G131" s="169">
        <f>AVERAGE(C131:E131)</f>
        <v>0.055959507957538436</v>
      </c>
      <c r="H131" s="169">
        <f>STDEV(C131:E131)</f>
        <v>0.016095246350182977</v>
      </c>
      <c r="I131" s="169">
        <f>(B131*B4+C131*C4+D131*D4+E131*E4+F131*F4)/SUM(B4:F4)</f>
        <v>0.06555223894025267</v>
      </c>
    </row>
    <row r="132" spans="1:9" ht="12.75">
      <c r="A132" s="169" t="s">
        <v>184</v>
      </c>
      <c r="B132" s="169">
        <f>B92*10000/B62</f>
        <v>-0.007846657416027025</v>
      </c>
      <c r="C132" s="169">
        <f>C92*10000/C62</f>
        <v>0.045286782626536515</v>
      </c>
      <c r="D132" s="169">
        <f>D92*10000/D62</f>
        <v>0.02724993840263898</v>
      </c>
      <c r="E132" s="169">
        <f>E92*10000/E62</f>
        <v>0.07813745179410976</v>
      </c>
      <c r="F132" s="169">
        <f>F92*10000/F62</f>
        <v>0.026045750516644133</v>
      </c>
      <c r="G132" s="169">
        <f>AVERAGE(C132:E132)</f>
        <v>0.05022472427442842</v>
      </c>
      <c r="H132" s="169">
        <f>STDEV(C132:E132)</f>
        <v>0.02580062413160326</v>
      </c>
      <c r="I132" s="169">
        <f>(B132*B4+C132*C4+D132*D4+E132*E4+F132*F4)/SUM(B4:F4)</f>
        <v>0.03860080405741724</v>
      </c>
    </row>
    <row r="133" spans="1:9" ht="12.75">
      <c r="A133" s="169" t="s">
        <v>185</v>
      </c>
      <c r="B133" s="169">
        <f>B93*10000/B62</f>
        <v>-0.05620353911033679</v>
      </c>
      <c r="C133" s="169">
        <f>C93*10000/C62</f>
        <v>-0.0440304152300081</v>
      </c>
      <c r="D133" s="169">
        <f>D93*10000/D62</f>
        <v>-0.033850065719835565</v>
      </c>
      <c r="E133" s="169">
        <f>E93*10000/E62</f>
        <v>-0.019639690311620474</v>
      </c>
      <c r="F133" s="169">
        <f>F93*10000/F62</f>
        <v>-0.02592149557287109</v>
      </c>
      <c r="G133" s="169">
        <f>AVERAGE(C133:E133)</f>
        <v>-0.03250672375382138</v>
      </c>
      <c r="H133" s="169">
        <f>STDEV(C133:E133)</f>
        <v>0.012250726151512596</v>
      </c>
      <c r="I133" s="169">
        <f>(B133*B4+C133*C4+D133*D4+E133*E4+F133*F4)/SUM(B4:F4)</f>
        <v>-0.03505015337464756</v>
      </c>
    </row>
    <row r="134" spans="1:9" ht="12.75">
      <c r="A134" s="169" t="s">
        <v>186</v>
      </c>
      <c r="B134" s="169">
        <f>B94*10000/B62</f>
        <v>-0.022288173513074903</v>
      </c>
      <c r="C134" s="169">
        <f>C94*10000/C62</f>
        <v>-0.006465033645007474</v>
      </c>
      <c r="D134" s="169">
        <f>D94*10000/D62</f>
        <v>0.009313034046310245</v>
      </c>
      <c r="E134" s="169">
        <f>E94*10000/E62</f>
        <v>0.010205259497760563</v>
      </c>
      <c r="F134" s="169">
        <f>F94*10000/F62</f>
        <v>-0.011563102094302093</v>
      </c>
      <c r="G134" s="169">
        <f>AVERAGE(C134:E134)</f>
        <v>0.004351086633021112</v>
      </c>
      <c r="H134" s="169">
        <f>STDEV(C134:E134)</f>
        <v>0.009377652156357677</v>
      </c>
      <c r="I134" s="169">
        <f>(B134*B4+C134*C4+D134*D4+E134*E4+F134*F4)/SUM(B4:F4)</f>
        <v>-0.0016271778108312585</v>
      </c>
    </row>
    <row r="135" spans="1:9" ht="12.75">
      <c r="A135" s="169" t="s">
        <v>187</v>
      </c>
      <c r="B135" s="169">
        <f>B95*10000/B62</f>
        <v>-0.0030699734157641156</v>
      </c>
      <c r="C135" s="169">
        <f>C95*10000/C62</f>
        <v>0.004570156372477422</v>
      </c>
      <c r="D135" s="169">
        <f>D95*10000/D62</f>
        <v>-0.008835525148498618</v>
      </c>
      <c r="E135" s="169">
        <f>E95*10000/E62</f>
        <v>-0.004833541858333887</v>
      </c>
      <c r="F135" s="169">
        <f>F95*10000/F62</f>
        <v>0.002200329379948953</v>
      </c>
      <c r="G135" s="169">
        <f>AVERAGE(C135:E135)</f>
        <v>-0.0030329702114516945</v>
      </c>
      <c r="H135" s="169">
        <f>STDEV(C135:E135)</f>
        <v>0.006881832455976145</v>
      </c>
      <c r="I135" s="169">
        <f>(B135*B4+C135*C4+D135*D4+E135*E4+F135*F4)/SUM(B4:F4)</f>
        <v>-0.0023380057982856873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2003-07-03T13:57:32Z</cp:lastPrinted>
  <dcterms:created xsi:type="dcterms:W3CDTF">1999-06-17T15:15:05Z</dcterms:created>
  <dcterms:modified xsi:type="dcterms:W3CDTF">2003-10-13T17:29:08Z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281254307</vt:i4>
  </property>
  <property fmtid="{D5CDD505-2E9C-101B-9397-08002B2CF9AE}" pid="3" name="_EmailSubject">
    <vt:lpwstr>WFM result of aperture 106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PreviousAdHocReviewCycleID">
    <vt:i4>1421584721</vt:i4>
  </property>
  <property fmtid="{D5CDD505-2E9C-101B-9397-08002B2CF9AE}" pid="7" name="_ReviewingToolsShownOnce">
    <vt:lpwstr/>
  </property>
</Properties>
</file>