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60" yWindow="3960" windowWidth="2625" windowHeight="1065" tabRatio="1000" firstSheet="2" activeTab="7"/>
  </bookViews>
  <sheets>
    <sheet name="Sommaire" sheetId="1" r:id="rId1"/>
    <sheet name="HCMQAP108_pos1ap2" sheetId="2" r:id="rId2"/>
    <sheet name="HCMQAP108_pos2ap2" sheetId="3" r:id="rId3"/>
    <sheet name="HCMQAP108_pos3ap2" sheetId="4" r:id="rId4"/>
    <sheet name="HCMQAP108_pos4ap2" sheetId="5" r:id="rId5"/>
    <sheet name="HCMQAP108_pos5ap2" sheetId="6" r:id="rId6"/>
    <sheet name="Lmag_hcmqap" sheetId="7" r:id="rId7"/>
    <sheet name="Result_HCMQAP" sheetId="8" r:id="rId8"/>
  </sheets>
  <definedNames>
    <definedName name="_xlnm.Print_Area" localSheetId="1">'HCMQAP108_pos1ap2'!$A$1:$N$28</definedName>
    <definedName name="_xlnm.Print_Area" localSheetId="2">'HCMQAP108_pos2ap2'!$A$1:$N$28</definedName>
    <definedName name="_xlnm.Print_Area" localSheetId="3">'HCMQAP108_pos3ap2'!$A$1:$N$28</definedName>
    <definedName name="_xlnm.Print_Area" localSheetId="4">'HCMQAP108_pos4ap2'!$A$1:$N$28</definedName>
    <definedName name="_xlnm.Print_Area" localSheetId="5">'HCMQAP108_pos5ap2'!$A$1:$N$28</definedName>
    <definedName name="_xlnm.Print_Area" localSheetId="6">'Lmag_hcmqap'!$A$1:$G$54</definedName>
    <definedName name="_xlnm.Print_Area" localSheetId="0">'Sommaire'!$A$1:$N$16</definedName>
  </definedNames>
  <calcPr fullCalcOnLoad="1"/>
</workbook>
</file>

<file path=xl/sharedStrings.xml><?xml version="1.0" encoding="utf-8"?>
<sst xmlns="http://schemas.openxmlformats.org/spreadsheetml/2006/main" count="510" uniqueCount="192">
  <si>
    <t>Jour</t>
  </si>
  <si>
    <t>vit-esse</t>
  </si>
  <si>
    <t>I(A)</t>
  </si>
  <si>
    <t>NB mesures</t>
  </si>
  <si>
    <t>Posi-tion</t>
  </si>
  <si>
    <t>N° run</t>
  </si>
  <si>
    <t>NOM Fich.res</t>
  </si>
  <si>
    <t>NOM Fich.raw</t>
  </si>
  <si>
    <t>Observation</t>
  </si>
  <si>
    <t>Nombre de fichiers</t>
  </si>
  <si>
    <t>N° fich. Originel</t>
  </si>
  <si>
    <t>N° fich.  Epuré</t>
  </si>
  <si>
    <t>Bench Number</t>
  </si>
  <si>
    <t>Valeurs dipôlaires en Teslas (signal absolu mesuré par la bobine externe corrigé de la dérive de l'électronique)</t>
  </si>
  <si>
    <t>Magnet Name</t>
  </si>
  <si>
    <t>hcmqap108</t>
  </si>
  <si>
    <t>Magnet Type</t>
  </si>
  <si>
    <t>Aperture Number</t>
  </si>
  <si>
    <t>GMT Time</t>
  </si>
  <si>
    <t>Run Number</t>
  </si>
  <si>
    <t>Valeurs mesurées (unité)</t>
  </si>
  <si>
    <t>Multipôle</t>
  </si>
  <si>
    <t>Run Type</t>
  </si>
  <si>
    <t>manual</t>
  </si>
  <si>
    <t>Average</t>
  </si>
  <si>
    <t>Uncertainty</t>
  </si>
  <si>
    <t>Standard Deviation</t>
  </si>
  <si>
    <t>Coil Name</t>
  </si>
  <si>
    <t>taupe_quadrupole#4</t>
  </si>
  <si>
    <t>Rref</t>
  </si>
  <si>
    <t>Meas Type</t>
  </si>
  <si>
    <t>cmp</t>
  </si>
  <si>
    <t>Shaft Pos</t>
  </si>
  <si>
    <t>Coil length</t>
  </si>
  <si>
    <t>Température (bobine)</t>
  </si>
  <si>
    <t>Spec Curv (I spécifié)</t>
  </si>
  <si>
    <t>Angle(horiz./X_top codeur)</t>
  </si>
  <si>
    <t>Mid Current (I réel moyen)</t>
  </si>
  <si>
    <t>Inclinaison RefMag (niv max)</t>
  </si>
  <si>
    <t>Incli. Cryostat(ecart niv max)</t>
  </si>
  <si>
    <t>Incli. carriage (niv min)</t>
  </si>
  <si>
    <t>Dx moyen(mm)</t>
  </si>
  <si>
    <t>Dy moyen(mm)</t>
  </si>
  <si>
    <t>Analysis Tool</t>
  </si>
  <si>
    <t xml:space="preserve">DRI ROT NOR CEL FDW </t>
  </si>
  <si>
    <t>Number of point</t>
  </si>
  <si>
    <t>VALEURS PRINCIPALES</t>
  </si>
  <si>
    <t>Nombre Mesure</t>
  </si>
  <si>
    <r>
      <t>Module de C</t>
    </r>
    <r>
      <rPr>
        <vertAlign val="sub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 xml:space="preserve"> (mT)</t>
    </r>
  </si>
  <si>
    <r>
      <t>Module de C</t>
    </r>
    <r>
      <rPr>
        <vertAlign val="subscript"/>
        <sz val="12"/>
        <color indexed="8"/>
        <rFont val="Times New Roman"/>
        <family val="1"/>
      </rPr>
      <t>6</t>
    </r>
    <r>
      <rPr>
        <sz val="12"/>
        <color indexed="8"/>
        <rFont val="Times New Roman"/>
        <family val="1"/>
      </rPr>
      <t xml:space="preserve"> (unité)</t>
    </r>
  </si>
  <si>
    <t>Sens du courant</t>
  </si>
  <si>
    <t>+I / -I</t>
  </si>
  <si>
    <r>
      <t>Module de C</t>
    </r>
    <r>
      <rPr>
        <vertAlign val="subscript"/>
        <sz val="12"/>
        <color indexed="8"/>
        <rFont val="Times New Roman"/>
        <family val="1"/>
      </rPr>
      <t>3</t>
    </r>
    <r>
      <rPr>
        <sz val="12"/>
        <color indexed="8"/>
        <rFont val="Times New Roman"/>
        <family val="1"/>
      </rPr>
      <t xml:space="preserve"> (unité)</t>
    </r>
  </si>
  <si>
    <r>
      <t>Module de C</t>
    </r>
    <r>
      <rPr>
        <vertAlign val="subscript"/>
        <sz val="12"/>
        <color indexed="8"/>
        <rFont val="Times New Roman"/>
        <family val="1"/>
      </rPr>
      <t>10</t>
    </r>
    <r>
      <rPr>
        <sz val="12"/>
        <color indexed="8"/>
        <rFont val="Times New Roman"/>
        <family val="1"/>
      </rPr>
      <t xml:space="preserve"> (unité)</t>
    </r>
  </si>
  <si>
    <t>Vitesse (%)</t>
  </si>
  <si>
    <t>Commentaire</t>
  </si>
  <si>
    <r>
      <t xml:space="preserve">    (b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 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) créé par le décentrement de la taupe (=[B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(+I)-B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(-I)]/2)</t>
    </r>
  </si>
  <si>
    <r>
      <t xml:space="preserve">    (b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 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) issu des champs constants/externes (=[B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(+I)+B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(-I)]/2)</t>
    </r>
  </si>
  <si>
    <r>
      <t>Valeurs quadripolaires: b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(T), a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(T), 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(T), </t>
    </r>
    <r>
      <rPr>
        <sz val="10"/>
        <color indexed="8"/>
        <rFont val="Symbol"/>
        <family val="1"/>
      </rPr>
      <t>q</t>
    </r>
    <r>
      <rPr>
        <sz val="10"/>
        <color indexed="8"/>
        <rFont val="Times New Roman"/>
        <family val="1"/>
      </rPr>
      <t xml:space="preserve"> </t>
    </r>
    <r>
      <rPr>
        <vertAlign val="subscript"/>
        <sz val="10"/>
        <color indexed="8"/>
        <rFont val="Times New Roman"/>
        <family val="1"/>
      </rPr>
      <t>Y_top codeur</t>
    </r>
    <r>
      <rPr>
        <sz val="10"/>
        <color indexed="8"/>
        <rFont val="Times New Roman"/>
        <family val="1"/>
      </rPr>
      <t xml:space="preserve"> (mrad)</t>
    </r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</si>
  <si>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-2.261 mT)</t>
    </r>
  </si>
  <si>
    <r>
      <t>Valeurs spécifiées (b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>, a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>)</t>
    </r>
  </si>
  <si>
    <r>
      <t>b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 xml:space="preserve"> (normal)</t>
    </r>
  </si>
  <si>
    <r>
      <t>s</t>
    </r>
    <r>
      <rPr>
        <sz val="10"/>
        <color indexed="8"/>
        <rFont val="Times New Roman"/>
        <family val="1"/>
      </rPr>
      <t>b</t>
    </r>
    <r>
      <rPr>
        <vertAlign val="subscript"/>
        <sz val="10"/>
        <color indexed="8"/>
        <rFont val="Times New Roman"/>
        <family val="1"/>
      </rPr>
      <t>n</t>
    </r>
  </si>
  <si>
    <r>
      <t>a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 xml:space="preserve"> (skew)</t>
    </r>
  </si>
  <si>
    <r>
      <t>s</t>
    </r>
    <r>
      <rPr>
        <sz val="10"/>
        <color indexed="8"/>
        <rFont val="Times New Roman"/>
        <family val="1"/>
      </rPr>
      <t>a</t>
    </r>
    <r>
      <rPr>
        <vertAlign val="subscript"/>
        <sz val="10"/>
        <color indexed="8"/>
        <rFont val="Times New Roman"/>
        <family val="1"/>
      </rPr>
      <t>n</t>
    </r>
  </si>
  <si>
    <r>
      <t>Multipôle refusé (orange) : (av.+unc.+2*STDV)+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 xml:space="preserve"> &lt; multipôle &lt; (av.-unc.-2*STDV)-</t>
    </r>
    <r>
      <rPr>
        <sz val="10"/>
        <color indexed="8"/>
        <rFont val="Symbol"/>
        <family val="1"/>
      </rPr>
      <t>s</t>
    </r>
  </si>
  <si>
    <r>
      <t>Multipôle litigieux (vert): (av.+unc.+2*STDV)-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 xml:space="preserve"> &lt; multipôle &lt; (av.-unc.-2*STDV)+</t>
    </r>
    <r>
      <rPr>
        <sz val="10"/>
        <color indexed="8"/>
        <rFont val="Symbol"/>
        <family val="1"/>
      </rPr>
      <t>s</t>
    </r>
  </si>
  <si>
    <r>
      <t>q</t>
    </r>
    <r>
      <rPr>
        <sz val="10"/>
        <color indexed="8"/>
        <rFont val="Times New Roman"/>
        <family val="1"/>
      </rPr>
      <t>(°) = Angle(verticale,C2)</t>
    </r>
  </si>
  <si>
    <t>HCMQAP108_pos1ap2</t>
  </si>
  <si>
    <t>15/10/2003</t>
  </si>
  <si>
    <t>±12.5</t>
  </si>
  <si>
    <t>THCMQAP108_pos1ap2.xls</t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</si>
  <si>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-3.763 mT)</t>
    </r>
  </si>
  <si>
    <t>HCMQAP108_pos2ap2</t>
  </si>
  <si>
    <t>THCMQAP108_pos2ap2.xls</t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</si>
  <si>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-3.762 mT)</t>
    </r>
  </si>
  <si>
    <t>HCMQAP108_pos3ap2</t>
  </si>
  <si>
    <t>THCMQAP108_pos3ap2.xls</t>
  </si>
  <si>
    <t>HCMQAP108_pos4ap2</t>
  </si>
  <si>
    <t>THCMQAP108_pos4ap2.xls</t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</si>
  <si>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-2.088 mT)</t>
    </r>
  </si>
  <si>
    <t>HCMQAP108_pos5ap2</t>
  </si>
  <si>
    <t>THCMQAP108_pos5ap2.xls</t>
  </si>
  <si>
    <t>Sommaire : Valeurs intégrales calculées avec les fichiers: HCMQAP108_pos1ap2+HCMQAP108_pos2ap2+HCMQAP108_pos3ap2+HCMQAP108_pos4ap2+HCMQAP108_pos5ap2</t>
  </si>
  <si>
    <t>Position 1</t>
  </si>
  <si>
    <t>Position 2</t>
  </si>
  <si>
    <t>Position 3</t>
  </si>
  <si>
    <t>Position 4</t>
  </si>
  <si>
    <t>Position 5</t>
  </si>
  <si>
    <t>Mutipôles</t>
  </si>
  <si>
    <t>C2 (mT)</t>
  </si>
  <si>
    <t>b3</t>
  </si>
  <si>
    <t>a3</t>
  </si>
  <si>
    <t>b4</t>
  </si>
  <si>
    <t>a4</t>
  </si>
  <si>
    <t>b5</t>
  </si>
  <si>
    <t>a5</t>
  </si>
  <si>
    <t>b6</t>
  </si>
  <si>
    <t>a6</t>
  </si>
  <si>
    <t>b7</t>
  </si>
  <si>
    <t>a7</t>
  </si>
  <si>
    <t>b8</t>
  </si>
  <si>
    <t>a8</t>
  </si>
  <si>
    <t>b9</t>
  </si>
  <si>
    <t>a9</t>
  </si>
  <si>
    <t>b10</t>
  </si>
  <si>
    <t>a10</t>
  </si>
  <si>
    <t>b11</t>
  </si>
  <si>
    <t>a11</t>
  </si>
  <si>
    <t>b12</t>
  </si>
  <si>
    <t>a12</t>
  </si>
  <si>
    <t>b13</t>
  </si>
  <si>
    <t>a13</t>
  </si>
  <si>
    <t>b14</t>
  </si>
  <si>
    <t>a14</t>
  </si>
  <si>
    <t>b15</t>
  </si>
  <si>
    <t>a15</t>
  </si>
  <si>
    <t>Angle[Horiz,C2](°)</t>
  </si>
  <si>
    <t>Temp. taupe (°C)</t>
  </si>
  <si>
    <t>Niv. moyen (mrad)</t>
  </si>
  <si>
    <t>Fichiers</t>
  </si>
  <si>
    <t>Long. mag (m)</t>
  </si>
  <si>
    <t>Intégrales</t>
  </si>
  <si>
    <r>
      <t>Intégrale(C</t>
    </r>
    <r>
      <rPr>
        <vertAlign val="subscript"/>
        <sz val="10"/>
        <rFont val="Times New Roman"/>
        <family val="1"/>
      </rPr>
      <t>n</t>
    </r>
    <r>
      <rPr>
        <sz val="10"/>
        <rFont val="Times New Roman"/>
        <family val="1"/>
      </rPr>
      <t>) = Sum(C</t>
    </r>
    <r>
      <rPr>
        <vertAlign val="subscript"/>
        <sz val="10"/>
        <rFont val="Times New Roman"/>
        <family val="1"/>
      </rPr>
      <t>n,pos=[1,5]</t>
    </r>
    <r>
      <rPr>
        <sz val="10"/>
        <rFont val="Times New Roman"/>
        <family val="1"/>
      </rPr>
      <t>)/(Sum(C</t>
    </r>
    <r>
      <rPr>
        <vertAlign val="subscript"/>
        <sz val="10"/>
        <rFont val="Times New Roman"/>
        <family val="1"/>
      </rPr>
      <t>2,pos=[1,5]</t>
    </r>
    <r>
      <rPr>
        <sz val="10"/>
        <rFont val="Times New Roman"/>
        <family val="1"/>
      </rPr>
      <t>)</t>
    </r>
  </si>
  <si>
    <r>
      <t>Gradient = 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/R</t>
    </r>
    <r>
      <rPr>
        <vertAlign val="subscript"/>
        <sz val="10"/>
        <rFont val="Times New Roman"/>
        <family val="1"/>
      </rPr>
      <t>ref</t>
    </r>
    <r>
      <rPr>
        <sz val="10"/>
        <rFont val="Times New Roman"/>
        <family val="1"/>
      </rPr>
      <t>*(11870/Spec_curv)</t>
    </r>
  </si>
  <si>
    <r>
      <t>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(mT) = (C</t>
    </r>
    <r>
      <rPr>
        <vertAlign val="subscript"/>
        <sz val="10"/>
        <rFont val="Times New Roman"/>
        <family val="1"/>
      </rPr>
      <t>2,pos2</t>
    </r>
    <r>
      <rPr>
        <sz val="10"/>
        <rFont val="Times New Roman"/>
        <family val="1"/>
      </rPr>
      <t>+C</t>
    </r>
    <r>
      <rPr>
        <vertAlign val="subscript"/>
        <sz val="10"/>
        <rFont val="Times New Roman"/>
        <family val="1"/>
      </rPr>
      <t>2,pos3</t>
    </r>
    <r>
      <rPr>
        <sz val="10"/>
        <rFont val="Times New Roman"/>
        <family val="1"/>
      </rPr>
      <t>+C</t>
    </r>
    <r>
      <rPr>
        <vertAlign val="subscript"/>
        <sz val="10"/>
        <rFont val="Times New Roman"/>
        <family val="1"/>
      </rPr>
      <t>2,pos4</t>
    </r>
    <r>
      <rPr>
        <sz val="10"/>
        <rFont val="Times New Roman"/>
        <family val="1"/>
      </rPr>
      <t>)/3         Long_mag = Intégrale(C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)/C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*.7499     [C</t>
    </r>
    <r>
      <rPr>
        <vertAlign val="subscript"/>
        <sz val="10"/>
        <rFont val="Times New Roman"/>
        <family val="1"/>
      </rPr>
      <t>n,x</t>
    </r>
    <r>
      <rPr>
        <sz val="10"/>
        <rFont val="Times New Roman"/>
        <family val="1"/>
      </rPr>
      <t>(T) = c</t>
    </r>
    <r>
      <rPr>
        <vertAlign val="subscript"/>
        <sz val="10"/>
        <rFont val="Times New Roman"/>
        <family val="1"/>
      </rPr>
      <t>n,x</t>
    </r>
    <r>
      <rPr>
        <sz val="10"/>
        <rFont val="Times New Roman"/>
        <family val="1"/>
      </rPr>
      <t>(unit)*C</t>
    </r>
    <r>
      <rPr>
        <vertAlign val="subscript"/>
        <sz val="10"/>
        <rFont val="Times New Roman"/>
        <family val="1"/>
      </rPr>
      <t>2,x</t>
    </r>
    <r>
      <rPr>
        <sz val="10"/>
        <rFont val="Times New Roman"/>
        <family val="1"/>
      </rPr>
      <t>(T)]</t>
    </r>
  </si>
  <si>
    <t xml:space="preserve">Taupe : </t>
  </si>
  <si>
    <r>
      <t>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=-3.762</t>
    </r>
  </si>
  <si>
    <t>Gradient (T/m)</t>
  </si>
  <si>
    <t xml:space="preserve"> Wed 15/10/2003       07:53:19</t>
  </si>
  <si>
    <t>LISSNER</t>
  </si>
  <si>
    <t>HCMQAP108</t>
  </si>
  <si>
    <t>Aperture2</t>
  </si>
  <si>
    <t>Taupe_quadrupole#4</t>
  </si>
  <si>
    <t>Position</t>
  </si>
  <si>
    <t>Integrales</t>
  </si>
  <si>
    <t>Cn (mT)</t>
  </si>
  <si>
    <t>Angle(Horiz,Cn)</t>
  </si>
  <si>
    <t>b1</t>
  </si>
  <si>
    <t>b2</t>
  </si>
  <si>
    <t>b5*</t>
  </si>
  <si>
    <t>b13*</t>
  </si>
  <si>
    <t>b14*</t>
  </si>
  <si>
    <t>a1</t>
  </si>
  <si>
    <t>a2</t>
  </si>
  <si>
    <t>Temp taupe(deg)</t>
  </si>
  <si>
    <t>Niv init(mrad)</t>
  </si>
  <si>
    <t>Dx moy (mm)</t>
  </si>
  <si>
    <t>Dy moy (mm)</t>
  </si>
  <si>
    <t>C2 centre (mT)</t>
  </si>
  <si>
    <t>Long. Mag. (m)</t>
  </si>
  <si>
    <t>* = error on            Conclusion : CONTACT CEA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</si>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</sst>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d/mm/yy\ h:mm:ss"/>
    <numFmt numFmtId="173" formatCode="0.0##"/>
    <numFmt numFmtId="174" formatCode="0.00E+0"/>
    <numFmt numFmtId="175" formatCode="0.0###"/>
    <numFmt numFmtId="176" formatCode="dd/mm/yy\ h:mm"/>
    <numFmt numFmtId="177" formatCode="0.0#"/>
    <numFmt numFmtId="178" formatCode="0.#"/>
    <numFmt numFmtId="179" formatCode="0.000"/>
    <numFmt numFmtId="180" formatCode="dd/mm/yy"/>
  </numFmts>
  <fonts count="14">
    <font>
      <sz val="10"/>
      <name val="Times New Roman"/>
      <family val="1"/>
    </font>
    <font>
      <sz val="10"/>
      <name val="Arial"/>
      <family val="0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Symbol"/>
      <family val="1"/>
    </font>
    <font>
      <b/>
      <sz val="10"/>
      <color indexed="8"/>
      <name val="Times New Roman"/>
      <family val="1"/>
    </font>
    <font>
      <vertAlign val="subscript"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vertAlign val="subscript"/>
      <sz val="12"/>
      <color indexed="8"/>
      <name val="Times New Roman"/>
      <family val="1"/>
    </font>
    <font>
      <vertAlign val="subscript"/>
      <sz val="10"/>
      <name val="Times New Roman"/>
      <family val="1"/>
    </font>
    <font>
      <i/>
      <sz val="10"/>
      <color indexed="10"/>
      <name val="Times New Roman"/>
      <family val="1"/>
    </font>
    <font>
      <b/>
      <sz val="10"/>
      <name val="Times New Roman"/>
      <family val="1"/>
    </font>
    <font>
      <b/>
      <sz val="11.5"/>
      <name val="Arial"/>
      <family val="0"/>
    </font>
    <font>
      <sz val="11.5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>
        <color indexed="8"/>
      </left>
      <right style="thin"/>
      <top style="medium">
        <color indexed="8"/>
      </top>
      <bottom style="thin"/>
    </border>
    <border>
      <left style="thin"/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 style="thin"/>
      <top style="thin"/>
      <bottom style="thin"/>
    </border>
    <border>
      <left style="thin"/>
      <right style="medium">
        <color indexed="8"/>
      </right>
      <top style="thin"/>
      <bottom style="thin"/>
    </border>
    <border>
      <left style="medium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>
        <color indexed="8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 style="medium">
        <color indexed="8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>
        <color indexed="8"/>
      </left>
      <right style="thin"/>
      <top style="thin"/>
      <bottom style="medium">
        <color indexed="8"/>
      </bottom>
    </border>
    <border>
      <left style="thin"/>
      <right style="thin"/>
      <top style="thin"/>
      <bottom style="medium">
        <color indexed="8"/>
      </bottom>
    </border>
    <border>
      <left style="thin"/>
      <right style="medium">
        <color indexed="8"/>
      </right>
      <top style="thin"/>
      <bottom style="medium">
        <color indexed="8"/>
      </bottom>
    </border>
    <border>
      <left style="double">
        <color indexed="10"/>
      </left>
      <right>
        <color indexed="63"/>
      </right>
      <top style="double">
        <color indexed="10"/>
      </top>
      <bottom style="medium"/>
    </border>
    <border>
      <left>
        <color indexed="63"/>
      </left>
      <right>
        <color indexed="63"/>
      </right>
      <top style="double">
        <color indexed="10"/>
      </top>
      <bottom style="medium"/>
    </border>
    <border>
      <left>
        <color indexed="63"/>
      </left>
      <right style="double">
        <color indexed="10"/>
      </right>
      <top style="double">
        <color indexed="10"/>
      </top>
      <bottom style="medium"/>
    </border>
    <border>
      <left style="double">
        <color indexed="1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double">
        <color indexed="10"/>
      </right>
      <top>
        <color indexed="63"/>
      </top>
      <bottom style="thin"/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medium"/>
      <top>
        <color indexed="63"/>
      </top>
      <bottom style="double">
        <color indexed="10"/>
      </bottom>
    </border>
    <border>
      <left style="thin"/>
      <right style="double">
        <color indexed="10"/>
      </right>
      <top>
        <color indexed="63"/>
      </top>
      <bottom style="double">
        <color indexed="10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>
        <color indexed="63"/>
      </right>
      <top style="double"/>
      <bottom style="thin"/>
    </border>
    <border>
      <left style="double"/>
      <right style="double"/>
      <top style="double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thin"/>
    </border>
    <border>
      <left style="double"/>
      <right style="medium"/>
      <top style="thin"/>
      <bottom style="double"/>
    </border>
    <border>
      <left style="double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medium"/>
      <right style="double"/>
      <top style="double"/>
      <bottom style="medium"/>
    </border>
    <border>
      <left style="medium"/>
      <right style="double"/>
      <top>
        <color indexed="63"/>
      </top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medium">
        <color indexed="8"/>
      </right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</cellStyleXfs>
  <cellXfs count="173">
    <xf numFmtId="0" fontId="0" fillId="0" borderId="0" xfId="0" applyAlignment="1">
      <alignment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173" fontId="3" fillId="0" borderId="0" xfId="0" applyNumberFormat="1" applyFont="1" applyFill="1" applyBorder="1" applyAlignment="1">
      <alignment horizontal="left"/>
    </xf>
    <xf numFmtId="173" fontId="2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top"/>
    </xf>
    <xf numFmtId="173" fontId="3" fillId="0" borderId="1" xfId="0" applyNumberFormat="1" applyFont="1" applyFill="1" applyBorder="1" applyAlignment="1">
      <alignment horizontal="center" vertical="top" wrapText="1"/>
    </xf>
    <xf numFmtId="1" fontId="3" fillId="0" borderId="1" xfId="0" applyNumberFormat="1" applyFont="1" applyFill="1" applyBorder="1" applyAlignment="1">
      <alignment horizontal="right" vertical="top" wrapText="1"/>
    </xf>
    <xf numFmtId="173" fontId="3" fillId="0" borderId="2" xfId="0" applyNumberFormat="1" applyFont="1" applyFill="1" applyBorder="1" applyAlignment="1">
      <alignment horizontal="left" vertical="top" wrapText="1"/>
    </xf>
    <xf numFmtId="173" fontId="3" fillId="0" borderId="3" xfId="0" applyNumberFormat="1" applyFont="1" applyFill="1" applyBorder="1" applyAlignment="1">
      <alignment horizontal="left"/>
    </xf>
    <xf numFmtId="173" fontId="3" fillId="0" borderId="3" xfId="0" applyNumberFormat="1" applyFont="1" applyFill="1" applyBorder="1" applyAlignment="1">
      <alignment horizontal="center"/>
    </xf>
    <xf numFmtId="173" fontId="3" fillId="0" borderId="3" xfId="0" applyNumberFormat="1" applyFont="1" applyFill="1" applyBorder="1" applyAlignment="1">
      <alignment horizontal="right"/>
    </xf>
    <xf numFmtId="173" fontId="3" fillId="0" borderId="4" xfId="0" applyNumberFormat="1" applyFont="1" applyFill="1" applyBorder="1" applyAlignment="1">
      <alignment horizontal="left" vertical="top" wrapText="1"/>
    </xf>
    <xf numFmtId="1" fontId="3" fillId="0" borderId="3" xfId="0" applyNumberFormat="1" applyFont="1" applyFill="1" applyBorder="1" applyAlignment="1">
      <alignment horizontal="center"/>
    </xf>
    <xf numFmtId="1" fontId="3" fillId="0" borderId="2" xfId="0" applyNumberFormat="1" applyFont="1" applyFill="1" applyBorder="1" applyAlignment="1">
      <alignment horizontal="center" vertical="top" wrapText="1"/>
    </xf>
    <xf numFmtId="1" fontId="2" fillId="0" borderId="3" xfId="0" applyNumberFormat="1" applyFont="1" applyFill="1" applyBorder="1" applyAlignment="1">
      <alignment horizontal="center" vertical="center"/>
    </xf>
    <xf numFmtId="173" fontId="3" fillId="0" borderId="2" xfId="0" applyNumberFormat="1" applyFont="1" applyFill="1" applyBorder="1" applyAlignment="1">
      <alignment horizontal="right" vertical="top" wrapText="1"/>
    </xf>
    <xf numFmtId="173" fontId="2" fillId="0" borderId="3" xfId="0" applyNumberFormat="1" applyFont="1" applyFill="1" applyBorder="1" applyAlignment="1">
      <alignment horizontal="right" vertical="center"/>
    </xf>
    <xf numFmtId="178" fontId="3" fillId="0" borderId="2" xfId="0" applyNumberFormat="1" applyFont="1" applyFill="1" applyBorder="1" applyAlignment="1">
      <alignment horizontal="center" vertical="top" wrapText="1"/>
    </xf>
    <xf numFmtId="178" fontId="3" fillId="0" borderId="3" xfId="0" applyNumberFormat="1" applyFont="1" applyFill="1" applyBorder="1" applyAlignment="1">
      <alignment horizontal="center"/>
    </xf>
    <xf numFmtId="178" fontId="2" fillId="0" borderId="3" xfId="0" applyNumberFormat="1" applyFont="1" applyFill="1" applyBorder="1" applyAlignment="1">
      <alignment horizontal="center" vertical="center"/>
    </xf>
    <xf numFmtId="173" fontId="3" fillId="0" borderId="2" xfId="0" applyNumberFormat="1" applyFont="1" applyFill="1" applyBorder="1" applyAlignment="1">
      <alignment horizontal="center" vertical="top" wrapText="1"/>
    </xf>
    <xf numFmtId="173" fontId="2" fillId="0" borderId="3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178" fontId="3" fillId="2" borderId="3" xfId="0" applyNumberFormat="1" applyFont="1" applyFill="1" applyBorder="1" applyAlignment="1">
      <alignment horizontal="center"/>
    </xf>
    <xf numFmtId="1" fontId="3" fillId="2" borderId="3" xfId="0" applyNumberFormat="1" applyFont="1" applyFill="1" applyBorder="1" applyAlignment="1">
      <alignment horizontal="center"/>
    </xf>
    <xf numFmtId="173" fontId="3" fillId="2" borderId="3" xfId="0" applyNumberFormat="1" applyFont="1" applyFill="1" applyBorder="1" applyAlignment="1">
      <alignment horizontal="center"/>
    </xf>
    <xf numFmtId="173" fontId="3" fillId="2" borderId="3" xfId="0" applyNumberFormat="1" applyFont="1" applyFill="1" applyBorder="1" applyAlignment="1">
      <alignment horizontal="left"/>
    </xf>
    <xf numFmtId="173" fontId="3" fillId="2" borderId="0" xfId="0" applyNumberFormat="1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173" fontId="3" fillId="2" borderId="3" xfId="0" applyNumberFormat="1" applyFont="1" applyFill="1" applyBorder="1" applyAlignment="1">
      <alignment horizontal="right"/>
    </xf>
    <xf numFmtId="0" fontId="0" fillId="2" borderId="0" xfId="0" applyFill="1" applyAlignment="1">
      <alignment horizontal="left"/>
    </xf>
    <xf numFmtId="0" fontId="0" fillId="0" borderId="0" xfId="0" applyAlignment="1">
      <alignment horizontal="right"/>
    </xf>
    <xf numFmtId="1" fontId="2" fillId="2" borderId="3" xfId="0" applyNumberFormat="1" applyFont="1" applyFill="1" applyBorder="1" applyAlignment="1">
      <alignment horizontal="center"/>
    </xf>
    <xf numFmtId="173" fontId="2" fillId="2" borderId="3" xfId="0" applyNumberFormat="1" applyFont="1" applyFill="1" applyBorder="1" applyAlignment="1">
      <alignment horizontal="center"/>
    </xf>
    <xf numFmtId="173" fontId="2" fillId="2" borderId="3" xfId="0" applyNumberFormat="1" applyFont="1" applyFill="1" applyBorder="1" applyAlignment="1">
      <alignment horizontal="left"/>
    </xf>
    <xf numFmtId="173" fontId="2" fillId="2" borderId="3" xfId="0" applyNumberFormat="1" applyFont="1" applyFill="1" applyBorder="1" applyAlignment="1">
      <alignment horizontal="right"/>
    </xf>
    <xf numFmtId="173" fontId="2" fillId="2" borderId="0" xfId="0" applyNumberFormat="1" applyFont="1" applyFill="1" applyBorder="1" applyAlignment="1">
      <alignment horizontal="left"/>
    </xf>
    <xf numFmtId="1" fontId="0" fillId="2" borderId="0" xfId="0" applyNumberFormat="1" applyFill="1" applyAlignment="1">
      <alignment horizontal="center"/>
    </xf>
    <xf numFmtId="180" fontId="3" fillId="0" borderId="2" xfId="0" applyNumberFormat="1" applyFont="1" applyFill="1" applyBorder="1" applyAlignment="1">
      <alignment horizontal="left" vertical="top"/>
    </xf>
    <xf numFmtId="180" fontId="3" fillId="2" borderId="3" xfId="0" applyNumberFormat="1" applyFont="1" applyFill="1" applyBorder="1" applyAlignment="1">
      <alignment horizontal="left"/>
    </xf>
    <xf numFmtId="180" fontId="4" fillId="2" borderId="3" xfId="0" applyNumberFormat="1" applyFont="1" applyFill="1" applyBorder="1" applyAlignment="1">
      <alignment horizontal="left"/>
    </xf>
    <xf numFmtId="180" fontId="2" fillId="0" borderId="3" xfId="0" applyNumberFormat="1" applyFont="1" applyFill="1" applyBorder="1" applyAlignment="1">
      <alignment horizontal="left" vertical="center"/>
    </xf>
    <xf numFmtId="180" fontId="3" fillId="0" borderId="3" xfId="0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3" fillId="0" borderId="5" xfId="0" applyFont="1" applyFill="1" applyBorder="1" applyAlignment="1">
      <alignment horizontal="left"/>
    </xf>
    <xf numFmtId="1" fontId="3" fillId="0" borderId="6" xfId="0" applyNumberFormat="1" applyFont="1" applyFill="1" applyBorder="1" applyAlignment="1">
      <alignment horizontal="left"/>
    </xf>
    <xf numFmtId="173" fontId="3" fillId="0" borderId="7" xfId="0" applyNumberFormat="1" applyFont="1" applyFill="1" applyBorder="1" applyAlignment="1">
      <alignment horizontal="left"/>
    </xf>
    <xf numFmtId="173" fontId="3" fillId="0" borderId="8" xfId="0" applyNumberFormat="1" applyFont="1" applyFill="1" applyBorder="1" applyAlignment="1">
      <alignment horizontal="center"/>
    </xf>
    <xf numFmtId="173" fontId="3" fillId="0" borderId="9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right"/>
    </xf>
    <xf numFmtId="173" fontId="3" fillId="0" borderId="12" xfId="0" applyNumberFormat="1" applyFont="1" applyFill="1" applyBorder="1" applyAlignment="1">
      <alignment horizontal="left"/>
    </xf>
    <xf numFmtId="173" fontId="3" fillId="0" borderId="13" xfId="0" applyNumberFormat="1" applyFont="1" applyFill="1" applyBorder="1" applyAlignment="1">
      <alignment horizontal="center"/>
    </xf>
    <xf numFmtId="173" fontId="3" fillId="0" borderId="14" xfId="0" applyNumberFormat="1" applyFont="1" applyFill="1" applyBorder="1" applyAlignment="1">
      <alignment horizontal="center"/>
    </xf>
    <xf numFmtId="174" fontId="3" fillId="0" borderId="15" xfId="0" applyNumberFormat="1" applyFont="1" applyFill="1" applyBorder="1" applyAlignment="1">
      <alignment horizontal="center"/>
    </xf>
    <xf numFmtId="174" fontId="3" fillId="0" borderId="11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1" fontId="3" fillId="0" borderId="11" xfId="0" applyNumberFormat="1" applyFont="1" applyFill="1" applyBorder="1" applyAlignment="1">
      <alignment horizontal="left"/>
    </xf>
    <xf numFmtId="176" fontId="3" fillId="0" borderId="11" xfId="0" applyNumberFormat="1" applyFont="1" applyFill="1" applyBorder="1" applyAlignment="1">
      <alignment horizontal="left"/>
    </xf>
    <xf numFmtId="173" fontId="3" fillId="0" borderId="16" xfId="0" applyNumberFormat="1" applyFont="1" applyFill="1" applyBorder="1" applyAlignment="1">
      <alignment horizontal="left"/>
    </xf>
    <xf numFmtId="173" fontId="3" fillId="0" borderId="17" xfId="0" applyNumberFormat="1" applyFont="1" applyFill="1" applyBorder="1" applyAlignment="1">
      <alignment horizontal="left"/>
    </xf>
    <xf numFmtId="173" fontId="3" fillId="0" borderId="17" xfId="0" applyNumberFormat="1" applyFont="1" applyFill="1" applyBorder="1" applyAlignment="1">
      <alignment horizontal="center"/>
    </xf>
    <xf numFmtId="173" fontId="3" fillId="0" borderId="18" xfId="0" applyNumberFormat="1" applyFont="1" applyFill="1" applyBorder="1" applyAlignment="1">
      <alignment horizontal="center"/>
    </xf>
    <xf numFmtId="173" fontId="3" fillId="0" borderId="12" xfId="0" applyNumberFormat="1" applyFont="1" applyFill="1" applyBorder="1" applyAlignment="1">
      <alignment horizontal="center"/>
    </xf>
    <xf numFmtId="173" fontId="5" fillId="0" borderId="13" xfId="0" applyNumberFormat="1" applyFont="1" applyFill="1" applyBorder="1" applyAlignment="1">
      <alignment horizontal="left"/>
    </xf>
    <xf numFmtId="173" fontId="5" fillId="0" borderId="13" xfId="0" applyNumberFormat="1" applyFont="1" applyFill="1" applyBorder="1" applyAlignment="1">
      <alignment horizontal="center"/>
    </xf>
    <xf numFmtId="173" fontId="5" fillId="0" borderId="14" xfId="0" applyNumberFormat="1" applyFont="1" applyFill="1" applyBorder="1" applyAlignment="1">
      <alignment horizontal="center"/>
    </xf>
    <xf numFmtId="173" fontId="5" fillId="0" borderId="19" xfId="0" applyNumberFormat="1" applyFont="1" applyFill="1" applyBorder="1" applyAlignment="1">
      <alignment horizontal="center"/>
    </xf>
    <xf numFmtId="173" fontId="5" fillId="0" borderId="20" xfId="0" applyNumberFormat="1" applyFont="1" applyFill="1" applyBorder="1" applyAlignment="1">
      <alignment horizontal="center"/>
    </xf>
    <xf numFmtId="173" fontId="3" fillId="0" borderId="13" xfId="0" applyNumberFormat="1" applyFont="1" applyFill="1" applyBorder="1" applyAlignment="1">
      <alignment horizontal="left"/>
    </xf>
    <xf numFmtId="173" fontId="3" fillId="0" borderId="21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left"/>
    </xf>
    <xf numFmtId="173" fontId="3" fillId="0" borderId="22" xfId="0" applyNumberFormat="1" applyFont="1" applyFill="1" applyBorder="1" applyAlignment="1">
      <alignment horizontal="center"/>
    </xf>
    <xf numFmtId="173" fontId="4" fillId="0" borderId="23" xfId="0" applyNumberFormat="1" applyFont="1" applyFill="1" applyBorder="1" applyAlignment="1">
      <alignment horizontal="center"/>
    </xf>
    <xf numFmtId="173" fontId="3" fillId="0" borderId="23" xfId="0" applyNumberFormat="1" applyFont="1" applyFill="1" applyBorder="1" applyAlignment="1">
      <alignment horizontal="center"/>
    </xf>
    <xf numFmtId="173" fontId="3" fillId="0" borderId="24" xfId="0" applyNumberFormat="1" applyFont="1" applyFill="1" applyBorder="1" applyAlignment="1">
      <alignment horizontal="center"/>
    </xf>
    <xf numFmtId="173" fontId="5" fillId="0" borderId="10" xfId="0" applyNumberFormat="1" applyFont="1" applyFill="1" applyBorder="1" applyAlignment="1">
      <alignment horizontal="center"/>
    </xf>
    <xf numFmtId="173" fontId="5" fillId="0" borderId="15" xfId="0" applyNumberFormat="1" applyFont="1" applyFill="1" applyBorder="1" applyAlignment="1">
      <alignment horizontal="center"/>
    </xf>
    <xf numFmtId="1" fontId="5" fillId="0" borderId="15" xfId="0" applyNumberFormat="1" applyFont="1" applyFill="1" applyBorder="1" applyAlignment="1">
      <alignment horizontal="center"/>
    </xf>
    <xf numFmtId="173" fontId="3" fillId="0" borderId="15" xfId="0" applyNumberFormat="1" applyFont="1" applyFill="1" applyBorder="1" applyAlignment="1">
      <alignment horizontal="center"/>
    </xf>
    <xf numFmtId="173" fontId="3" fillId="0" borderId="11" xfId="0" applyNumberFormat="1" applyFont="1" applyFill="1" applyBorder="1" applyAlignment="1">
      <alignment horizontal="center"/>
    </xf>
    <xf numFmtId="173" fontId="3" fillId="0" borderId="11" xfId="0" applyNumberFormat="1" applyFont="1" applyFill="1" applyBorder="1" applyAlignment="1">
      <alignment horizontal="left"/>
    </xf>
    <xf numFmtId="173" fontId="3" fillId="0" borderId="10" xfId="0" applyNumberFormat="1" applyFont="1" applyFill="1" applyBorder="1" applyAlignment="1">
      <alignment horizontal="center"/>
    </xf>
    <xf numFmtId="175" fontId="3" fillId="0" borderId="11" xfId="0" applyNumberFormat="1" applyFont="1" applyFill="1" applyBorder="1" applyAlignment="1">
      <alignment horizontal="left"/>
    </xf>
    <xf numFmtId="173" fontId="5" fillId="0" borderId="11" xfId="0" applyNumberFormat="1" applyFont="1" applyFill="1" applyBorder="1" applyAlignment="1">
      <alignment horizontal="left"/>
    </xf>
    <xf numFmtId="173" fontId="3" fillId="3" borderId="15" xfId="0" applyNumberFormat="1" applyFont="1" applyFill="1" applyBorder="1" applyAlignment="1">
      <alignment horizontal="center"/>
    </xf>
    <xf numFmtId="173" fontId="3" fillId="3" borderId="10" xfId="0" applyNumberFormat="1" applyFont="1" applyFill="1" applyBorder="1" applyAlignment="1">
      <alignment horizontal="center"/>
    </xf>
    <xf numFmtId="177" fontId="3" fillId="0" borderId="11" xfId="0" applyNumberFormat="1" applyFont="1" applyFill="1" applyBorder="1" applyAlignment="1">
      <alignment horizontal="left"/>
    </xf>
    <xf numFmtId="173" fontId="3" fillId="0" borderId="25" xfId="0" applyNumberFormat="1" applyFont="1" applyFill="1" applyBorder="1" applyAlignment="1">
      <alignment horizontal="center"/>
    </xf>
    <xf numFmtId="173" fontId="3" fillId="0" borderId="26" xfId="0" applyNumberFormat="1" applyFont="1" applyFill="1" applyBorder="1" applyAlignment="1">
      <alignment horizontal="center"/>
    </xf>
    <xf numFmtId="1" fontId="5" fillId="0" borderId="26" xfId="0" applyNumberFormat="1" applyFont="1" applyFill="1" applyBorder="1" applyAlignment="1">
      <alignment horizontal="center"/>
    </xf>
    <xf numFmtId="173" fontId="3" fillId="0" borderId="27" xfId="0" applyNumberFormat="1" applyFont="1" applyFill="1" applyBorder="1" applyAlignment="1">
      <alignment horizontal="center"/>
    </xf>
    <xf numFmtId="0" fontId="3" fillId="0" borderId="25" xfId="0" applyFont="1" applyFill="1" applyBorder="1" applyAlignment="1">
      <alignment horizontal="left"/>
    </xf>
    <xf numFmtId="1" fontId="3" fillId="0" borderId="27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177" fontId="3" fillId="0" borderId="0" xfId="0" applyNumberFormat="1" applyFont="1" applyFill="1" applyBorder="1" applyAlignment="1">
      <alignment horizontal="left"/>
    </xf>
    <xf numFmtId="173" fontId="2" fillId="0" borderId="28" xfId="0" applyNumberFormat="1" applyFont="1" applyFill="1" applyBorder="1" applyAlignment="1">
      <alignment horizontal="left"/>
    </xf>
    <xf numFmtId="173" fontId="2" fillId="0" borderId="29" xfId="0" applyNumberFormat="1" applyFont="1" applyFill="1" applyBorder="1" applyAlignment="1">
      <alignment horizontal="left"/>
    </xf>
    <xf numFmtId="173" fontId="7" fillId="0" borderId="29" xfId="0" applyNumberFormat="1" applyFont="1" applyFill="1" applyBorder="1" applyAlignment="1">
      <alignment horizontal="left"/>
    </xf>
    <xf numFmtId="173" fontId="2" fillId="0" borderId="30" xfId="0" applyNumberFormat="1" applyFont="1" applyFill="1" applyBorder="1" applyAlignment="1">
      <alignment horizontal="left"/>
    </xf>
    <xf numFmtId="173" fontId="2" fillId="0" borderId="31" xfId="0" applyNumberFormat="1" applyFont="1" applyFill="1" applyBorder="1" applyAlignment="1">
      <alignment horizontal="left"/>
    </xf>
    <xf numFmtId="173" fontId="2" fillId="0" borderId="32" xfId="0" applyNumberFormat="1" applyFont="1" applyFill="1" applyBorder="1" applyAlignment="1">
      <alignment horizontal="left"/>
    </xf>
    <xf numFmtId="173" fontId="2" fillId="0" borderId="32" xfId="0" applyNumberFormat="1" applyFont="1" applyFill="1" applyBorder="1" applyAlignment="1">
      <alignment horizontal="center"/>
    </xf>
    <xf numFmtId="173" fontId="2" fillId="0" borderId="33" xfId="0" applyNumberFormat="1" applyFont="1" applyFill="1" applyBorder="1" applyAlignment="1">
      <alignment horizontal="left"/>
    </xf>
    <xf numFmtId="173" fontId="2" fillId="0" borderId="34" xfId="0" applyNumberFormat="1" applyFont="1" applyFill="1" applyBorder="1" applyAlignment="1">
      <alignment horizontal="left"/>
    </xf>
    <xf numFmtId="173" fontId="2" fillId="0" borderId="35" xfId="0" applyNumberFormat="1" applyFont="1" applyFill="1" applyBorder="1" applyAlignment="1">
      <alignment horizontal="left"/>
    </xf>
    <xf numFmtId="173" fontId="2" fillId="0" borderId="36" xfId="0" applyNumberFormat="1" applyFont="1" applyFill="1" applyBorder="1" applyAlignment="1">
      <alignment horizontal="left"/>
    </xf>
    <xf numFmtId="173" fontId="2" fillId="0" borderId="36" xfId="0" applyNumberFormat="1" applyFont="1" applyFill="1" applyBorder="1" applyAlignment="1">
      <alignment horizontal="center"/>
    </xf>
    <xf numFmtId="173" fontId="2" fillId="0" borderId="37" xfId="0" applyNumberFormat="1" applyFont="1" applyFill="1" applyBorder="1" applyAlignment="1">
      <alignment horizontal="left"/>
    </xf>
    <xf numFmtId="173" fontId="2" fillId="0" borderId="38" xfId="0" applyNumberFormat="1" applyFont="1" applyFill="1" applyBorder="1" applyAlignment="1">
      <alignment horizontal="left"/>
    </xf>
    <xf numFmtId="0" fontId="2" fillId="0" borderId="39" xfId="0" applyFont="1" applyFill="1" applyBorder="1" applyAlignment="1">
      <alignment horizontal="left" vertical="center"/>
    </xf>
    <xf numFmtId="0" fontId="2" fillId="0" borderId="40" xfId="0" applyFont="1" applyFill="1" applyBorder="1" applyAlignment="1">
      <alignment horizontal="left" vertical="center"/>
    </xf>
    <xf numFmtId="173" fontId="2" fillId="0" borderId="40" xfId="0" applyNumberFormat="1" applyFont="1" applyFill="1" applyBorder="1" applyAlignment="1">
      <alignment horizontal="left" vertical="center"/>
    </xf>
    <xf numFmtId="173" fontId="2" fillId="0" borderId="41" xfId="0" applyNumberFormat="1" applyFont="1" applyFill="1" applyBorder="1" applyAlignment="1">
      <alignment horizontal="left" vertical="center"/>
    </xf>
    <xf numFmtId="173" fontId="3" fillId="4" borderId="15" xfId="0" applyNumberFormat="1" applyFont="1" applyFill="1" applyBorder="1" applyAlignment="1">
      <alignment horizontal="center"/>
    </xf>
    <xf numFmtId="173" fontId="5" fillId="3" borderId="15" xfId="0" applyNumberFormat="1" applyFont="1" applyFill="1" applyBorder="1" applyAlignment="1">
      <alignment horizontal="center"/>
    </xf>
    <xf numFmtId="173" fontId="5" fillId="3" borderId="10" xfId="0" applyNumberFormat="1" applyFont="1" applyFill="1" applyBorder="1" applyAlignment="1">
      <alignment horizontal="center"/>
    </xf>
    <xf numFmtId="179" fontId="5" fillId="0" borderId="15" xfId="0" applyNumberFormat="1" applyFont="1" applyFill="1" applyBorder="1" applyAlignment="1">
      <alignment horizontal="center"/>
    </xf>
    <xf numFmtId="179" fontId="3" fillId="0" borderId="15" xfId="0" applyNumberFormat="1" applyFont="1" applyFill="1" applyBorder="1" applyAlignment="1">
      <alignment horizontal="center"/>
    </xf>
    <xf numFmtId="179" fontId="3" fillId="3" borderId="15" xfId="0" applyNumberFormat="1" applyFont="1" applyFill="1" applyBorder="1" applyAlignment="1">
      <alignment horizontal="center"/>
    </xf>
    <xf numFmtId="179" fontId="3" fillId="4" borderId="15" xfId="0" applyNumberFormat="1" applyFont="1" applyFill="1" applyBorder="1" applyAlignment="1">
      <alignment horizontal="center"/>
    </xf>
    <xf numFmtId="179" fontId="3" fillId="0" borderId="42" xfId="0" applyNumberFormat="1" applyFont="1" applyFill="1" applyBorder="1" applyAlignment="1">
      <alignment horizontal="center"/>
    </xf>
    <xf numFmtId="179" fontId="0" fillId="0" borderId="43" xfId="0" applyNumberFormat="1" applyBorder="1" applyAlignment="1">
      <alignment horizontal="left"/>
    </xf>
    <xf numFmtId="179" fontId="0" fillId="0" borderId="44" xfId="0" applyNumberFormat="1" applyBorder="1" applyAlignment="1">
      <alignment horizontal="center"/>
    </xf>
    <xf numFmtId="179" fontId="0" fillId="0" borderId="15" xfId="0" applyNumberFormat="1" applyBorder="1" applyAlignment="1">
      <alignment horizontal="center"/>
    </xf>
    <xf numFmtId="179" fontId="0" fillId="0" borderId="45" xfId="0" applyNumberFormat="1" applyBorder="1" applyAlignment="1">
      <alignment horizontal="center"/>
    </xf>
    <xf numFmtId="179" fontId="0" fillId="0" borderId="46" xfId="0" applyNumberFormat="1" applyBorder="1" applyAlignment="1">
      <alignment horizontal="center"/>
    </xf>
    <xf numFmtId="179" fontId="0" fillId="0" borderId="43" xfId="0" applyNumberFormat="1" applyBorder="1" applyAlignment="1">
      <alignment horizontal="center"/>
    </xf>
    <xf numFmtId="179" fontId="0" fillId="0" borderId="42" xfId="0" applyNumberFormat="1" applyBorder="1" applyAlignment="1">
      <alignment horizontal="center"/>
    </xf>
    <xf numFmtId="179" fontId="0" fillId="0" borderId="47" xfId="0" applyNumberFormat="1" applyBorder="1" applyAlignment="1">
      <alignment horizontal="left"/>
    </xf>
    <xf numFmtId="179" fontId="0" fillId="0" borderId="20" xfId="0" applyNumberFormat="1" applyBorder="1" applyAlignment="1">
      <alignment horizontal="center"/>
    </xf>
    <xf numFmtId="179" fontId="0" fillId="0" borderId="48" xfId="0" applyNumberFormat="1" applyBorder="1" applyAlignment="1">
      <alignment horizontal="center"/>
    </xf>
    <xf numFmtId="179" fontId="0" fillId="0" borderId="49" xfId="0" applyNumberFormat="1" applyBorder="1" applyAlignment="1">
      <alignment horizontal="left"/>
    </xf>
    <xf numFmtId="179" fontId="0" fillId="0" borderId="14" xfId="0" applyNumberFormat="1" applyBorder="1" applyAlignment="1">
      <alignment horizontal="center"/>
    </xf>
    <xf numFmtId="179" fontId="5" fillId="0" borderId="14" xfId="0" applyNumberFormat="1" applyFont="1" applyFill="1" applyBorder="1" applyAlignment="1">
      <alignment horizontal="center"/>
    </xf>
    <xf numFmtId="179" fontId="3" fillId="0" borderId="14" xfId="0" applyNumberFormat="1" applyFont="1" applyFill="1" applyBorder="1" applyAlignment="1">
      <alignment horizontal="center"/>
    </xf>
    <xf numFmtId="179" fontId="3" fillId="3" borderId="14" xfId="0" applyNumberFormat="1" applyFont="1" applyFill="1" applyBorder="1" applyAlignment="1">
      <alignment horizontal="center"/>
    </xf>
    <xf numFmtId="179" fontId="3" fillId="0" borderId="50" xfId="0" applyNumberFormat="1" applyFont="1" applyFill="1" applyBorder="1" applyAlignment="1">
      <alignment horizontal="center"/>
    </xf>
    <xf numFmtId="179" fontId="0" fillId="0" borderId="49" xfId="0" applyNumberFormat="1" applyBorder="1" applyAlignment="1">
      <alignment horizontal="center"/>
    </xf>
    <xf numFmtId="179" fontId="0" fillId="0" borderId="50" xfId="0" applyNumberFormat="1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 horizontal="center"/>
    </xf>
    <xf numFmtId="179" fontId="5" fillId="0" borderId="55" xfId="0" applyNumberFormat="1" applyFont="1" applyFill="1" applyBorder="1" applyAlignment="1">
      <alignment horizontal="center"/>
    </xf>
    <xf numFmtId="179" fontId="5" fillId="0" borderId="56" xfId="0" applyNumberFormat="1" applyFont="1" applyFill="1" applyBorder="1" applyAlignment="1">
      <alignment horizontal="center"/>
    </xf>
    <xf numFmtId="0" fontId="0" fillId="0" borderId="57" xfId="0" applyBorder="1" applyAlignment="1">
      <alignment horizontal="center"/>
    </xf>
    <xf numFmtId="179" fontId="0" fillId="0" borderId="58" xfId="0" applyNumberFormat="1" applyBorder="1" applyAlignment="1">
      <alignment horizontal="center"/>
    </xf>
    <xf numFmtId="179" fontId="0" fillId="0" borderId="23" xfId="0" applyNumberFormat="1" applyBorder="1" applyAlignment="1">
      <alignment horizontal="center"/>
    </xf>
    <xf numFmtId="179" fontId="0" fillId="0" borderId="59" xfId="0" applyNumberFormat="1" applyBorder="1" applyAlignment="1">
      <alignment horizontal="center"/>
    </xf>
    <xf numFmtId="179" fontId="5" fillId="0" borderId="60" xfId="0" applyNumberFormat="1" applyFont="1" applyFill="1" applyBorder="1" applyAlignment="1">
      <alignment horizontal="center"/>
    </xf>
    <xf numFmtId="179" fontId="3" fillId="3" borderId="20" xfId="0" applyNumberFormat="1" applyFont="1" applyFill="1" applyBorder="1" applyAlignment="1">
      <alignment horizontal="center"/>
    </xf>
    <xf numFmtId="179" fontId="5" fillId="3" borderId="20" xfId="0" applyNumberFormat="1" applyFont="1" applyFill="1" applyBorder="1" applyAlignment="1">
      <alignment horizontal="center"/>
    </xf>
    <xf numFmtId="179" fontId="3" fillId="0" borderId="20" xfId="0" applyNumberFormat="1" applyFont="1" applyFill="1" applyBorder="1" applyAlignment="1">
      <alignment horizontal="center"/>
    </xf>
    <xf numFmtId="179" fontId="5" fillId="0" borderId="20" xfId="0" applyNumberFormat="1" applyFont="1" applyFill="1" applyBorder="1" applyAlignment="1">
      <alignment horizontal="center"/>
    </xf>
    <xf numFmtId="179" fontId="3" fillId="0" borderId="61" xfId="0" applyNumberFormat="1" applyFont="1" applyFill="1" applyBorder="1" applyAlignment="1">
      <alignment horizontal="center"/>
    </xf>
    <xf numFmtId="179" fontId="0" fillId="0" borderId="62" xfId="0" applyNumberFormat="1" applyBorder="1" applyAlignment="1">
      <alignment horizontal="center"/>
    </xf>
    <xf numFmtId="179" fontId="0" fillId="0" borderId="63" xfId="0" applyNumberFormat="1" applyBorder="1" applyAlignment="1">
      <alignment horizontal="center"/>
    </xf>
    <xf numFmtId="179" fontId="0" fillId="0" borderId="64" xfId="0" applyNumberFormat="1" applyBorder="1" applyAlignment="1">
      <alignment horizontal="center"/>
    </xf>
    <xf numFmtId="179" fontId="10" fillId="0" borderId="64" xfId="0" applyNumberFormat="1" applyFont="1" applyBorder="1" applyAlignment="1">
      <alignment horizontal="center"/>
    </xf>
    <xf numFmtId="179" fontId="0" fillId="0" borderId="65" xfId="0" applyNumberFormat="1" applyBorder="1" applyAlignment="1">
      <alignment horizontal="center"/>
    </xf>
    <xf numFmtId="179" fontId="11" fillId="0" borderId="66" xfId="0" applyNumberFormat="1" applyFont="1" applyBorder="1" applyAlignment="1">
      <alignment horizontal="center"/>
    </xf>
    <xf numFmtId="179" fontId="11" fillId="0" borderId="67" xfId="0" applyNumberFormat="1" applyFont="1" applyBorder="1" applyAlignment="1">
      <alignment horizontal="center"/>
    </xf>
    <xf numFmtId="2" fontId="11" fillId="0" borderId="67" xfId="0" applyNumberFormat="1" applyFont="1" applyBorder="1" applyAlignment="1">
      <alignment horizontal="center"/>
    </xf>
    <xf numFmtId="173" fontId="3" fillId="0" borderId="59" xfId="0" applyNumberFormat="1" applyFont="1" applyFill="1" applyBorder="1" applyAlignment="1">
      <alignment horizontal="center"/>
    </xf>
    <xf numFmtId="173" fontId="3" fillId="0" borderId="58" xfId="0" applyNumberFormat="1" applyFont="1" applyFill="1" applyBorder="1" applyAlignment="1">
      <alignment horizontal="center"/>
    </xf>
    <xf numFmtId="173" fontId="3" fillId="0" borderId="68" xfId="0" applyNumberFormat="1" applyFont="1" applyFill="1" applyBorder="1" applyAlignment="1">
      <alignment horizontal="center"/>
    </xf>
    <xf numFmtId="0" fontId="1" fillId="0" borderId="0" xfId="19">
      <alignment/>
      <protection/>
    </xf>
    <xf numFmtId="11" fontId="1" fillId="0" borderId="0" xfId="19" applyNumberFormat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esult_HCMQAP108_aper2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Lmag_hcmqap!$A$4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Lmag_hcmqap!$B$4:$F$4</c:f>
              <c:numCache/>
            </c:numRef>
          </c:val>
          <c:smooth val="0"/>
        </c:ser>
        <c:ser>
          <c:idx val="1"/>
          <c:order val="1"/>
          <c:tx>
            <c:strRef>
              <c:f>Lmag_hcmqap!$A$17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Lmag_hcmqap!$B$17:$F$17</c:f>
              <c:numCache/>
            </c:numRef>
          </c:val>
          <c:smooth val="0"/>
        </c:ser>
        <c:ser>
          <c:idx val="2"/>
          <c:order val="2"/>
          <c:tx>
            <c:strRef>
              <c:f>Lmag_hcmqap!$A$7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Lmag_hcmqap!$B$7:$F$7</c:f>
              <c:numCache/>
            </c:numRef>
          </c:val>
          <c:smooth val="0"/>
        </c:ser>
        <c:ser>
          <c:idx val="3"/>
          <c:order val="3"/>
          <c:tx>
            <c:strRef>
              <c:f>Lmag_hcmqap!$A$20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Lmag_hcmqap!$B$20:$F$20</c:f>
              <c:numCache/>
            </c:numRef>
          </c:val>
          <c:smooth val="0"/>
        </c:ser>
        <c:ser>
          <c:idx val="4"/>
          <c:order val="4"/>
          <c:tx>
            <c:strRef>
              <c:f>Lmag_hcmqap!$A$11</c:f>
              <c:strCache>
                <c:ptCount val="1"/>
                <c:pt idx="0">
                  <c:v>b10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Lmag_hcmqap!$B$11:$F$11</c:f>
              <c:numCache/>
            </c:numRef>
          </c:val>
          <c:smooth val="0"/>
        </c:ser>
        <c:ser>
          <c:idx val="5"/>
          <c:order val="5"/>
          <c:tx>
            <c:strRef>
              <c:f>Lmag_hcmqap!$A$24</c:f>
              <c:strCache>
                <c:ptCount val="1"/>
                <c:pt idx="0">
                  <c:v>a10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Lmag_hcmqap!$B$24:$F$24</c:f>
              <c:numCache/>
            </c:numRef>
          </c:val>
          <c:smooth val="0"/>
        </c:ser>
        <c:ser>
          <c:idx val="6"/>
          <c:order val="6"/>
          <c:tx>
            <c:strRef>
              <c:f>Lmag_hcmqap!$A$6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Lmag_hcmqap!$B$6:$F$6</c:f>
              <c:numCache/>
            </c:numRef>
          </c:val>
          <c:smooth val="0"/>
        </c:ser>
        <c:ser>
          <c:idx val="7"/>
          <c:order val="7"/>
          <c:tx>
            <c:strRef>
              <c:f>Lmag_hcmqap!$A$19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Lmag_hcmqap!$B$19:$F$19</c:f>
              <c:numCache/>
            </c:numRef>
          </c:val>
          <c:smooth val="0"/>
        </c:ser>
        <c:marker val="1"/>
        <c:axId val="13459543"/>
        <c:axId val="40756332"/>
      </c:lineChart>
      <c:catAx>
        <c:axId val="1345954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40756332"/>
        <c:crosses val="autoZero"/>
        <c:auto val="1"/>
        <c:lblOffset val="100"/>
        <c:noMultiLvlLbl val="0"/>
      </c:catAx>
      <c:valAx>
        <c:axId val="407563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/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crossAx val="13459543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36</xdr:row>
      <xdr:rowOff>28575</xdr:rowOff>
    </xdr:from>
    <xdr:to>
      <xdr:col>7</xdr:col>
      <xdr:colOff>19050</xdr:colOff>
      <xdr:row>56</xdr:row>
      <xdr:rowOff>47625</xdr:rowOff>
    </xdr:to>
    <xdr:graphicFrame>
      <xdr:nvGraphicFramePr>
        <xdr:cNvPr id="1" name="Chart 1"/>
        <xdr:cNvGraphicFramePr/>
      </xdr:nvGraphicFramePr>
      <xdr:xfrm>
        <a:off x="171450" y="6010275"/>
        <a:ext cx="538162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N17"/>
  <sheetViews>
    <sheetView workbookViewId="0" topLeftCell="A1">
      <selection activeCell="A6" sqref="A6:IV6"/>
    </sheetView>
  </sheetViews>
  <sheetFormatPr defaultColWidth="9.33203125" defaultRowHeight="15" customHeight="1"/>
  <cols>
    <col min="1" max="1" width="8.33203125" style="43" customWidth="1"/>
    <col min="2" max="2" width="5.5" style="19" customWidth="1"/>
    <col min="3" max="3" width="5.66015625" style="19" customWidth="1"/>
    <col min="4" max="4" width="8.16015625" style="13" customWidth="1"/>
    <col min="5" max="5" width="4.66015625" style="13" customWidth="1"/>
    <col min="6" max="6" width="8.33203125" style="10" customWidth="1"/>
    <col min="7" max="7" width="8" style="10" customWidth="1"/>
    <col min="8" max="8" width="6.16015625" style="13" customWidth="1"/>
    <col min="9" max="9" width="10.83203125" style="9" customWidth="1"/>
    <col min="10" max="10" width="11" style="11" customWidth="1"/>
    <col min="11" max="11" width="35.5" style="3" customWidth="1"/>
    <col min="12" max="13" width="8.83203125" style="3" customWidth="1"/>
    <col min="14" max="14" width="5" style="3" customWidth="1"/>
    <col min="15" max="16384" width="12" style="1" customWidth="1"/>
  </cols>
  <sheetData>
    <row r="1" spans="1:14" s="5" customFormat="1" ht="29.25" customHeight="1" thickBot="1">
      <c r="A1" s="39" t="s">
        <v>0</v>
      </c>
      <c r="B1" s="18" t="s">
        <v>1</v>
      </c>
      <c r="C1" s="18" t="s">
        <v>2</v>
      </c>
      <c r="D1" s="14" t="s">
        <v>3</v>
      </c>
      <c r="E1" s="14" t="s">
        <v>4</v>
      </c>
      <c r="F1" s="21" t="s">
        <v>10</v>
      </c>
      <c r="G1" s="21" t="s">
        <v>11</v>
      </c>
      <c r="H1" s="14" t="s">
        <v>5</v>
      </c>
      <c r="I1" s="8" t="s">
        <v>6</v>
      </c>
      <c r="J1" s="16" t="s">
        <v>7</v>
      </c>
      <c r="K1" s="6" t="s">
        <v>8</v>
      </c>
      <c r="L1" s="6"/>
      <c r="M1" s="12" t="s">
        <v>9</v>
      </c>
      <c r="N1" s="7">
        <v>6</v>
      </c>
    </row>
    <row r="2" spans="1:14" s="29" customFormat="1" ht="15" customHeight="1" thickTop="1">
      <c r="A2" s="40" t="s">
        <v>69</v>
      </c>
      <c r="B2" s="24">
        <v>80</v>
      </c>
      <c r="C2" s="24" t="s">
        <v>70</v>
      </c>
      <c r="D2" s="25">
        <v>5</v>
      </c>
      <c r="E2" s="25">
        <v>1</v>
      </c>
      <c r="F2" s="26"/>
      <c r="G2" s="26" t="s">
        <v>68</v>
      </c>
      <c r="H2" s="25">
        <v>2392</v>
      </c>
      <c r="I2" s="27" t="s">
        <v>71</v>
      </c>
      <c r="J2" s="30"/>
      <c r="K2" s="28"/>
      <c r="L2" s="28"/>
      <c r="M2" s="28"/>
      <c r="N2" s="28"/>
    </row>
    <row r="3" spans="1:14" s="29" customFormat="1" ht="15" customHeight="1">
      <c r="A3" s="40" t="s">
        <v>69</v>
      </c>
      <c r="B3" s="24">
        <v>80</v>
      </c>
      <c r="C3" s="24" t="s">
        <v>70</v>
      </c>
      <c r="D3" s="25">
        <v>5</v>
      </c>
      <c r="E3" s="25">
        <v>2</v>
      </c>
      <c r="F3" s="26"/>
      <c r="G3" s="26" t="s">
        <v>73</v>
      </c>
      <c r="H3" s="25">
        <v>2392</v>
      </c>
      <c r="I3" s="27" t="s">
        <v>74</v>
      </c>
      <c r="J3" s="30"/>
      <c r="K3" s="28"/>
      <c r="L3" s="28"/>
      <c r="M3" s="28"/>
      <c r="N3" s="28"/>
    </row>
    <row r="4" spans="1:14" s="29" customFormat="1" ht="15" customHeight="1">
      <c r="A4" s="40" t="s">
        <v>69</v>
      </c>
      <c r="B4" s="24">
        <v>80</v>
      </c>
      <c r="C4" s="24" t="s">
        <v>70</v>
      </c>
      <c r="D4" s="25">
        <v>5</v>
      </c>
      <c r="E4" s="25">
        <v>3</v>
      </c>
      <c r="F4" s="26"/>
      <c r="G4" s="26" t="s">
        <v>76</v>
      </c>
      <c r="H4" s="25">
        <v>2392</v>
      </c>
      <c r="I4" s="27" t="s">
        <v>77</v>
      </c>
      <c r="J4" s="30"/>
      <c r="K4" s="31"/>
      <c r="L4" s="31"/>
      <c r="M4" s="31"/>
      <c r="N4" s="28"/>
    </row>
    <row r="5" spans="1:14" s="29" customFormat="1" ht="15" customHeight="1">
      <c r="A5" s="40" t="s">
        <v>69</v>
      </c>
      <c r="B5" s="24">
        <v>80</v>
      </c>
      <c r="C5" s="24" t="s">
        <v>70</v>
      </c>
      <c r="D5" s="25">
        <v>5</v>
      </c>
      <c r="E5" s="25">
        <v>4</v>
      </c>
      <c r="F5" s="26"/>
      <c r="G5" s="26" t="s">
        <v>78</v>
      </c>
      <c r="H5" s="25">
        <v>2392</v>
      </c>
      <c r="I5" s="27" t="s">
        <v>79</v>
      </c>
      <c r="J5" s="30"/>
      <c r="K5" s="28"/>
      <c r="L5" s="28"/>
      <c r="M5" s="28"/>
      <c r="N5" s="28"/>
    </row>
    <row r="6" spans="1:14" s="29" customFormat="1" ht="15" customHeight="1">
      <c r="A6" s="40" t="s">
        <v>69</v>
      </c>
      <c r="B6" s="24">
        <v>80</v>
      </c>
      <c r="C6" s="24" t="s">
        <v>70</v>
      </c>
      <c r="D6" s="25">
        <v>5</v>
      </c>
      <c r="E6" s="25">
        <v>5</v>
      </c>
      <c r="F6" s="26"/>
      <c r="G6" s="26" t="s">
        <v>81</v>
      </c>
      <c r="H6" s="25">
        <v>2392</v>
      </c>
      <c r="I6" s="27" t="s">
        <v>82</v>
      </c>
      <c r="J6" s="30"/>
      <c r="K6" s="28"/>
      <c r="L6" s="28"/>
      <c r="M6" s="28"/>
      <c r="N6" s="28"/>
    </row>
    <row r="7" spans="1:14" s="29" customFormat="1" ht="15" customHeight="1">
      <c r="A7" s="40" t="s">
        <v>83</v>
      </c>
      <c r="B7" s="24"/>
      <c r="C7" s="24"/>
      <c r="D7" s="25"/>
      <c r="E7" s="25"/>
      <c r="F7" s="26"/>
      <c r="G7" s="26"/>
      <c r="H7" s="25"/>
      <c r="I7" s="27"/>
      <c r="J7" s="30"/>
      <c r="K7" s="28"/>
      <c r="L7" s="28"/>
      <c r="M7" s="28"/>
      <c r="N7" s="28"/>
    </row>
    <row r="8" spans="1:14" s="29" customFormat="1" ht="15" customHeight="1">
      <c r="A8" s="40"/>
      <c r="B8" s="24"/>
      <c r="C8" s="24"/>
      <c r="D8" s="25"/>
      <c r="E8" s="25"/>
      <c r="F8" s="26"/>
      <c r="G8" s="26"/>
      <c r="H8" s="25"/>
      <c r="I8" s="27"/>
      <c r="J8" s="30"/>
      <c r="K8" s="28"/>
      <c r="L8" s="28"/>
      <c r="M8" s="28"/>
      <c r="N8" s="28"/>
    </row>
    <row r="9" spans="1:14" s="29" customFormat="1" ht="15" customHeight="1">
      <c r="A9" s="40"/>
      <c r="B9" s="24"/>
      <c r="C9" s="24"/>
      <c r="D9" s="25"/>
      <c r="E9" s="25"/>
      <c r="F9" s="26"/>
      <c r="G9" s="26"/>
      <c r="H9" s="25"/>
      <c r="I9" s="27"/>
      <c r="J9" s="30"/>
      <c r="K9" s="28"/>
      <c r="L9" s="28"/>
      <c r="M9" s="28"/>
      <c r="N9" s="28"/>
    </row>
    <row r="10" spans="1:14" s="29" customFormat="1" ht="15" customHeight="1">
      <c r="A10" s="40"/>
      <c r="B10" s="24"/>
      <c r="C10" s="24"/>
      <c r="D10" s="25"/>
      <c r="E10" s="25"/>
      <c r="F10" s="26"/>
      <c r="G10" s="26"/>
      <c r="H10" s="25"/>
      <c r="I10" s="27"/>
      <c r="J10" s="30"/>
      <c r="K10" s="28"/>
      <c r="L10" s="28"/>
      <c r="M10" s="28"/>
      <c r="N10" s="28"/>
    </row>
    <row r="11" spans="1:14" s="29" customFormat="1" ht="18" customHeight="1">
      <c r="A11" s="41"/>
      <c r="B11" s="24"/>
      <c r="C11" s="24"/>
      <c r="D11" s="25"/>
      <c r="E11" s="33"/>
      <c r="F11" s="34"/>
      <c r="G11" s="44"/>
      <c r="H11" s="33"/>
      <c r="I11" s="35"/>
      <c r="J11" s="36"/>
      <c r="K11" s="37"/>
      <c r="L11" s="37"/>
      <c r="M11" s="28"/>
      <c r="N11" s="28"/>
    </row>
    <row r="12" spans="1:14" s="29" customFormat="1" ht="18" customHeight="1">
      <c r="A12" s="40"/>
      <c r="B12" s="24"/>
      <c r="C12" s="24"/>
      <c r="D12" s="38"/>
      <c r="E12" s="33"/>
      <c r="F12" s="34"/>
      <c r="G12" s="34"/>
      <c r="H12" s="33"/>
      <c r="I12" s="35"/>
      <c r="J12" s="36"/>
      <c r="K12" s="37"/>
      <c r="L12" s="37"/>
      <c r="M12" s="28"/>
      <c r="N12" s="28"/>
    </row>
    <row r="13" spans="1:14" s="29" customFormat="1" ht="18" customHeight="1">
      <c r="A13" s="40"/>
      <c r="B13" s="24"/>
      <c r="C13" s="24"/>
      <c r="D13" s="25"/>
      <c r="E13" s="33"/>
      <c r="F13" s="34"/>
      <c r="G13" s="34"/>
      <c r="H13" s="33"/>
      <c r="I13" s="35"/>
      <c r="J13" s="36"/>
      <c r="K13" s="37"/>
      <c r="L13" s="37"/>
      <c r="M13" s="28"/>
      <c r="N13" s="28"/>
    </row>
    <row r="14" spans="1:14" s="29" customFormat="1" ht="15" customHeight="1">
      <c r="A14" s="40"/>
      <c r="B14" s="24"/>
      <c r="C14" s="24"/>
      <c r="D14" s="25"/>
      <c r="E14" s="25"/>
      <c r="F14" s="26"/>
      <c r="G14" s="26"/>
      <c r="H14" s="25"/>
      <c r="I14" s="27"/>
      <c r="J14" s="30"/>
      <c r="K14" s="31"/>
      <c r="L14" s="28"/>
      <c r="M14" s="28"/>
      <c r="N14" s="28"/>
    </row>
    <row r="15" spans="1:14" s="29" customFormat="1" ht="15" customHeight="1">
      <c r="A15" s="40"/>
      <c r="B15" s="24"/>
      <c r="C15" s="24"/>
      <c r="D15" s="25"/>
      <c r="E15" s="25"/>
      <c r="F15" s="26"/>
      <c r="G15" s="26"/>
      <c r="H15" s="25"/>
      <c r="I15" s="28"/>
      <c r="J15" s="30"/>
      <c r="K15" s="31"/>
      <c r="L15" s="28"/>
      <c r="M15" s="28"/>
      <c r="N15" s="28"/>
    </row>
    <row r="16" spans="1:14" s="2" customFormat="1" ht="18" customHeight="1">
      <c r="A16" s="42"/>
      <c r="B16" s="20"/>
      <c r="C16" s="20"/>
      <c r="D16" s="15"/>
      <c r="E16" s="15"/>
      <c r="F16" s="22"/>
      <c r="G16" s="22"/>
      <c r="H16" s="15"/>
      <c r="I16" s="23"/>
      <c r="J16" s="17"/>
      <c r="K16"/>
      <c r="L16" s="4"/>
      <c r="M16" s="4"/>
      <c r="N16" s="4"/>
    </row>
    <row r="17" spans="10:14" ht="15" customHeight="1">
      <c r="J17" s="32"/>
      <c r="M17"/>
      <c r="N17"/>
    </row>
  </sheetData>
  <printOptions/>
  <pageMargins left="0.7086614173228347" right="0.7086614173228347" top="0.7874015748031497" bottom="0.7874015748031497" header="0.5118110236220472" footer="0.5118110236220472"/>
  <pageSetup horizontalDpi="600" verticalDpi="600" orientation="landscape" paperSize="9" r:id="rId1"/>
  <headerFooter alignWithMargins="0">
    <oddHeader>&amp;C&amp;F : &amp;A&amp;RFichier d'origine: 43271612res</oddHeader>
    <oddFooter>&amp;L&amp;"Times New Roman,bold"CEA/DSM/DAPNIA/STCM &amp;C&amp;D&amp;RLHCQ2 - Mesures Magnétiques à Chaud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5" t="s">
        <v>12</v>
      </c>
      <c r="B1" s="46">
        <v>91</v>
      </c>
      <c r="D1" s="47" t="s">
        <v>13</v>
      </c>
      <c r="E1" s="48"/>
      <c r="F1" s="48"/>
      <c r="G1" s="48"/>
      <c r="H1" s="48"/>
      <c r="I1" s="48"/>
      <c r="J1" s="48"/>
      <c r="K1" s="48"/>
      <c r="L1" s="48"/>
      <c r="M1" s="48"/>
      <c r="N1" s="49"/>
    </row>
    <row r="2" spans="1:14" ht="15" customHeight="1">
      <c r="A2" s="50" t="s">
        <v>14</v>
      </c>
      <c r="B2" s="51" t="s">
        <v>15</v>
      </c>
      <c r="D2" s="52" t="s">
        <v>56</v>
      </c>
      <c r="E2" s="53"/>
      <c r="F2" s="53"/>
      <c r="G2" s="53"/>
      <c r="H2" s="53"/>
      <c r="I2" s="53"/>
      <c r="J2" s="54"/>
      <c r="K2" s="55">
        <v>4.2107223E-05</v>
      </c>
      <c r="L2" s="55">
        <v>1.8180833101308787E-07</v>
      </c>
      <c r="M2" s="55">
        <v>9.942497300000002E-05</v>
      </c>
      <c r="N2" s="56">
        <v>1.8582873105219692E-07</v>
      </c>
    </row>
    <row r="3" spans="1:14" ht="15" customHeight="1">
      <c r="A3" s="57" t="s">
        <v>16</v>
      </c>
      <c r="B3" s="58">
        <v>2</v>
      </c>
      <c r="D3" s="52" t="s">
        <v>57</v>
      </c>
      <c r="E3" s="53"/>
      <c r="F3" s="53"/>
      <c r="G3" s="53"/>
      <c r="H3" s="53"/>
      <c r="I3" s="53"/>
      <c r="J3" s="54"/>
      <c r="K3" s="55">
        <v>-3.1043197E-05</v>
      </c>
      <c r="L3" s="55">
        <v>1.1859277729402668E-07</v>
      </c>
      <c r="M3" s="55">
        <v>1.3967327E-05</v>
      </c>
      <c r="N3" s="56">
        <v>1.2430378387626687E-07</v>
      </c>
    </row>
    <row r="4" spans="1:14" ht="15" customHeight="1">
      <c r="A4" s="57" t="s">
        <v>17</v>
      </c>
      <c r="B4" s="58">
        <v>2</v>
      </c>
      <c r="D4" s="52" t="s">
        <v>58</v>
      </c>
      <c r="E4" s="53"/>
      <c r="F4" s="53"/>
      <c r="G4" s="53"/>
      <c r="H4" s="53"/>
      <c r="I4" s="53"/>
      <c r="J4" s="54"/>
      <c r="K4" s="55">
        <v>-0.0022606350581814197</v>
      </c>
      <c r="L4" s="55">
        <v>-1.0456228659896094E-06</v>
      </c>
      <c r="M4" s="55">
        <v>6.403094152639051E-08</v>
      </c>
      <c r="N4" s="56">
        <v>0.23126748999999996</v>
      </c>
    </row>
    <row r="5" spans="1:14" ht="15" customHeight="1" thickBot="1">
      <c r="A5" t="s">
        <v>18</v>
      </c>
      <c r="B5" s="59">
        <v>37909.306979166664</v>
      </c>
      <c r="D5" s="60"/>
      <c r="E5" s="61" t="s">
        <v>59</v>
      </c>
      <c r="F5" s="62"/>
      <c r="G5" s="62"/>
      <c r="H5" s="62"/>
      <c r="I5" s="62"/>
      <c r="J5" s="62"/>
      <c r="K5" s="62"/>
      <c r="L5" s="62"/>
      <c r="M5" s="62"/>
      <c r="N5" s="63"/>
    </row>
    <row r="6" spans="1:14" ht="15" customHeight="1" thickTop="1">
      <c r="A6" s="57" t="s">
        <v>19</v>
      </c>
      <c r="B6" s="58">
        <v>2392</v>
      </c>
      <c r="D6" s="64"/>
      <c r="E6" s="65" t="s">
        <v>20</v>
      </c>
      <c r="F6" s="66"/>
      <c r="G6" s="67"/>
      <c r="H6" s="68" t="s">
        <v>21</v>
      </c>
      <c r="I6" s="69"/>
      <c r="J6" s="66"/>
      <c r="K6" s="70" t="s">
        <v>60</v>
      </c>
      <c r="L6" s="53"/>
      <c r="M6" s="53"/>
      <c r="N6" s="71"/>
    </row>
    <row r="7" spans="1:14" ht="15" customHeight="1" thickBot="1">
      <c r="A7" s="57" t="s">
        <v>22</v>
      </c>
      <c r="B7" s="72" t="s">
        <v>23</v>
      </c>
      <c r="D7" s="73" t="s">
        <v>61</v>
      </c>
      <c r="E7" s="74" t="s">
        <v>62</v>
      </c>
      <c r="F7" s="75" t="s">
        <v>63</v>
      </c>
      <c r="G7" s="74" t="s">
        <v>64</v>
      </c>
      <c r="H7" s="76"/>
      <c r="I7" s="168" t="s">
        <v>24</v>
      </c>
      <c r="J7" s="169"/>
      <c r="K7" s="168" t="s">
        <v>25</v>
      </c>
      <c r="L7" s="169"/>
      <c r="M7" s="168" t="s">
        <v>26</v>
      </c>
      <c r="N7" s="170"/>
    </row>
    <row r="8" spans="1:14" ht="15" customHeight="1">
      <c r="A8" s="57" t="s">
        <v>27</v>
      </c>
      <c r="B8" s="72" t="s">
        <v>28</v>
      </c>
      <c r="D8" s="77">
        <v>1.9343727000000002</v>
      </c>
      <c r="E8" s="78">
        <v>0.026589333907786054</v>
      </c>
      <c r="F8" s="78">
        <v>3.4152332999999997</v>
      </c>
      <c r="G8" s="78">
        <v>0.024768134523245503</v>
      </c>
      <c r="H8" s="79">
        <v>3</v>
      </c>
      <c r="I8" s="80">
        <v>0</v>
      </c>
      <c r="J8" s="80">
        <v>0</v>
      </c>
      <c r="K8" s="80">
        <v>2</v>
      </c>
      <c r="L8" s="80">
        <v>2</v>
      </c>
      <c r="M8" s="80">
        <v>1</v>
      </c>
      <c r="N8" s="81">
        <v>1</v>
      </c>
    </row>
    <row r="9" spans="1:14" ht="15" customHeight="1">
      <c r="A9" s="57" t="s">
        <v>29</v>
      </c>
      <c r="B9" s="82">
        <v>0.017</v>
      </c>
      <c r="D9" s="83">
        <v>0.057511636</v>
      </c>
      <c r="E9" s="80">
        <v>0.06733975694095327</v>
      </c>
      <c r="F9" s="80">
        <v>1.4681186</v>
      </c>
      <c r="G9" s="80">
        <v>0.05293994528746875</v>
      </c>
      <c r="H9" s="79">
        <v>4</v>
      </c>
      <c r="I9" s="80">
        <v>0</v>
      </c>
      <c r="J9" s="80">
        <v>0</v>
      </c>
      <c r="K9" s="80">
        <v>0.5</v>
      </c>
      <c r="L9" s="80">
        <v>0.5</v>
      </c>
      <c r="M9" s="80">
        <v>0.7</v>
      </c>
      <c r="N9" s="81">
        <v>0.7</v>
      </c>
    </row>
    <row r="10" spans="1:14" ht="15" customHeight="1">
      <c r="A10" s="57" t="s">
        <v>30</v>
      </c>
      <c r="B10" s="72" t="s">
        <v>31</v>
      </c>
      <c r="D10" s="83">
        <v>-0.42880904</v>
      </c>
      <c r="E10" s="80">
        <v>0.010360921791154259</v>
      </c>
      <c r="F10" s="80">
        <v>-1.2267433</v>
      </c>
      <c r="G10" s="80">
        <v>0.013207361468512651</v>
      </c>
      <c r="H10" s="79">
        <v>5</v>
      </c>
      <c r="I10" s="80">
        <v>0</v>
      </c>
      <c r="J10" s="80">
        <v>0</v>
      </c>
      <c r="K10" s="80">
        <v>0.5</v>
      </c>
      <c r="L10" s="80">
        <v>0.5</v>
      </c>
      <c r="M10" s="80">
        <v>0.6</v>
      </c>
      <c r="N10" s="81">
        <v>0.6</v>
      </c>
    </row>
    <row r="11" spans="1:14" ht="15" customHeight="1">
      <c r="A11" s="57" t="s">
        <v>32</v>
      </c>
      <c r="B11" s="58">
        <v>1</v>
      </c>
      <c r="D11" s="77">
        <v>3.5653288000000005</v>
      </c>
      <c r="E11" s="78">
        <v>0.007771107176922828</v>
      </c>
      <c r="F11" s="78">
        <v>0.7276819999999999</v>
      </c>
      <c r="G11" s="78">
        <v>0.011781658009428167</v>
      </c>
      <c r="H11" s="79">
        <v>6</v>
      </c>
      <c r="I11" s="80">
        <v>3.925</v>
      </c>
      <c r="J11" s="80">
        <v>0</v>
      </c>
      <c r="K11" s="80">
        <v>1</v>
      </c>
      <c r="L11" s="80">
        <v>0.3</v>
      </c>
      <c r="M11" s="80">
        <v>0.5</v>
      </c>
      <c r="N11" s="81">
        <v>0.5</v>
      </c>
    </row>
    <row r="12" spans="1:14" ht="15" customHeight="1">
      <c r="A12" s="57" t="s">
        <v>33</v>
      </c>
      <c r="B12" s="84">
        <v>0.7499</v>
      </c>
      <c r="D12" s="83">
        <v>-0.25523198</v>
      </c>
      <c r="E12" s="80">
        <v>0.0059269064438873574</v>
      </c>
      <c r="F12" s="80">
        <v>0.058680896</v>
      </c>
      <c r="G12" s="80">
        <v>0.008529774076824901</v>
      </c>
      <c r="H12" s="79">
        <v>7</v>
      </c>
      <c r="I12" s="80">
        <v>0</v>
      </c>
      <c r="J12" s="80">
        <v>0</v>
      </c>
      <c r="K12" s="80">
        <v>0.15</v>
      </c>
      <c r="L12" s="80">
        <v>0.15</v>
      </c>
      <c r="M12" s="80">
        <v>0.15</v>
      </c>
      <c r="N12" s="81">
        <v>0.15</v>
      </c>
    </row>
    <row r="13" spans="1:14" ht="15" customHeight="1">
      <c r="A13" s="57" t="s">
        <v>34</v>
      </c>
      <c r="B13" s="82">
        <v>18.411255</v>
      </c>
      <c r="D13" s="83">
        <v>0.060700313000000006</v>
      </c>
      <c r="E13" s="80">
        <v>0.004909751205741054</v>
      </c>
      <c r="F13" s="80">
        <v>-0.018339071999999994</v>
      </c>
      <c r="G13" s="80">
        <v>0.005233710847738537</v>
      </c>
      <c r="H13" s="79">
        <v>8</v>
      </c>
      <c r="I13" s="80">
        <v>0</v>
      </c>
      <c r="J13" s="80">
        <v>0</v>
      </c>
      <c r="K13" s="80">
        <v>0.1</v>
      </c>
      <c r="L13" s="80">
        <v>0.1</v>
      </c>
      <c r="M13" s="80">
        <v>0.1</v>
      </c>
      <c r="N13" s="81">
        <v>0.1</v>
      </c>
    </row>
    <row r="14" spans="1:14" ht="15" customHeight="1">
      <c r="A14" s="50" t="s">
        <v>35</v>
      </c>
      <c r="B14" s="85">
        <v>12.5</v>
      </c>
      <c r="D14" s="83">
        <v>0.15969797000000002</v>
      </c>
      <c r="E14" s="80">
        <v>0.004630864973479024</v>
      </c>
      <c r="F14" s="80">
        <v>0.25137837</v>
      </c>
      <c r="G14" s="80">
        <v>0.007000729499244645</v>
      </c>
      <c r="H14" s="79">
        <v>9</v>
      </c>
      <c r="I14" s="80">
        <v>0</v>
      </c>
      <c r="J14" s="80">
        <v>0</v>
      </c>
      <c r="K14" s="80">
        <v>0.1</v>
      </c>
      <c r="L14" s="80">
        <v>0.1</v>
      </c>
      <c r="M14" s="80">
        <v>0.1</v>
      </c>
      <c r="N14" s="81">
        <v>0.1</v>
      </c>
    </row>
    <row r="15" spans="1:14" ht="15" customHeight="1">
      <c r="A15" s="57" t="s">
        <v>36</v>
      </c>
      <c r="B15" s="82">
        <v>0</v>
      </c>
      <c r="D15" s="77">
        <v>-0.31139608</v>
      </c>
      <c r="E15" s="78">
        <v>0.004229895086832599</v>
      </c>
      <c r="F15" s="78">
        <v>0.09272936700000001</v>
      </c>
      <c r="G15" s="78">
        <v>0.004195892170842262</v>
      </c>
      <c r="H15" s="79">
        <v>10</v>
      </c>
      <c r="I15" s="80">
        <v>-0.26</v>
      </c>
      <c r="J15" s="80">
        <v>0</v>
      </c>
      <c r="K15" s="80">
        <v>0.2</v>
      </c>
      <c r="L15" s="80">
        <v>0.1</v>
      </c>
      <c r="M15" s="80">
        <v>0.3</v>
      </c>
      <c r="N15" s="81">
        <v>0.3</v>
      </c>
    </row>
    <row r="16" spans="1:14" ht="15" customHeight="1">
      <c r="A16" s="57" t="s">
        <v>37</v>
      </c>
      <c r="B16" s="82">
        <v>12.506</v>
      </c>
      <c r="D16" s="83">
        <v>-0.095494781</v>
      </c>
      <c r="E16" s="80">
        <v>0.003189379607937173</v>
      </c>
      <c r="F16" s="80">
        <v>-0.00999458</v>
      </c>
      <c r="G16" s="80">
        <v>0.0028704497433903993</v>
      </c>
      <c r="H16" s="79">
        <v>11</v>
      </c>
      <c r="I16" s="80">
        <v>0</v>
      </c>
      <c r="J16" s="80">
        <v>0</v>
      </c>
      <c r="K16" s="80">
        <v>0</v>
      </c>
      <c r="L16" s="80">
        <v>0</v>
      </c>
      <c r="M16" s="80">
        <v>0.05</v>
      </c>
      <c r="N16" s="81">
        <v>0.05</v>
      </c>
    </row>
    <row r="17" spans="1:14" ht="15" customHeight="1">
      <c r="A17" s="57" t="s">
        <v>38</v>
      </c>
      <c r="B17" s="82">
        <v>-0.010999999940395355</v>
      </c>
      <c r="D17" s="83">
        <v>0.08749433200000001</v>
      </c>
      <c r="E17" s="80">
        <v>0.0027579688020886025</v>
      </c>
      <c r="F17" s="80">
        <v>-0.11127984800000001</v>
      </c>
      <c r="G17" s="80">
        <v>0.0036350510422223886</v>
      </c>
      <c r="H17" s="79">
        <v>12</v>
      </c>
      <c r="I17" s="80">
        <v>0</v>
      </c>
      <c r="J17" s="80">
        <v>0</v>
      </c>
      <c r="K17" s="80">
        <v>0</v>
      </c>
      <c r="L17" s="80">
        <v>0</v>
      </c>
      <c r="M17" s="80">
        <v>0.05</v>
      </c>
      <c r="N17" s="81">
        <v>0.05</v>
      </c>
    </row>
    <row r="18" spans="1:14" ht="15" customHeight="1">
      <c r="A18" s="57" t="s">
        <v>39</v>
      </c>
      <c r="B18" s="82">
        <v>59.000999450683594</v>
      </c>
      <c r="D18" s="83">
        <v>0.075619185</v>
      </c>
      <c r="E18" s="80">
        <v>0.0015429798823541983</v>
      </c>
      <c r="F18" s="86">
        <v>0.15705251000000003</v>
      </c>
      <c r="G18" s="80">
        <v>0.003701313682923197</v>
      </c>
      <c r="H18" s="79">
        <v>13</v>
      </c>
      <c r="I18" s="80">
        <v>0</v>
      </c>
      <c r="J18" s="80">
        <v>0</v>
      </c>
      <c r="K18" s="80">
        <v>0</v>
      </c>
      <c r="L18" s="80">
        <v>0</v>
      </c>
      <c r="M18" s="80">
        <v>0.05</v>
      </c>
      <c r="N18" s="81">
        <v>0.05</v>
      </c>
    </row>
    <row r="19" spans="1:14" ht="15" customHeight="1">
      <c r="A19" s="57" t="s">
        <v>40</v>
      </c>
      <c r="B19" s="82">
        <v>-0.14499999582767487</v>
      </c>
      <c r="D19" s="87">
        <v>-0.20432827000000003</v>
      </c>
      <c r="E19" s="80">
        <v>0.002271646458762062</v>
      </c>
      <c r="F19" s="80">
        <v>0.0025230105999999998</v>
      </c>
      <c r="G19" s="80">
        <v>0.0022139879800441875</v>
      </c>
      <c r="H19" s="79">
        <v>14</v>
      </c>
      <c r="I19" s="80">
        <v>0</v>
      </c>
      <c r="J19" s="80">
        <v>0</v>
      </c>
      <c r="K19" s="80">
        <v>0</v>
      </c>
      <c r="L19" s="80">
        <v>0</v>
      </c>
      <c r="M19" s="80">
        <v>0.05</v>
      </c>
      <c r="N19" s="81">
        <v>0.05</v>
      </c>
    </row>
    <row r="20" spans="1:14" ht="15" customHeight="1" thickBot="1">
      <c r="A20" s="57" t="s">
        <v>41</v>
      </c>
      <c r="B20" s="88">
        <v>0.31632720000000003</v>
      </c>
      <c r="D20" s="89">
        <v>-0.001556329757</v>
      </c>
      <c r="E20" s="90">
        <v>0.0017325023310294952</v>
      </c>
      <c r="F20" s="90">
        <v>-0.00291778537</v>
      </c>
      <c r="G20" s="90">
        <v>0.00118071663567174</v>
      </c>
      <c r="H20" s="91">
        <v>15</v>
      </c>
      <c r="I20" s="90">
        <v>0</v>
      </c>
      <c r="J20" s="90">
        <v>0</v>
      </c>
      <c r="K20" s="90">
        <v>0</v>
      </c>
      <c r="L20" s="90">
        <v>0</v>
      </c>
      <c r="M20" s="90">
        <v>0.05</v>
      </c>
      <c r="N20" s="92">
        <v>0.05</v>
      </c>
    </row>
    <row r="21" spans="1:6" ht="15" customHeight="1">
      <c r="A21" s="57" t="s">
        <v>42</v>
      </c>
      <c r="B21" s="88">
        <v>0.7478032000000001</v>
      </c>
      <c r="F21" s="3" t="s">
        <v>65</v>
      </c>
    </row>
    <row r="22" spans="1:6" ht="15" customHeight="1">
      <c r="A22" s="57" t="s">
        <v>43</v>
      </c>
      <c r="B22" s="72" t="s">
        <v>44</v>
      </c>
      <c r="F22" s="3" t="s">
        <v>66</v>
      </c>
    </row>
    <row r="23" spans="1:2" ht="15" customHeight="1" thickBot="1">
      <c r="A23" s="93" t="s">
        <v>45</v>
      </c>
      <c r="B23" s="94">
        <v>15</v>
      </c>
    </row>
    <row r="24" spans="1:12" ht="18" customHeight="1" thickBot="1" thickTop="1">
      <c r="A24" s="95" t="s">
        <v>67</v>
      </c>
      <c r="B24" s="96">
        <v>0.013250662307939608</v>
      </c>
      <c r="E24" s="97"/>
      <c r="F24" s="98"/>
      <c r="G24" s="99" t="s">
        <v>46</v>
      </c>
      <c r="H24" s="98"/>
      <c r="I24" s="98"/>
      <c r="J24" s="98"/>
      <c r="K24" s="98"/>
      <c r="L24" s="100"/>
    </row>
    <row r="25" spans="1:12" ht="18" customHeight="1">
      <c r="A25" s="45" t="s">
        <v>47</v>
      </c>
      <c r="B25" s="46">
        <v>10</v>
      </c>
      <c r="E25" s="101" t="s">
        <v>48</v>
      </c>
      <c r="F25" s="102"/>
      <c r="G25" s="103"/>
      <c r="H25" s="104">
        <v>-2.2606352999999997</v>
      </c>
      <c r="I25" s="102" t="s">
        <v>49</v>
      </c>
      <c r="J25" s="103"/>
      <c r="K25" s="102"/>
      <c r="L25" s="105">
        <v>3.6388309311142013</v>
      </c>
    </row>
    <row r="26" spans="1:12" ht="18" customHeight="1" thickBot="1">
      <c r="A26" s="57" t="s">
        <v>50</v>
      </c>
      <c r="B26" s="58" t="s">
        <v>51</v>
      </c>
      <c r="E26" s="106" t="s">
        <v>52</v>
      </c>
      <c r="F26" s="107"/>
      <c r="G26" s="108"/>
      <c r="H26" s="109">
        <v>3.9249988835583354</v>
      </c>
      <c r="I26" s="107" t="s">
        <v>53</v>
      </c>
      <c r="J26" s="108"/>
      <c r="K26" s="107"/>
      <c r="L26" s="110">
        <v>0.32490960918936684</v>
      </c>
    </row>
    <row r="27" spans="1:2" ht="15" customHeight="1" thickBot="1" thickTop="1">
      <c r="A27" s="93" t="s">
        <v>54</v>
      </c>
      <c r="B27" s="94">
        <v>80</v>
      </c>
    </row>
    <row r="28" spans="1:14" s="2" customFormat="1" ht="18" customHeight="1" thickBot="1">
      <c r="A28" s="111" t="s">
        <v>55</v>
      </c>
      <c r="B28" s="112"/>
      <c r="C28" s="112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4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HCMQAP108_pos1ap2res</oddHeader>
    <oddFooter>&amp;L&amp;"Times New Roman,bold"CEA/DSM/DAPNIA/STCM &amp;C&amp;D&amp;RLHCQ2 - Mesures Magnétiques à Chaud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5" t="s">
        <v>12</v>
      </c>
      <c r="B1" s="46">
        <v>91</v>
      </c>
      <c r="D1" s="47" t="s">
        <v>13</v>
      </c>
      <c r="E1" s="48"/>
      <c r="F1" s="48"/>
      <c r="G1" s="48"/>
      <c r="H1" s="48"/>
      <c r="I1" s="48"/>
      <c r="J1" s="48"/>
      <c r="K1" s="48"/>
      <c r="L1" s="48"/>
      <c r="M1" s="48"/>
      <c r="N1" s="49"/>
    </row>
    <row r="2" spans="1:14" ht="15" customHeight="1">
      <c r="A2" s="50" t="s">
        <v>14</v>
      </c>
      <c r="B2" s="51" t="s">
        <v>15</v>
      </c>
      <c r="D2" s="52" t="s">
        <v>56</v>
      </c>
      <c r="E2" s="53"/>
      <c r="F2" s="53"/>
      <c r="G2" s="53"/>
      <c r="H2" s="53"/>
      <c r="I2" s="53"/>
      <c r="J2" s="54"/>
      <c r="K2" s="55">
        <v>-6.449793400000001E-05</v>
      </c>
      <c r="L2" s="55">
        <v>3.1360788174606286E-07</v>
      </c>
      <c r="M2" s="55">
        <v>0.000106583555</v>
      </c>
      <c r="N2" s="56">
        <v>2.7806784585774396E-07</v>
      </c>
    </row>
    <row r="3" spans="1:14" ht="15" customHeight="1">
      <c r="A3" s="57" t="s">
        <v>16</v>
      </c>
      <c r="B3" s="58">
        <v>2</v>
      </c>
      <c r="D3" s="52" t="s">
        <v>57</v>
      </c>
      <c r="E3" s="53"/>
      <c r="F3" s="53"/>
      <c r="G3" s="53"/>
      <c r="H3" s="53"/>
      <c r="I3" s="53"/>
      <c r="J3" s="54"/>
      <c r="K3" s="55">
        <v>-2.8624490000000003E-05</v>
      </c>
      <c r="L3" s="55">
        <v>1.6816123355215867E-07</v>
      </c>
      <c r="M3" s="55">
        <v>1.2397744999999998E-05</v>
      </c>
      <c r="N3" s="56">
        <v>2.9311568245318923E-07</v>
      </c>
    </row>
    <row r="4" spans="1:14" ht="15" customHeight="1">
      <c r="A4" s="57" t="s">
        <v>17</v>
      </c>
      <c r="B4" s="58">
        <v>2</v>
      </c>
      <c r="D4" s="52" t="s">
        <v>58</v>
      </c>
      <c r="E4" s="53"/>
      <c r="F4" s="53"/>
      <c r="G4" s="53"/>
      <c r="H4" s="53"/>
      <c r="I4" s="53"/>
      <c r="J4" s="54"/>
      <c r="K4" s="55">
        <v>-0.0037625014219359655</v>
      </c>
      <c r="L4" s="55">
        <v>-2.6422789471834442E-05</v>
      </c>
      <c r="M4" s="55">
        <v>6.02342370083972E-08</v>
      </c>
      <c r="N4" s="56">
        <v>3.5112750999999998</v>
      </c>
    </row>
    <row r="5" spans="1:14" ht="15" customHeight="1" thickBot="1">
      <c r="A5" t="s">
        <v>18</v>
      </c>
      <c r="B5" s="59">
        <v>37909.31166666667</v>
      </c>
      <c r="D5" s="60"/>
      <c r="E5" s="61" t="s">
        <v>72</v>
      </c>
      <c r="F5" s="62"/>
      <c r="G5" s="62"/>
      <c r="H5" s="62"/>
      <c r="I5" s="62"/>
      <c r="J5" s="62"/>
      <c r="K5" s="62"/>
      <c r="L5" s="62"/>
      <c r="M5" s="62"/>
      <c r="N5" s="63"/>
    </row>
    <row r="6" spans="1:14" ht="15" customHeight="1" thickTop="1">
      <c r="A6" s="57" t="s">
        <v>19</v>
      </c>
      <c r="B6" s="58">
        <v>2392</v>
      </c>
      <c r="D6" s="64"/>
      <c r="E6" s="65" t="s">
        <v>20</v>
      </c>
      <c r="F6" s="66"/>
      <c r="G6" s="67"/>
      <c r="H6" s="68" t="s">
        <v>21</v>
      </c>
      <c r="I6" s="69"/>
      <c r="J6" s="66"/>
      <c r="K6" s="70" t="s">
        <v>60</v>
      </c>
      <c r="L6" s="53"/>
      <c r="M6" s="53"/>
      <c r="N6" s="71"/>
    </row>
    <row r="7" spans="1:14" ht="15" customHeight="1" thickBot="1">
      <c r="A7" s="57" t="s">
        <v>22</v>
      </c>
      <c r="B7" s="72" t="s">
        <v>23</v>
      </c>
      <c r="D7" s="73" t="s">
        <v>61</v>
      </c>
      <c r="E7" s="74" t="s">
        <v>62</v>
      </c>
      <c r="F7" s="75" t="s">
        <v>63</v>
      </c>
      <c r="G7" s="74" t="s">
        <v>64</v>
      </c>
      <c r="H7" s="76"/>
      <c r="I7" s="168" t="s">
        <v>24</v>
      </c>
      <c r="J7" s="169"/>
      <c r="K7" s="168" t="s">
        <v>25</v>
      </c>
      <c r="L7" s="169"/>
      <c r="M7" s="168" t="s">
        <v>26</v>
      </c>
      <c r="N7" s="170"/>
    </row>
    <row r="8" spans="1:14" ht="15" customHeight="1">
      <c r="A8" s="57" t="s">
        <v>27</v>
      </c>
      <c r="B8" s="72" t="s">
        <v>28</v>
      </c>
      <c r="D8" s="77">
        <v>-0.69561864</v>
      </c>
      <c r="E8" s="78">
        <v>0.0142820731299209</v>
      </c>
      <c r="F8" s="78">
        <v>2.4845008</v>
      </c>
      <c r="G8" s="78">
        <v>0.0031434221097443836</v>
      </c>
      <c r="H8" s="79">
        <v>3</v>
      </c>
      <c r="I8" s="80">
        <v>0</v>
      </c>
      <c r="J8" s="80">
        <v>0</v>
      </c>
      <c r="K8" s="80">
        <v>2</v>
      </c>
      <c r="L8" s="80">
        <v>2</v>
      </c>
      <c r="M8" s="80">
        <v>1</v>
      </c>
      <c r="N8" s="81">
        <v>1</v>
      </c>
    </row>
    <row r="9" spans="1:14" ht="15" customHeight="1">
      <c r="A9" s="57" t="s">
        <v>29</v>
      </c>
      <c r="B9" s="82">
        <v>0.017</v>
      </c>
      <c r="D9" s="83">
        <v>-0.37362095999999995</v>
      </c>
      <c r="E9" s="80">
        <v>0.013004574519199705</v>
      </c>
      <c r="F9" s="86">
        <v>-3.7728480000000006</v>
      </c>
      <c r="G9" s="80">
        <v>0.02629629483783553</v>
      </c>
      <c r="H9" s="79">
        <v>4</v>
      </c>
      <c r="I9" s="80">
        <v>0</v>
      </c>
      <c r="J9" s="80">
        <v>0</v>
      </c>
      <c r="K9" s="80">
        <v>0.5</v>
      </c>
      <c r="L9" s="80">
        <v>0.5</v>
      </c>
      <c r="M9" s="80">
        <v>0.7</v>
      </c>
      <c r="N9" s="81">
        <v>0.7</v>
      </c>
    </row>
    <row r="10" spans="1:14" ht="15" customHeight="1">
      <c r="A10" s="57" t="s">
        <v>30</v>
      </c>
      <c r="B10" s="72" t="s">
        <v>31</v>
      </c>
      <c r="D10" s="83">
        <v>1.2053426999999999</v>
      </c>
      <c r="E10" s="80">
        <v>0.0071029197137823085</v>
      </c>
      <c r="F10" s="80">
        <v>0.2706034</v>
      </c>
      <c r="G10" s="80">
        <v>0.00782973084614069</v>
      </c>
      <c r="H10" s="79">
        <v>5</v>
      </c>
      <c r="I10" s="80">
        <v>0</v>
      </c>
      <c r="J10" s="80">
        <v>0</v>
      </c>
      <c r="K10" s="80">
        <v>0.5</v>
      </c>
      <c r="L10" s="80">
        <v>0.5</v>
      </c>
      <c r="M10" s="80">
        <v>0.6</v>
      </c>
      <c r="N10" s="81">
        <v>0.6</v>
      </c>
    </row>
    <row r="11" spans="1:14" ht="15" customHeight="1">
      <c r="A11" s="57" t="s">
        <v>32</v>
      </c>
      <c r="B11" s="58">
        <v>2</v>
      </c>
      <c r="D11" s="77">
        <v>3.2985591999999997</v>
      </c>
      <c r="E11" s="78">
        <v>0.005545297157169327</v>
      </c>
      <c r="F11" s="78">
        <v>0.49348292000000005</v>
      </c>
      <c r="G11" s="78">
        <v>0.006864170477236404</v>
      </c>
      <c r="H11" s="79">
        <v>6</v>
      </c>
      <c r="I11" s="80">
        <v>3.925</v>
      </c>
      <c r="J11" s="80">
        <v>0</v>
      </c>
      <c r="K11" s="80">
        <v>1</v>
      </c>
      <c r="L11" s="80">
        <v>0.3</v>
      </c>
      <c r="M11" s="80">
        <v>0.5</v>
      </c>
      <c r="N11" s="81">
        <v>0.5</v>
      </c>
    </row>
    <row r="12" spans="1:14" ht="15" customHeight="1">
      <c r="A12" s="57" t="s">
        <v>33</v>
      </c>
      <c r="B12" s="84">
        <v>0.7499</v>
      </c>
      <c r="D12" s="83">
        <v>0.176223943</v>
      </c>
      <c r="E12" s="80">
        <v>0.006186473709465015</v>
      </c>
      <c r="F12" s="80">
        <v>0.11203422</v>
      </c>
      <c r="G12" s="80">
        <v>0.00665573883406416</v>
      </c>
      <c r="H12" s="79">
        <v>7</v>
      </c>
      <c r="I12" s="80">
        <v>0</v>
      </c>
      <c r="J12" s="80">
        <v>0</v>
      </c>
      <c r="K12" s="80">
        <v>0.15</v>
      </c>
      <c r="L12" s="80">
        <v>0.15</v>
      </c>
      <c r="M12" s="80">
        <v>0.15</v>
      </c>
      <c r="N12" s="81">
        <v>0.15</v>
      </c>
    </row>
    <row r="13" spans="1:14" ht="15" customHeight="1">
      <c r="A13" s="57" t="s">
        <v>34</v>
      </c>
      <c r="B13" s="82">
        <v>18.62793</v>
      </c>
      <c r="D13" s="83">
        <v>-0.007498986999999999</v>
      </c>
      <c r="E13" s="80">
        <v>0.003719416061833633</v>
      </c>
      <c r="F13" s="80">
        <v>-0.03942254999999999</v>
      </c>
      <c r="G13" s="80">
        <v>0.003252809277071141</v>
      </c>
      <c r="H13" s="79">
        <v>8</v>
      </c>
      <c r="I13" s="80">
        <v>0</v>
      </c>
      <c r="J13" s="80">
        <v>0</v>
      </c>
      <c r="K13" s="80">
        <v>0.1</v>
      </c>
      <c r="L13" s="80">
        <v>0.1</v>
      </c>
      <c r="M13" s="80">
        <v>0.1</v>
      </c>
      <c r="N13" s="81">
        <v>0.1</v>
      </c>
    </row>
    <row r="14" spans="1:14" ht="15" customHeight="1">
      <c r="A14" s="50" t="s">
        <v>35</v>
      </c>
      <c r="B14" s="85">
        <v>12.5</v>
      </c>
      <c r="D14" s="83">
        <v>0.07317035499999999</v>
      </c>
      <c r="E14" s="80">
        <v>0.003541443194189357</v>
      </c>
      <c r="F14" s="80">
        <v>0.091129161</v>
      </c>
      <c r="G14" s="80">
        <v>0.0016088961772384384</v>
      </c>
      <c r="H14" s="79">
        <v>9</v>
      </c>
      <c r="I14" s="80">
        <v>0</v>
      </c>
      <c r="J14" s="80">
        <v>0</v>
      </c>
      <c r="K14" s="80">
        <v>0.1</v>
      </c>
      <c r="L14" s="80">
        <v>0.1</v>
      </c>
      <c r="M14" s="80">
        <v>0.1</v>
      </c>
      <c r="N14" s="81">
        <v>0.1</v>
      </c>
    </row>
    <row r="15" spans="1:14" ht="15" customHeight="1">
      <c r="A15" s="57" t="s">
        <v>36</v>
      </c>
      <c r="B15" s="82">
        <v>0</v>
      </c>
      <c r="D15" s="77">
        <v>-0.035982617</v>
      </c>
      <c r="E15" s="78">
        <v>0.001972482743155443</v>
      </c>
      <c r="F15" s="78">
        <v>0.08958055599999999</v>
      </c>
      <c r="G15" s="78">
        <v>0.0008267225983215235</v>
      </c>
      <c r="H15" s="79">
        <v>10</v>
      </c>
      <c r="I15" s="80">
        <v>-0.26</v>
      </c>
      <c r="J15" s="80">
        <v>0</v>
      </c>
      <c r="K15" s="80">
        <v>0.2</v>
      </c>
      <c r="L15" s="80">
        <v>0.1</v>
      </c>
      <c r="M15" s="80">
        <v>0.3</v>
      </c>
      <c r="N15" s="81">
        <v>0.3</v>
      </c>
    </row>
    <row r="16" spans="1:14" ht="15" customHeight="1">
      <c r="A16" s="57" t="s">
        <v>37</v>
      </c>
      <c r="B16" s="82">
        <v>12.506</v>
      </c>
      <c r="D16" s="83">
        <v>0.077222557</v>
      </c>
      <c r="E16" s="80">
        <v>0.001926471069844078</v>
      </c>
      <c r="F16" s="80">
        <v>0.018033797400000003</v>
      </c>
      <c r="G16" s="80">
        <v>0.0030410652477796314</v>
      </c>
      <c r="H16" s="79">
        <v>11</v>
      </c>
      <c r="I16" s="80">
        <v>0</v>
      </c>
      <c r="J16" s="80">
        <v>0</v>
      </c>
      <c r="K16" s="80">
        <v>0</v>
      </c>
      <c r="L16" s="80">
        <v>0</v>
      </c>
      <c r="M16" s="80">
        <v>0.05</v>
      </c>
      <c r="N16" s="81">
        <v>0.05</v>
      </c>
    </row>
    <row r="17" spans="1:14" ht="15" customHeight="1">
      <c r="A17" s="57" t="s">
        <v>38</v>
      </c>
      <c r="B17" s="82">
        <v>-0.061000000685453415</v>
      </c>
      <c r="D17" s="83">
        <v>0.030053530000000002</v>
      </c>
      <c r="E17" s="80">
        <v>0.001294288365106467</v>
      </c>
      <c r="F17" s="80">
        <v>0.07490894304</v>
      </c>
      <c r="G17" s="80">
        <v>0.003033097139319001</v>
      </c>
      <c r="H17" s="79">
        <v>12</v>
      </c>
      <c r="I17" s="80">
        <v>0</v>
      </c>
      <c r="J17" s="80">
        <v>0</v>
      </c>
      <c r="K17" s="80">
        <v>0</v>
      </c>
      <c r="L17" s="80">
        <v>0</v>
      </c>
      <c r="M17" s="80">
        <v>0.05</v>
      </c>
      <c r="N17" s="81">
        <v>0.05</v>
      </c>
    </row>
    <row r="18" spans="1:14" ht="15" customHeight="1">
      <c r="A18" s="57" t="s">
        <v>39</v>
      </c>
      <c r="B18" s="82">
        <v>181.5800018310547</v>
      </c>
      <c r="D18" s="83">
        <v>-0.056442850999999995</v>
      </c>
      <c r="E18" s="80">
        <v>0.0013784472743326012</v>
      </c>
      <c r="F18" s="80">
        <v>0.09613986000000001</v>
      </c>
      <c r="G18" s="80">
        <v>0.0008820531395027678</v>
      </c>
      <c r="H18" s="79">
        <v>13</v>
      </c>
      <c r="I18" s="80">
        <v>0</v>
      </c>
      <c r="J18" s="80">
        <v>0</v>
      </c>
      <c r="K18" s="80">
        <v>0</v>
      </c>
      <c r="L18" s="80">
        <v>0</v>
      </c>
      <c r="M18" s="80">
        <v>0.05</v>
      </c>
      <c r="N18" s="81">
        <v>0.05</v>
      </c>
    </row>
    <row r="19" spans="1:14" ht="15" customHeight="1">
      <c r="A19" s="57" t="s">
        <v>40</v>
      </c>
      <c r="B19" s="82">
        <v>-0.35899999737739563</v>
      </c>
      <c r="D19" s="87">
        <v>-0.18584761</v>
      </c>
      <c r="E19" s="80">
        <v>0.0016479626953906656</v>
      </c>
      <c r="F19" s="80">
        <v>0.012226773600000001</v>
      </c>
      <c r="G19" s="80">
        <v>0.0008840128685788338</v>
      </c>
      <c r="H19" s="79">
        <v>14</v>
      </c>
      <c r="I19" s="80">
        <v>0</v>
      </c>
      <c r="J19" s="80">
        <v>0</v>
      </c>
      <c r="K19" s="80">
        <v>0</v>
      </c>
      <c r="L19" s="80">
        <v>0</v>
      </c>
      <c r="M19" s="80">
        <v>0.05</v>
      </c>
      <c r="N19" s="81">
        <v>0.05</v>
      </c>
    </row>
    <row r="20" spans="1:14" ht="15" customHeight="1" thickBot="1">
      <c r="A20" s="57" t="s">
        <v>41</v>
      </c>
      <c r="B20" s="88">
        <v>-0.29478119999999997</v>
      </c>
      <c r="D20" s="89">
        <v>-0.0025732285200000004</v>
      </c>
      <c r="E20" s="90">
        <v>0.0010169963400418745</v>
      </c>
      <c r="F20" s="90">
        <v>-0.004460794610000001</v>
      </c>
      <c r="G20" s="90">
        <v>0.0012627962841638986</v>
      </c>
      <c r="H20" s="91">
        <v>15</v>
      </c>
      <c r="I20" s="90">
        <v>0</v>
      </c>
      <c r="J20" s="90">
        <v>0</v>
      </c>
      <c r="K20" s="90">
        <v>0</v>
      </c>
      <c r="L20" s="90">
        <v>0</v>
      </c>
      <c r="M20" s="90">
        <v>0.05</v>
      </c>
      <c r="N20" s="92">
        <v>0.05</v>
      </c>
    </row>
    <row r="21" spans="1:6" ht="15" customHeight="1">
      <c r="A21" s="57" t="s">
        <v>42</v>
      </c>
      <c r="B21" s="88">
        <v>0.4795094</v>
      </c>
      <c r="F21" s="3" t="s">
        <v>65</v>
      </c>
    </row>
    <row r="22" spans="1:6" ht="15" customHeight="1">
      <c r="A22" s="57" t="s">
        <v>43</v>
      </c>
      <c r="B22" s="72" t="s">
        <v>44</v>
      </c>
      <c r="F22" s="3" t="s">
        <v>66</v>
      </c>
    </row>
    <row r="23" spans="1:2" ht="15" customHeight="1" thickBot="1">
      <c r="A23" s="93" t="s">
        <v>45</v>
      </c>
      <c r="B23" s="94">
        <v>15</v>
      </c>
    </row>
    <row r="24" spans="1:12" ht="18" customHeight="1" thickBot="1" thickTop="1">
      <c r="A24" s="95" t="s">
        <v>67</v>
      </c>
      <c r="B24" s="96">
        <v>0.20118141387004668</v>
      </c>
      <c r="E24" s="97"/>
      <c r="F24" s="98"/>
      <c r="G24" s="99" t="s">
        <v>46</v>
      </c>
      <c r="H24" s="98"/>
      <c r="I24" s="98"/>
      <c r="J24" s="98"/>
      <c r="K24" s="98"/>
      <c r="L24" s="100"/>
    </row>
    <row r="25" spans="1:12" ht="18" customHeight="1">
      <c r="A25" s="45" t="s">
        <v>47</v>
      </c>
      <c r="B25" s="46">
        <v>10</v>
      </c>
      <c r="E25" s="101" t="s">
        <v>48</v>
      </c>
      <c r="F25" s="102"/>
      <c r="G25" s="103"/>
      <c r="H25" s="104">
        <v>-3.7625941999999992</v>
      </c>
      <c r="I25" s="102" t="s">
        <v>49</v>
      </c>
      <c r="J25" s="103"/>
      <c r="K25" s="102"/>
      <c r="L25" s="105">
        <v>3.33526883297829</v>
      </c>
    </row>
    <row r="26" spans="1:12" ht="18" customHeight="1" thickBot="1">
      <c r="A26" s="57" t="s">
        <v>50</v>
      </c>
      <c r="B26" s="58" t="s">
        <v>51</v>
      </c>
      <c r="E26" s="106" t="s">
        <v>52</v>
      </c>
      <c r="F26" s="107"/>
      <c r="G26" s="108"/>
      <c r="H26" s="109">
        <v>2.5800444797553572</v>
      </c>
      <c r="I26" s="107" t="s">
        <v>53</v>
      </c>
      <c r="J26" s="108"/>
      <c r="K26" s="107"/>
      <c r="L26" s="110">
        <v>0.09653716765804672</v>
      </c>
    </row>
    <row r="27" spans="1:2" ht="15" customHeight="1" thickBot="1" thickTop="1">
      <c r="A27" s="93" t="s">
        <v>54</v>
      </c>
      <c r="B27" s="94">
        <v>80</v>
      </c>
    </row>
    <row r="28" spans="1:14" s="2" customFormat="1" ht="18" customHeight="1" thickBot="1">
      <c r="A28" s="111" t="s">
        <v>55</v>
      </c>
      <c r="B28" s="112"/>
      <c r="C28" s="112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4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HCMQAP108_pos2ap2res</oddHeader>
    <oddFooter>&amp;L&amp;"Times New Roman,bold"CEA/DSM/DAPNIA/STCM &amp;C&amp;D&amp;RLHCQ2 - Mesures Magnétiques à Chaud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5" t="s">
        <v>12</v>
      </c>
      <c r="B1" s="46">
        <v>91</v>
      </c>
      <c r="D1" s="47" t="s">
        <v>13</v>
      </c>
      <c r="E1" s="48"/>
      <c r="F1" s="48"/>
      <c r="G1" s="48"/>
      <c r="H1" s="48"/>
      <c r="I1" s="48"/>
      <c r="J1" s="48"/>
      <c r="K1" s="48"/>
      <c r="L1" s="48"/>
      <c r="M1" s="48"/>
      <c r="N1" s="49"/>
    </row>
    <row r="2" spans="1:14" ht="15" customHeight="1">
      <c r="A2" s="50" t="s">
        <v>14</v>
      </c>
      <c r="B2" s="51" t="s">
        <v>15</v>
      </c>
      <c r="D2" s="52" t="s">
        <v>56</v>
      </c>
      <c r="E2" s="53"/>
      <c r="F2" s="53"/>
      <c r="G2" s="53"/>
      <c r="H2" s="53"/>
      <c r="I2" s="53"/>
      <c r="J2" s="54"/>
      <c r="K2" s="55">
        <v>3.9287636E-05</v>
      </c>
      <c r="L2" s="55">
        <v>4.213806398667979E-07</v>
      </c>
      <c r="M2" s="55">
        <v>0.00016357552999999997</v>
      </c>
      <c r="N2" s="56">
        <v>3.036754577043275E-07</v>
      </c>
    </row>
    <row r="3" spans="1:14" ht="15" customHeight="1">
      <c r="A3" s="57" t="s">
        <v>16</v>
      </c>
      <c r="B3" s="58">
        <v>2</v>
      </c>
      <c r="D3" s="52" t="s">
        <v>57</v>
      </c>
      <c r="E3" s="53"/>
      <c r="F3" s="53"/>
      <c r="G3" s="53"/>
      <c r="H3" s="53"/>
      <c r="I3" s="53"/>
      <c r="J3" s="54"/>
      <c r="K3" s="55">
        <v>-2.7262554E-05</v>
      </c>
      <c r="L3" s="55">
        <v>1.5160831973927258E-07</v>
      </c>
      <c r="M3" s="55">
        <v>1.095573E-05</v>
      </c>
      <c r="N3" s="56">
        <v>5.737830251938747E-08</v>
      </c>
    </row>
    <row r="4" spans="1:14" ht="15" customHeight="1">
      <c r="A4" s="57" t="s">
        <v>17</v>
      </c>
      <c r="B4" s="58">
        <v>2</v>
      </c>
      <c r="D4" s="52" t="s">
        <v>58</v>
      </c>
      <c r="E4" s="53"/>
      <c r="F4" s="53"/>
      <c r="G4" s="53"/>
      <c r="H4" s="53"/>
      <c r="I4" s="53"/>
      <c r="J4" s="54"/>
      <c r="K4" s="55">
        <v>-0.0037611182389103047</v>
      </c>
      <c r="L4" s="55">
        <v>-5.9389425175309216E-05</v>
      </c>
      <c r="M4" s="55">
        <v>4.517128109949866E-08</v>
      </c>
      <c r="N4" s="56">
        <v>7.894525799999999</v>
      </c>
    </row>
    <row r="5" spans="1:14" ht="15" customHeight="1" thickBot="1">
      <c r="A5" t="s">
        <v>18</v>
      </c>
      <c r="B5" s="59">
        <v>37909.31616898148</v>
      </c>
      <c r="D5" s="60"/>
      <c r="E5" s="61" t="s">
        <v>75</v>
      </c>
      <c r="F5" s="62"/>
      <c r="G5" s="62"/>
      <c r="H5" s="62"/>
      <c r="I5" s="62"/>
      <c r="J5" s="62"/>
      <c r="K5" s="62"/>
      <c r="L5" s="62"/>
      <c r="M5" s="62"/>
      <c r="N5" s="63"/>
    </row>
    <row r="6" spans="1:14" ht="15" customHeight="1" thickTop="1">
      <c r="A6" s="57" t="s">
        <v>19</v>
      </c>
      <c r="B6" s="58">
        <v>2392</v>
      </c>
      <c r="D6" s="64"/>
      <c r="E6" s="65" t="s">
        <v>20</v>
      </c>
      <c r="F6" s="66"/>
      <c r="G6" s="67"/>
      <c r="H6" s="68" t="s">
        <v>21</v>
      </c>
      <c r="I6" s="69"/>
      <c r="J6" s="66"/>
      <c r="K6" s="70" t="s">
        <v>60</v>
      </c>
      <c r="L6" s="53"/>
      <c r="M6" s="53"/>
      <c r="N6" s="71"/>
    </row>
    <row r="7" spans="1:14" ht="15" customHeight="1" thickBot="1">
      <c r="A7" s="57" t="s">
        <v>22</v>
      </c>
      <c r="B7" s="72" t="s">
        <v>23</v>
      </c>
      <c r="D7" s="73" t="s">
        <v>61</v>
      </c>
      <c r="E7" s="74" t="s">
        <v>62</v>
      </c>
      <c r="F7" s="75" t="s">
        <v>63</v>
      </c>
      <c r="G7" s="74" t="s">
        <v>64</v>
      </c>
      <c r="H7" s="76"/>
      <c r="I7" s="168" t="s">
        <v>24</v>
      </c>
      <c r="J7" s="169"/>
      <c r="K7" s="168" t="s">
        <v>25</v>
      </c>
      <c r="L7" s="169"/>
      <c r="M7" s="168" t="s">
        <v>26</v>
      </c>
      <c r="N7" s="170"/>
    </row>
    <row r="8" spans="1:14" ht="15" customHeight="1">
      <c r="A8" s="57" t="s">
        <v>27</v>
      </c>
      <c r="B8" s="72" t="s">
        <v>28</v>
      </c>
      <c r="D8" s="77">
        <v>0.21656446</v>
      </c>
      <c r="E8" s="78">
        <v>0.014898029348688795</v>
      </c>
      <c r="F8" s="78">
        <v>1.1519006399999998</v>
      </c>
      <c r="G8" s="78">
        <v>0.010481859447724774</v>
      </c>
      <c r="H8" s="79">
        <v>3</v>
      </c>
      <c r="I8" s="80">
        <v>0</v>
      </c>
      <c r="J8" s="80">
        <v>0</v>
      </c>
      <c r="K8" s="80">
        <v>2</v>
      </c>
      <c r="L8" s="80">
        <v>2</v>
      </c>
      <c r="M8" s="80">
        <v>1</v>
      </c>
      <c r="N8" s="81">
        <v>1</v>
      </c>
    </row>
    <row r="9" spans="1:14" ht="15" customHeight="1">
      <c r="A9" s="57" t="s">
        <v>29</v>
      </c>
      <c r="B9" s="82">
        <v>0.017</v>
      </c>
      <c r="D9" s="83">
        <v>0.05773761200000001</v>
      </c>
      <c r="E9" s="80">
        <v>0.02558289281638777</v>
      </c>
      <c r="F9" s="80">
        <v>-0.43206490419999993</v>
      </c>
      <c r="G9" s="80">
        <v>0.025097487271311853</v>
      </c>
      <c r="H9" s="79">
        <v>4</v>
      </c>
      <c r="I9" s="80">
        <v>0</v>
      </c>
      <c r="J9" s="80">
        <v>0</v>
      </c>
      <c r="K9" s="80">
        <v>0.5</v>
      </c>
      <c r="L9" s="80">
        <v>0.5</v>
      </c>
      <c r="M9" s="80">
        <v>0.7</v>
      </c>
      <c r="N9" s="81">
        <v>0.7</v>
      </c>
    </row>
    <row r="10" spans="1:14" ht="15" customHeight="1">
      <c r="A10" s="57" t="s">
        <v>30</v>
      </c>
      <c r="B10" s="72" t="s">
        <v>31</v>
      </c>
      <c r="D10" s="83">
        <v>-0.09451231600000001</v>
      </c>
      <c r="E10" s="80">
        <v>0.005905450777454025</v>
      </c>
      <c r="F10" s="80">
        <v>-1.6261429999999997</v>
      </c>
      <c r="G10" s="80">
        <v>0.00915107824254003</v>
      </c>
      <c r="H10" s="79">
        <v>5</v>
      </c>
      <c r="I10" s="80">
        <v>0</v>
      </c>
      <c r="J10" s="80">
        <v>0</v>
      </c>
      <c r="K10" s="80">
        <v>0.5</v>
      </c>
      <c r="L10" s="80">
        <v>0.5</v>
      </c>
      <c r="M10" s="80">
        <v>0.6</v>
      </c>
      <c r="N10" s="81">
        <v>0.6</v>
      </c>
    </row>
    <row r="11" spans="1:14" ht="15" customHeight="1">
      <c r="A11" s="57" t="s">
        <v>32</v>
      </c>
      <c r="B11" s="58">
        <v>3</v>
      </c>
      <c r="D11" s="77">
        <v>3.5365196000000005</v>
      </c>
      <c r="E11" s="78">
        <v>0.005811246865949682</v>
      </c>
      <c r="F11" s="78">
        <v>0.23285758000000004</v>
      </c>
      <c r="G11" s="78">
        <v>0.0064053977105714074</v>
      </c>
      <c r="H11" s="79">
        <v>6</v>
      </c>
      <c r="I11" s="80">
        <v>3.925</v>
      </c>
      <c r="J11" s="80">
        <v>0</v>
      </c>
      <c r="K11" s="80">
        <v>1</v>
      </c>
      <c r="L11" s="80">
        <v>0.3</v>
      </c>
      <c r="M11" s="80">
        <v>0.5</v>
      </c>
      <c r="N11" s="81">
        <v>0.5</v>
      </c>
    </row>
    <row r="12" spans="1:14" ht="15" customHeight="1">
      <c r="A12" s="57" t="s">
        <v>33</v>
      </c>
      <c r="B12" s="84">
        <v>0.7499</v>
      </c>
      <c r="D12" s="83">
        <v>0.15060193700000002</v>
      </c>
      <c r="E12" s="80">
        <v>0.0033819567176373226</v>
      </c>
      <c r="F12" s="80">
        <v>0.157544144</v>
      </c>
      <c r="G12" s="80">
        <v>0.006398792078480899</v>
      </c>
      <c r="H12" s="79">
        <v>7</v>
      </c>
      <c r="I12" s="80">
        <v>0</v>
      </c>
      <c r="J12" s="80">
        <v>0</v>
      </c>
      <c r="K12" s="80">
        <v>0.15</v>
      </c>
      <c r="L12" s="80">
        <v>0.15</v>
      </c>
      <c r="M12" s="80">
        <v>0.15</v>
      </c>
      <c r="N12" s="81">
        <v>0.15</v>
      </c>
    </row>
    <row r="13" spans="1:14" ht="15" customHeight="1">
      <c r="A13" s="57" t="s">
        <v>34</v>
      </c>
      <c r="B13" s="82">
        <v>18.844605</v>
      </c>
      <c r="D13" s="83">
        <v>-0.002405200999999999</v>
      </c>
      <c r="E13" s="80">
        <v>0.0013183558759735543</v>
      </c>
      <c r="F13" s="80">
        <v>0.27110113200999997</v>
      </c>
      <c r="G13" s="80">
        <v>0.0034699833323818163</v>
      </c>
      <c r="H13" s="79">
        <v>8</v>
      </c>
      <c r="I13" s="80">
        <v>0</v>
      </c>
      <c r="J13" s="80">
        <v>0</v>
      </c>
      <c r="K13" s="80">
        <v>0.1</v>
      </c>
      <c r="L13" s="80">
        <v>0.1</v>
      </c>
      <c r="M13" s="80">
        <v>0.1</v>
      </c>
      <c r="N13" s="81">
        <v>0.1</v>
      </c>
    </row>
    <row r="14" spans="1:14" ht="15" customHeight="1">
      <c r="A14" s="50" t="s">
        <v>35</v>
      </c>
      <c r="B14" s="85">
        <v>12.5</v>
      </c>
      <c r="D14" s="83">
        <v>0.07387913500000001</v>
      </c>
      <c r="E14" s="80">
        <v>0.003904320969415799</v>
      </c>
      <c r="F14" s="80">
        <v>-0.024009198899999997</v>
      </c>
      <c r="G14" s="80">
        <v>0.0031485690033464624</v>
      </c>
      <c r="H14" s="79">
        <v>9</v>
      </c>
      <c r="I14" s="80">
        <v>0</v>
      </c>
      <c r="J14" s="80">
        <v>0</v>
      </c>
      <c r="K14" s="80">
        <v>0.1</v>
      </c>
      <c r="L14" s="80">
        <v>0.1</v>
      </c>
      <c r="M14" s="80">
        <v>0.1</v>
      </c>
      <c r="N14" s="81">
        <v>0.1</v>
      </c>
    </row>
    <row r="15" spans="1:14" ht="15" customHeight="1">
      <c r="A15" s="57" t="s">
        <v>36</v>
      </c>
      <c r="B15" s="82">
        <v>0</v>
      </c>
      <c r="D15" s="77">
        <v>0.01318337</v>
      </c>
      <c r="E15" s="78">
        <v>0.0024064075354457326</v>
      </c>
      <c r="F15" s="78">
        <v>0.038316644999999996</v>
      </c>
      <c r="G15" s="78">
        <v>0.003663805474148431</v>
      </c>
      <c r="H15" s="79">
        <v>10</v>
      </c>
      <c r="I15" s="80">
        <v>-0.26</v>
      </c>
      <c r="J15" s="80">
        <v>0</v>
      </c>
      <c r="K15" s="80">
        <v>0.2</v>
      </c>
      <c r="L15" s="80">
        <v>0.1</v>
      </c>
      <c r="M15" s="80">
        <v>0.3</v>
      </c>
      <c r="N15" s="81">
        <v>0.3</v>
      </c>
    </row>
    <row r="16" spans="1:14" ht="15" customHeight="1">
      <c r="A16" s="57" t="s">
        <v>37</v>
      </c>
      <c r="B16" s="82">
        <v>12.506</v>
      </c>
      <c r="D16" s="83">
        <v>0.034242015</v>
      </c>
      <c r="E16" s="80">
        <v>0.001693610642287576</v>
      </c>
      <c r="F16" s="80">
        <v>-0.008354808500000001</v>
      </c>
      <c r="G16" s="80">
        <v>0.0018218168283763282</v>
      </c>
      <c r="H16" s="79">
        <v>11</v>
      </c>
      <c r="I16" s="80">
        <v>0</v>
      </c>
      <c r="J16" s="80">
        <v>0</v>
      </c>
      <c r="K16" s="80">
        <v>0</v>
      </c>
      <c r="L16" s="80">
        <v>0</v>
      </c>
      <c r="M16" s="80">
        <v>0.05</v>
      </c>
      <c r="N16" s="81">
        <v>0.05</v>
      </c>
    </row>
    <row r="17" spans="1:14" ht="15" customHeight="1">
      <c r="A17" s="57" t="s">
        <v>38</v>
      </c>
      <c r="B17" s="82">
        <v>0.4309999942779541</v>
      </c>
      <c r="D17" s="83">
        <v>0.11170859600000001</v>
      </c>
      <c r="E17" s="80">
        <v>0.001884924907589741</v>
      </c>
      <c r="F17" s="80">
        <v>-0.00029471799999999937</v>
      </c>
      <c r="G17" s="80">
        <v>0.0027424362287327675</v>
      </c>
      <c r="H17" s="79">
        <v>12</v>
      </c>
      <c r="I17" s="80">
        <v>0</v>
      </c>
      <c r="J17" s="80">
        <v>0</v>
      </c>
      <c r="K17" s="80">
        <v>0</v>
      </c>
      <c r="L17" s="80">
        <v>0</v>
      </c>
      <c r="M17" s="80">
        <v>0.05</v>
      </c>
      <c r="N17" s="81">
        <v>0.05</v>
      </c>
    </row>
    <row r="18" spans="1:14" ht="15" customHeight="1">
      <c r="A18" s="57" t="s">
        <v>39</v>
      </c>
      <c r="B18" s="82">
        <v>23.905000686645508</v>
      </c>
      <c r="D18" s="83">
        <v>0.038216578</v>
      </c>
      <c r="E18" s="80">
        <v>0.002002872626815226</v>
      </c>
      <c r="F18" s="86">
        <v>0.15708966000000002</v>
      </c>
      <c r="G18" s="80">
        <v>0.001359695797741589</v>
      </c>
      <c r="H18" s="79">
        <v>13</v>
      </c>
      <c r="I18" s="80">
        <v>0</v>
      </c>
      <c r="J18" s="80">
        <v>0</v>
      </c>
      <c r="K18" s="80">
        <v>0</v>
      </c>
      <c r="L18" s="80">
        <v>0</v>
      </c>
      <c r="M18" s="80">
        <v>0.05</v>
      </c>
      <c r="N18" s="81">
        <v>0.05</v>
      </c>
    </row>
    <row r="19" spans="1:14" ht="15" customHeight="1">
      <c r="A19" s="57" t="s">
        <v>40</v>
      </c>
      <c r="B19" s="82">
        <v>-0.057999998331069946</v>
      </c>
      <c r="D19" s="87">
        <v>-0.19071569</v>
      </c>
      <c r="E19" s="80">
        <v>0.0010346761094194535</v>
      </c>
      <c r="F19" s="80">
        <v>0.0101490054</v>
      </c>
      <c r="G19" s="80">
        <v>0.001373990023579589</v>
      </c>
      <c r="H19" s="79">
        <v>14</v>
      </c>
      <c r="I19" s="80">
        <v>0</v>
      </c>
      <c r="J19" s="80">
        <v>0</v>
      </c>
      <c r="K19" s="80">
        <v>0</v>
      </c>
      <c r="L19" s="80">
        <v>0</v>
      </c>
      <c r="M19" s="80">
        <v>0.05</v>
      </c>
      <c r="N19" s="81">
        <v>0.05</v>
      </c>
    </row>
    <row r="20" spans="1:14" ht="15" customHeight="1" thickBot="1">
      <c r="A20" s="57" t="s">
        <v>41</v>
      </c>
      <c r="B20" s="88">
        <v>0.16586979999999998</v>
      </c>
      <c r="D20" s="89">
        <v>0.0003356805</v>
      </c>
      <c r="E20" s="90">
        <v>0.0014182771869131574</v>
      </c>
      <c r="F20" s="90">
        <v>-0.0058703613</v>
      </c>
      <c r="G20" s="90">
        <v>0.0010438393925425785</v>
      </c>
      <c r="H20" s="91">
        <v>15</v>
      </c>
      <c r="I20" s="90">
        <v>0</v>
      </c>
      <c r="J20" s="90">
        <v>0</v>
      </c>
      <c r="K20" s="90">
        <v>0</v>
      </c>
      <c r="L20" s="90">
        <v>0</v>
      </c>
      <c r="M20" s="90">
        <v>0.05</v>
      </c>
      <c r="N20" s="92">
        <v>0.05</v>
      </c>
    </row>
    <row r="21" spans="1:6" ht="15" customHeight="1">
      <c r="A21" s="57" t="s">
        <v>42</v>
      </c>
      <c r="B21" s="88">
        <v>0.7419648999999999</v>
      </c>
      <c r="F21" s="3" t="s">
        <v>65</v>
      </c>
    </row>
    <row r="22" spans="1:6" ht="15" customHeight="1">
      <c r="A22" s="57" t="s">
        <v>43</v>
      </c>
      <c r="B22" s="72" t="s">
        <v>44</v>
      </c>
      <c r="F22" s="3" t="s">
        <v>66</v>
      </c>
    </row>
    <row r="23" spans="1:2" ht="15" customHeight="1" thickBot="1">
      <c r="A23" s="93" t="s">
        <v>45</v>
      </c>
      <c r="B23" s="94">
        <v>15</v>
      </c>
    </row>
    <row r="24" spans="1:12" ht="18" customHeight="1" thickBot="1" thickTop="1">
      <c r="A24" s="95" t="s">
        <v>67</v>
      </c>
      <c r="B24" s="96">
        <v>0.45232339165836405</v>
      </c>
      <c r="E24" s="97"/>
      <c r="F24" s="98"/>
      <c r="G24" s="99" t="s">
        <v>46</v>
      </c>
      <c r="H24" s="98"/>
      <c r="I24" s="98"/>
      <c r="J24" s="98"/>
      <c r="K24" s="98"/>
      <c r="L24" s="100"/>
    </row>
    <row r="25" spans="1:12" ht="18" customHeight="1">
      <c r="A25" s="45" t="s">
        <v>47</v>
      </c>
      <c r="B25" s="46">
        <v>10</v>
      </c>
      <c r="E25" s="101" t="s">
        <v>48</v>
      </c>
      <c r="F25" s="102"/>
      <c r="G25" s="103"/>
      <c r="H25" s="104">
        <v>-3.7615870999999994</v>
      </c>
      <c r="I25" s="102" t="s">
        <v>49</v>
      </c>
      <c r="J25" s="103"/>
      <c r="K25" s="102"/>
      <c r="L25" s="105">
        <v>3.5441774128488013</v>
      </c>
    </row>
    <row r="26" spans="1:12" ht="18" customHeight="1" thickBot="1">
      <c r="A26" s="57" t="s">
        <v>50</v>
      </c>
      <c r="B26" s="58" t="s">
        <v>51</v>
      </c>
      <c r="E26" s="106" t="s">
        <v>52</v>
      </c>
      <c r="F26" s="107"/>
      <c r="G26" s="108"/>
      <c r="H26" s="109">
        <v>1.172081588357867</v>
      </c>
      <c r="I26" s="107" t="s">
        <v>53</v>
      </c>
      <c r="J26" s="108"/>
      <c r="K26" s="107"/>
      <c r="L26" s="110">
        <v>0.04052118616986582</v>
      </c>
    </row>
    <row r="27" spans="1:2" ht="15" customHeight="1" thickBot="1" thickTop="1">
      <c r="A27" s="93" t="s">
        <v>54</v>
      </c>
      <c r="B27" s="94">
        <v>80</v>
      </c>
    </row>
    <row r="28" spans="1:14" s="2" customFormat="1" ht="18" customHeight="1" thickBot="1">
      <c r="A28" s="111" t="s">
        <v>55</v>
      </c>
      <c r="B28" s="112"/>
      <c r="C28" s="112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4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HCMQAP108_pos3ap2res</oddHeader>
    <oddFooter>&amp;L&amp;"Times New Roman,bold"CEA/DSM/DAPNIA/STCM &amp;C&amp;D&amp;RLHCQ2 - Mesures Magnétiques à Chaud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5" t="s">
        <v>12</v>
      </c>
      <c r="B1" s="46">
        <v>91</v>
      </c>
      <c r="D1" s="47" t="s">
        <v>13</v>
      </c>
      <c r="E1" s="48"/>
      <c r="F1" s="48"/>
      <c r="G1" s="48"/>
      <c r="H1" s="48"/>
      <c r="I1" s="48"/>
      <c r="J1" s="48"/>
      <c r="K1" s="48"/>
      <c r="L1" s="48"/>
      <c r="M1" s="48"/>
      <c r="N1" s="49"/>
    </row>
    <row r="2" spans="1:14" ht="15" customHeight="1">
      <c r="A2" s="50" t="s">
        <v>14</v>
      </c>
      <c r="B2" s="51" t="s">
        <v>15</v>
      </c>
      <c r="D2" s="52" t="s">
        <v>56</v>
      </c>
      <c r="E2" s="53"/>
      <c r="F2" s="53"/>
      <c r="G2" s="53"/>
      <c r="H2" s="53"/>
      <c r="I2" s="53"/>
      <c r="J2" s="54"/>
      <c r="K2" s="55">
        <v>-1.6758615E-05</v>
      </c>
      <c r="L2" s="55">
        <v>1.8139346868070555E-07</v>
      </c>
      <c r="M2" s="55">
        <v>0.00014634184</v>
      </c>
      <c r="N2" s="56">
        <v>3.9449873180482116E-07</v>
      </c>
    </row>
    <row r="3" spans="1:14" ht="15" customHeight="1">
      <c r="A3" s="57" t="s">
        <v>16</v>
      </c>
      <c r="B3" s="58">
        <v>2</v>
      </c>
      <c r="D3" s="52" t="s">
        <v>57</v>
      </c>
      <c r="E3" s="53"/>
      <c r="F3" s="53"/>
      <c r="G3" s="53"/>
      <c r="H3" s="53"/>
      <c r="I3" s="53"/>
      <c r="J3" s="54"/>
      <c r="K3" s="55">
        <v>-2.7990163E-05</v>
      </c>
      <c r="L3" s="55">
        <v>7.462870879143615E-08</v>
      </c>
      <c r="M3" s="55">
        <v>1.020122E-05</v>
      </c>
      <c r="N3" s="56">
        <v>9.595942163223193E-08</v>
      </c>
    </row>
    <row r="4" spans="1:14" ht="15" customHeight="1">
      <c r="A4" s="57" t="s">
        <v>17</v>
      </c>
      <c r="B4" s="58">
        <v>2</v>
      </c>
      <c r="D4" s="52" t="s">
        <v>58</v>
      </c>
      <c r="E4" s="53"/>
      <c r="F4" s="53"/>
      <c r="G4" s="53"/>
      <c r="H4" s="53"/>
      <c r="I4" s="53"/>
      <c r="J4" s="54"/>
      <c r="K4" s="55">
        <v>-0.0037613520837964454</v>
      </c>
      <c r="L4" s="55">
        <v>-7.807479274023073E-05</v>
      </c>
      <c r="M4" s="55">
        <v>8.482723029313133E-08</v>
      </c>
      <c r="N4" s="56">
        <v>10.377064</v>
      </c>
    </row>
    <row r="5" spans="1:14" ht="15" customHeight="1" thickBot="1">
      <c r="A5" t="s">
        <v>18</v>
      </c>
      <c r="B5" s="59">
        <v>37909.32072916667</v>
      </c>
      <c r="D5" s="60"/>
      <c r="E5" s="61" t="s">
        <v>75</v>
      </c>
      <c r="F5" s="62"/>
      <c r="G5" s="62"/>
      <c r="H5" s="62"/>
      <c r="I5" s="62"/>
      <c r="J5" s="62"/>
      <c r="K5" s="62"/>
      <c r="L5" s="62"/>
      <c r="M5" s="62"/>
      <c r="N5" s="63"/>
    </row>
    <row r="6" spans="1:14" ht="15" customHeight="1" thickTop="1">
      <c r="A6" s="57" t="s">
        <v>19</v>
      </c>
      <c r="B6" s="58">
        <v>2392</v>
      </c>
      <c r="D6" s="64"/>
      <c r="E6" s="65" t="s">
        <v>20</v>
      </c>
      <c r="F6" s="66"/>
      <c r="G6" s="67"/>
      <c r="H6" s="68" t="s">
        <v>21</v>
      </c>
      <c r="I6" s="69"/>
      <c r="J6" s="66"/>
      <c r="K6" s="70" t="s">
        <v>60</v>
      </c>
      <c r="L6" s="53"/>
      <c r="M6" s="53"/>
      <c r="N6" s="71"/>
    </row>
    <row r="7" spans="1:14" ht="15" customHeight="1" thickBot="1">
      <c r="A7" s="57" t="s">
        <v>22</v>
      </c>
      <c r="B7" s="72" t="s">
        <v>23</v>
      </c>
      <c r="D7" s="73" t="s">
        <v>61</v>
      </c>
      <c r="E7" s="74" t="s">
        <v>62</v>
      </c>
      <c r="F7" s="75" t="s">
        <v>63</v>
      </c>
      <c r="G7" s="74" t="s">
        <v>64</v>
      </c>
      <c r="H7" s="76"/>
      <c r="I7" s="168" t="s">
        <v>24</v>
      </c>
      <c r="J7" s="169"/>
      <c r="K7" s="168" t="s">
        <v>25</v>
      </c>
      <c r="L7" s="169"/>
      <c r="M7" s="168" t="s">
        <v>26</v>
      </c>
      <c r="N7" s="170"/>
    </row>
    <row r="8" spans="1:14" ht="15" customHeight="1">
      <c r="A8" s="57" t="s">
        <v>27</v>
      </c>
      <c r="B8" s="72" t="s">
        <v>28</v>
      </c>
      <c r="D8" s="77">
        <v>-0.200586001</v>
      </c>
      <c r="E8" s="78">
        <v>0.012776178329975043</v>
      </c>
      <c r="F8" s="78">
        <v>0.8923208199999999</v>
      </c>
      <c r="G8" s="78">
        <v>0.017423148440180884</v>
      </c>
      <c r="H8" s="79">
        <v>3</v>
      </c>
      <c r="I8" s="80">
        <v>0</v>
      </c>
      <c r="J8" s="80">
        <v>0</v>
      </c>
      <c r="K8" s="80">
        <v>2</v>
      </c>
      <c r="L8" s="80">
        <v>2</v>
      </c>
      <c r="M8" s="80">
        <v>1</v>
      </c>
      <c r="N8" s="81">
        <v>1</v>
      </c>
    </row>
    <row r="9" spans="1:14" ht="15" customHeight="1">
      <c r="A9" s="57" t="s">
        <v>29</v>
      </c>
      <c r="B9" s="82">
        <v>0.017</v>
      </c>
      <c r="D9" s="83">
        <v>0.34718653</v>
      </c>
      <c r="E9" s="80">
        <v>0.03141467712604457</v>
      </c>
      <c r="F9" s="80">
        <v>-0.15270898</v>
      </c>
      <c r="G9" s="80">
        <v>0.037739927729522796</v>
      </c>
      <c r="H9" s="79">
        <v>4</v>
      </c>
      <c r="I9" s="80">
        <v>0</v>
      </c>
      <c r="J9" s="80">
        <v>0</v>
      </c>
      <c r="K9" s="80">
        <v>0.5</v>
      </c>
      <c r="L9" s="80">
        <v>0.5</v>
      </c>
      <c r="M9" s="80">
        <v>0.7</v>
      </c>
      <c r="N9" s="81">
        <v>0.7</v>
      </c>
    </row>
    <row r="10" spans="1:14" ht="15" customHeight="1">
      <c r="A10" s="57" t="s">
        <v>30</v>
      </c>
      <c r="B10" s="72" t="s">
        <v>31</v>
      </c>
      <c r="D10" s="83">
        <v>0.32731592</v>
      </c>
      <c r="E10" s="80">
        <v>0.00978873660850079</v>
      </c>
      <c r="F10" s="80">
        <v>-1.2607328</v>
      </c>
      <c r="G10" s="80">
        <v>0.006343771162390038</v>
      </c>
      <c r="H10" s="79">
        <v>5</v>
      </c>
      <c r="I10" s="80">
        <v>0</v>
      </c>
      <c r="J10" s="80">
        <v>0</v>
      </c>
      <c r="K10" s="80">
        <v>0.5</v>
      </c>
      <c r="L10" s="80">
        <v>0.5</v>
      </c>
      <c r="M10" s="80">
        <v>0.6</v>
      </c>
      <c r="N10" s="81">
        <v>0.6</v>
      </c>
    </row>
    <row r="11" spans="1:14" ht="15" customHeight="1">
      <c r="A11" s="57" t="s">
        <v>32</v>
      </c>
      <c r="B11" s="58">
        <v>4</v>
      </c>
      <c r="D11" s="77">
        <v>3.5372009999999996</v>
      </c>
      <c r="E11" s="78">
        <v>0.0035532860851277526</v>
      </c>
      <c r="F11" s="78">
        <v>0.50583252</v>
      </c>
      <c r="G11" s="78">
        <v>0.005790347860322442</v>
      </c>
      <c r="H11" s="79">
        <v>6</v>
      </c>
      <c r="I11" s="80">
        <v>3.925</v>
      </c>
      <c r="J11" s="80">
        <v>0</v>
      </c>
      <c r="K11" s="80">
        <v>1</v>
      </c>
      <c r="L11" s="80">
        <v>0.3</v>
      </c>
      <c r="M11" s="80">
        <v>0.5</v>
      </c>
      <c r="N11" s="81">
        <v>0.5</v>
      </c>
    </row>
    <row r="12" spans="1:14" ht="15" customHeight="1">
      <c r="A12" s="57" t="s">
        <v>33</v>
      </c>
      <c r="B12" s="84">
        <v>0.7499</v>
      </c>
      <c r="D12" s="83">
        <v>0.0923313402</v>
      </c>
      <c r="E12" s="80">
        <v>0.004063580992053583</v>
      </c>
      <c r="F12" s="80">
        <v>0.0234889299</v>
      </c>
      <c r="G12" s="80">
        <v>0.004657244279911798</v>
      </c>
      <c r="H12" s="79">
        <v>7</v>
      </c>
      <c r="I12" s="80">
        <v>0</v>
      </c>
      <c r="J12" s="80">
        <v>0</v>
      </c>
      <c r="K12" s="80">
        <v>0.15</v>
      </c>
      <c r="L12" s="80">
        <v>0.15</v>
      </c>
      <c r="M12" s="80">
        <v>0.15</v>
      </c>
      <c r="N12" s="81">
        <v>0.15</v>
      </c>
    </row>
    <row r="13" spans="1:14" ht="15" customHeight="1">
      <c r="A13" s="57" t="s">
        <v>34</v>
      </c>
      <c r="B13" s="82">
        <v>19.073487</v>
      </c>
      <c r="D13" s="83">
        <v>0.15710421000000002</v>
      </c>
      <c r="E13" s="80">
        <v>0.0025831527731427976</v>
      </c>
      <c r="F13" s="115">
        <v>0.40359731</v>
      </c>
      <c r="G13" s="80">
        <v>0.004084618199957498</v>
      </c>
      <c r="H13" s="79">
        <v>8</v>
      </c>
      <c r="I13" s="80">
        <v>0</v>
      </c>
      <c r="J13" s="80">
        <v>0</v>
      </c>
      <c r="K13" s="80">
        <v>0.1</v>
      </c>
      <c r="L13" s="80">
        <v>0.1</v>
      </c>
      <c r="M13" s="80">
        <v>0.1</v>
      </c>
      <c r="N13" s="81">
        <v>0.1</v>
      </c>
    </row>
    <row r="14" spans="1:14" ht="15" customHeight="1">
      <c r="A14" s="50" t="s">
        <v>35</v>
      </c>
      <c r="B14" s="85">
        <v>12.5</v>
      </c>
      <c r="D14" s="83">
        <v>-0.09291391</v>
      </c>
      <c r="E14" s="80">
        <v>0.003018161109341347</v>
      </c>
      <c r="F14" s="80">
        <v>-0.0278005318</v>
      </c>
      <c r="G14" s="80">
        <v>0.0030706268668258103</v>
      </c>
      <c r="H14" s="79">
        <v>9</v>
      </c>
      <c r="I14" s="80">
        <v>0</v>
      </c>
      <c r="J14" s="80">
        <v>0</v>
      </c>
      <c r="K14" s="80">
        <v>0.1</v>
      </c>
      <c r="L14" s="80">
        <v>0.1</v>
      </c>
      <c r="M14" s="80">
        <v>0.1</v>
      </c>
      <c r="N14" s="81">
        <v>0.1</v>
      </c>
    </row>
    <row r="15" spans="1:14" ht="15" customHeight="1">
      <c r="A15" s="57" t="s">
        <v>36</v>
      </c>
      <c r="B15" s="82">
        <v>0</v>
      </c>
      <c r="D15" s="77">
        <v>0.007925422929999999</v>
      </c>
      <c r="E15" s="78">
        <v>0.00252465596938027</v>
      </c>
      <c r="F15" s="78">
        <v>-0.053243191</v>
      </c>
      <c r="G15" s="78">
        <v>0.004052777332726765</v>
      </c>
      <c r="H15" s="79">
        <v>10</v>
      </c>
      <c r="I15" s="80">
        <v>-0.26</v>
      </c>
      <c r="J15" s="80">
        <v>0</v>
      </c>
      <c r="K15" s="80">
        <v>0.2</v>
      </c>
      <c r="L15" s="80">
        <v>0.1</v>
      </c>
      <c r="M15" s="80">
        <v>0.3</v>
      </c>
      <c r="N15" s="81">
        <v>0.3</v>
      </c>
    </row>
    <row r="16" spans="1:14" ht="15" customHeight="1">
      <c r="A16" s="57" t="s">
        <v>37</v>
      </c>
      <c r="B16" s="82">
        <v>12.506</v>
      </c>
      <c r="D16" s="83">
        <v>0.084480011</v>
      </c>
      <c r="E16" s="80">
        <v>0.0009709489727553199</v>
      </c>
      <c r="F16" s="80">
        <v>-0.0031494701000000006</v>
      </c>
      <c r="G16" s="80">
        <v>0.0025076398174983645</v>
      </c>
      <c r="H16" s="79">
        <v>11</v>
      </c>
      <c r="I16" s="80">
        <v>0</v>
      </c>
      <c r="J16" s="80">
        <v>0</v>
      </c>
      <c r="K16" s="80">
        <v>0</v>
      </c>
      <c r="L16" s="80">
        <v>0</v>
      </c>
      <c r="M16" s="80">
        <v>0.05</v>
      </c>
      <c r="N16" s="81">
        <v>0.05</v>
      </c>
    </row>
    <row r="17" spans="1:14" ht="15" customHeight="1">
      <c r="A17" s="57" t="s">
        <v>38</v>
      </c>
      <c r="B17" s="82">
        <v>-0.07999999821186066</v>
      </c>
      <c r="D17" s="83">
        <v>0.08220904300000001</v>
      </c>
      <c r="E17" s="80">
        <v>0.0027086794703390905</v>
      </c>
      <c r="F17" s="80">
        <v>0.0653957498</v>
      </c>
      <c r="G17" s="80">
        <v>0.002439497745017572</v>
      </c>
      <c r="H17" s="79">
        <v>12</v>
      </c>
      <c r="I17" s="80">
        <v>0</v>
      </c>
      <c r="J17" s="80">
        <v>0</v>
      </c>
      <c r="K17" s="80">
        <v>0</v>
      </c>
      <c r="L17" s="80">
        <v>0</v>
      </c>
      <c r="M17" s="80">
        <v>0.05</v>
      </c>
      <c r="N17" s="81">
        <v>0.05</v>
      </c>
    </row>
    <row r="18" spans="1:14" ht="15" customHeight="1">
      <c r="A18" s="57" t="s">
        <v>39</v>
      </c>
      <c r="B18" s="82">
        <v>98.16500091552734</v>
      </c>
      <c r="D18" s="83">
        <v>-0.017712991</v>
      </c>
      <c r="E18" s="80">
        <v>0.0009056233399012825</v>
      </c>
      <c r="F18" s="80">
        <v>0.13713419</v>
      </c>
      <c r="G18" s="80">
        <v>0.0020358480263510162</v>
      </c>
      <c r="H18" s="79">
        <v>13</v>
      </c>
      <c r="I18" s="80">
        <v>0</v>
      </c>
      <c r="J18" s="80">
        <v>0</v>
      </c>
      <c r="K18" s="80">
        <v>0</v>
      </c>
      <c r="L18" s="80">
        <v>0</v>
      </c>
      <c r="M18" s="80">
        <v>0.05</v>
      </c>
      <c r="N18" s="81">
        <v>0.05</v>
      </c>
    </row>
    <row r="19" spans="1:14" ht="15" customHeight="1">
      <c r="A19" s="57" t="s">
        <v>40</v>
      </c>
      <c r="B19" s="82">
        <v>-0.19200000166893005</v>
      </c>
      <c r="D19" s="87">
        <v>-0.18990343000000004</v>
      </c>
      <c r="E19" s="80">
        <v>0.0004533943797454006</v>
      </c>
      <c r="F19" s="80">
        <v>0.0055342209</v>
      </c>
      <c r="G19" s="80">
        <v>0.0012942042375938725</v>
      </c>
      <c r="H19" s="79">
        <v>14</v>
      </c>
      <c r="I19" s="80">
        <v>0</v>
      </c>
      <c r="J19" s="80">
        <v>0</v>
      </c>
      <c r="K19" s="80">
        <v>0</v>
      </c>
      <c r="L19" s="80">
        <v>0</v>
      </c>
      <c r="M19" s="80">
        <v>0.05</v>
      </c>
      <c r="N19" s="81">
        <v>0.05</v>
      </c>
    </row>
    <row r="20" spans="1:14" ht="15" customHeight="1" thickBot="1">
      <c r="A20" s="57" t="s">
        <v>41</v>
      </c>
      <c r="B20" s="88">
        <v>-0.0894247</v>
      </c>
      <c r="D20" s="89">
        <v>0.002725371352</v>
      </c>
      <c r="E20" s="90">
        <v>0.0006455127774405856</v>
      </c>
      <c r="F20" s="90">
        <v>-0.00271220914</v>
      </c>
      <c r="G20" s="90">
        <v>0.0007868776378906634</v>
      </c>
      <c r="H20" s="91">
        <v>15</v>
      </c>
      <c r="I20" s="90">
        <v>0</v>
      </c>
      <c r="J20" s="90">
        <v>0</v>
      </c>
      <c r="K20" s="90">
        <v>0</v>
      </c>
      <c r="L20" s="90">
        <v>0</v>
      </c>
      <c r="M20" s="90">
        <v>0.05</v>
      </c>
      <c r="N20" s="92">
        <v>0.05</v>
      </c>
    </row>
    <row r="21" spans="1:6" ht="15" customHeight="1">
      <c r="A21" s="57" t="s">
        <v>42</v>
      </c>
      <c r="B21" s="88">
        <v>0.6595572000000001</v>
      </c>
      <c r="F21" s="3" t="s">
        <v>65</v>
      </c>
    </row>
    <row r="22" spans="1:6" ht="15" customHeight="1">
      <c r="A22" s="57" t="s">
        <v>43</v>
      </c>
      <c r="B22" s="72" t="s">
        <v>44</v>
      </c>
      <c r="F22" s="3" t="s">
        <v>66</v>
      </c>
    </row>
    <row r="23" spans="1:2" ht="15" customHeight="1" thickBot="1">
      <c r="A23" s="93" t="s">
        <v>45</v>
      </c>
      <c r="B23" s="94">
        <v>15</v>
      </c>
    </row>
    <row r="24" spans="1:12" ht="18" customHeight="1" thickBot="1" thickTop="1">
      <c r="A24" s="95" t="s">
        <v>67</v>
      </c>
      <c r="B24" s="96">
        <v>0.5945624731425807</v>
      </c>
      <c r="E24" s="97"/>
      <c r="F24" s="98"/>
      <c r="G24" s="99" t="s">
        <v>46</v>
      </c>
      <c r="H24" s="98"/>
      <c r="I24" s="98"/>
      <c r="J24" s="98"/>
      <c r="K24" s="98"/>
      <c r="L24" s="100"/>
    </row>
    <row r="25" spans="1:12" ht="18" customHeight="1">
      <c r="A25" s="45" t="s">
        <v>47</v>
      </c>
      <c r="B25" s="46">
        <v>10</v>
      </c>
      <c r="E25" s="101" t="s">
        <v>48</v>
      </c>
      <c r="F25" s="102"/>
      <c r="G25" s="103"/>
      <c r="H25" s="104">
        <v>-3.7621623</v>
      </c>
      <c r="I25" s="102" t="s">
        <v>49</v>
      </c>
      <c r="J25" s="103"/>
      <c r="K25" s="102"/>
      <c r="L25" s="105">
        <v>3.5731858967440453</v>
      </c>
    </row>
    <row r="26" spans="1:12" ht="18" customHeight="1" thickBot="1">
      <c r="A26" s="57" t="s">
        <v>50</v>
      </c>
      <c r="B26" s="58" t="s">
        <v>51</v>
      </c>
      <c r="E26" s="106" t="s">
        <v>52</v>
      </c>
      <c r="F26" s="107"/>
      <c r="G26" s="108"/>
      <c r="H26" s="109">
        <v>0.9145879889888365</v>
      </c>
      <c r="I26" s="107" t="s">
        <v>53</v>
      </c>
      <c r="J26" s="108"/>
      <c r="K26" s="107"/>
      <c r="L26" s="110">
        <v>0.053829821813580724</v>
      </c>
    </row>
    <row r="27" spans="1:2" ht="15" customHeight="1" thickBot="1" thickTop="1">
      <c r="A27" s="93" t="s">
        <v>54</v>
      </c>
      <c r="B27" s="94">
        <v>80</v>
      </c>
    </row>
    <row r="28" spans="1:14" s="2" customFormat="1" ht="18" customHeight="1" thickBot="1">
      <c r="A28" s="111" t="s">
        <v>55</v>
      </c>
      <c r="B28" s="112"/>
      <c r="C28" s="112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4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HCMQAP108_pos4ap2res</oddHeader>
    <oddFooter>&amp;L&amp;"Times New Roman,bold"CEA/DSM/DAPNIA/STCM &amp;C&amp;D&amp;RLHCQ2 - Mesures Magnétiques à Chaud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5" t="s">
        <v>12</v>
      </c>
      <c r="B1" s="46">
        <v>91</v>
      </c>
      <c r="D1" s="47" t="s">
        <v>13</v>
      </c>
      <c r="E1" s="48"/>
      <c r="F1" s="48"/>
      <c r="G1" s="48"/>
      <c r="H1" s="48"/>
      <c r="I1" s="48"/>
      <c r="J1" s="48"/>
      <c r="K1" s="48"/>
      <c r="L1" s="48"/>
      <c r="M1" s="48"/>
      <c r="N1" s="49"/>
    </row>
    <row r="2" spans="1:14" ht="15" customHeight="1">
      <c r="A2" s="50" t="s">
        <v>14</v>
      </c>
      <c r="B2" s="51" t="s">
        <v>15</v>
      </c>
      <c r="D2" s="52" t="s">
        <v>56</v>
      </c>
      <c r="E2" s="53"/>
      <c r="F2" s="53"/>
      <c r="G2" s="53"/>
      <c r="H2" s="53"/>
      <c r="I2" s="53"/>
      <c r="J2" s="54"/>
      <c r="K2" s="55">
        <v>7.2360628E-05</v>
      </c>
      <c r="L2" s="55">
        <v>3.628970225370679E-07</v>
      </c>
      <c r="M2" s="55">
        <v>9.8081E-05</v>
      </c>
      <c r="N2" s="56">
        <v>1.6639465781672055E-07</v>
      </c>
    </row>
    <row r="3" spans="1:14" ht="15" customHeight="1">
      <c r="A3" s="57" t="s">
        <v>16</v>
      </c>
      <c r="B3" s="58">
        <v>2</v>
      </c>
      <c r="D3" s="52" t="s">
        <v>57</v>
      </c>
      <c r="E3" s="53"/>
      <c r="F3" s="53"/>
      <c r="G3" s="53"/>
      <c r="H3" s="53"/>
      <c r="I3" s="53"/>
      <c r="J3" s="54"/>
      <c r="K3" s="55">
        <v>-3.0140772E-05</v>
      </c>
      <c r="L3" s="55">
        <v>1.5819447956816057E-07</v>
      </c>
      <c r="M3" s="55">
        <v>9.774940000000001E-06</v>
      </c>
      <c r="N3" s="56">
        <v>1.1325684239810639E-07</v>
      </c>
    </row>
    <row r="4" spans="1:14" ht="15" customHeight="1">
      <c r="A4" s="57" t="s">
        <v>17</v>
      </c>
      <c r="B4" s="58">
        <v>2</v>
      </c>
      <c r="D4" s="52" t="s">
        <v>58</v>
      </c>
      <c r="E4" s="53"/>
      <c r="F4" s="53"/>
      <c r="G4" s="53"/>
      <c r="H4" s="53"/>
      <c r="I4" s="53"/>
      <c r="J4" s="54"/>
      <c r="K4" s="55">
        <v>-0.0020870464394527064</v>
      </c>
      <c r="L4" s="55">
        <v>-5.493079315302723E-05</v>
      </c>
      <c r="M4" s="55">
        <v>2.9273886732831768E-08</v>
      </c>
      <c r="N4" s="56">
        <v>13.156898000000002</v>
      </c>
    </row>
    <row r="5" spans="1:14" ht="15" customHeight="1" thickBot="1">
      <c r="A5" t="s">
        <v>18</v>
      </c>
      <c r="B5" s="59">
        <v>37909.325208333335</v>
      </c>
      <c r="D5" s="60"/>
      <c r="E5" s="61" t="s">
        <v>80</v>
      </c>
      <c r="F5" s="62"/>
      <c r="G5" s="62"/>
      <c r="H5" s="62"/>
      <c r="I5" s="62"/>
      <c r="J5" s="62"/>
      <c r="K5" s="62"/>
      <c r="L5" s="62"/>
      <c r="M5" s="62"/>
      <c r="N5" s="63"/>
    </row>
    <row r="6" spans="1:14" ht="15" customHeight="1" thickTop="1">
      <c r="A6" s="57" t="s">
        <v>19</v>
      </c>
      <c r="B6" s="58">
        <v>2392</v>
      </c>
      <c r="D6" s="64"/>
      <c r="E6" s="65" t="s">
        <v>20</v>
      </c>
      <c r="F6" s="66"/>
      <c r="G6" s="67"/>
      <c r="H6" s="68" t="s">
        <v>21</v>
      </c>
      <c r="I6" s="69"/>
      <c r="J6" s="66"/>
      <c r="K6" s="70" t="s">
        <v>60</v>
      </c>
      <c r="L6" s="53"/>
      <c r="M6" s="53"/>
      <c r="N6" s="71"/>
    </row>
    <row r="7" spans="1:14" ht="15" customHeight="1" thickBot="1">
      <c r="A7" s="57" t="s">
        <v>22</v>
      </c>
      <c r="B7" s="72" t="s">
        <v>23</v>
      </c>
      <c r="D7" s="73" t="s">
        <v>61</v>
      </c>
      <c r="E7" s="74" t="s">
        <v>62</v>
      </c>
      <c r="F7" s="75" t="s">
        <v>63</v>
      </c>
      <c r="G7" s="74" t="s">
        <v>64</v>
      </c>
      <c r="H7" s="76"/>
      <c r="I7" s="168" t="s">
        <v>24</v>
      </c>
      <c r="J7" s="169"/>
      <c r="K7" s="168" t="s">
        <v>25</v>
      </c>
      <c r="L7" s="169"/>
      <c r="M7" s="168" t="s">
        <v>26</v>
      </c>
      <c r="N7" s="170"/>
    </row>
    <row r="8" spans="1:14" ht="15" customHeight="1">
      <c r="A8" s="57" t="s">
        <v>27</v>
      </c>
      <c r="B8" s="72" t="s">
        <v>28</v>
      </c>
      <c r="D8" s="77">
        <v>0.195940134</v>
      </c>
      <c r="E8" s="78">
        <v>0.028739903600931416</v>
      </c>
      <c r="F8" s="116">
        <v>8.312903899999998</v>
      </c>
      <c r="G8" s="78">
        <v>0.025184547872666455</v>
      </c>
      <c r="H8" s="79">
        <v>3</v>
      </c>
      <c r="I8" s="80">
        <v>0</v>
      </c>
      <c r="J8" s="80">
        <v>0</v>
      </c>
      <c r="K8" s="80">
        <v>2</v>
      </c>
      <c r="L8" s="80">
        <v>2</v>
      </c>
      <c r="M8" s="80">
        <v>1</v>
      </c>
      <c r="N8" s="81">
        <v>1</v>
      </c>
    </row>
    <row r="9" spans="1:14" ht="15" customHeight="1">
      <c r="A9" s="57" t="s">
        <v>29</v>
      </c>
      <c r="B9" s="82">
        <v>0.017</v>
      </c>
      <c r="D9" s="87">
        <v>-2.9115484</v>
      </c>
      <c r="E9" s="80">
        <v>0.06568354758794152</v>
      </c>
      <c r="F9" s="80">
        <v>0.97219531</v>
      </c>
      <c r="G9" s="80">
        <v>0.03752844078902572</v>
      </c>
      <c r="H9" s="79">
        <v>4</v>
      </c>
      <c r="I9" s="80">
        <v>0</v>
      </c>
      <c r="J9" s="80">
        <v>0</v>
      </c>
      <c r="K9" s="80">
        <v>0.5</v>
      </c>
      <c r="L9" s="80">
        <v>0.5</v>
      </c>
      <c r="M9" s="80">
        <v>0.7</v>
      </c>
      <c r="N9" s="81">
        <v>0.7</v>
      </c>
    </row>
    <row r="10" spans="1:14" ht="15" customHeight="1">
      <c r="A10" s="57" t="s">
        <v>30</v>
      </c>
      <c r="B10" s="72" t="s">
        <v>31</v>
      </c>
      <c r="D10" s="87">
        <v>-5.0223645</v>
      </c>
      <c r="E10" s="80">
        <v>0.02153281351101792</v>
      </c>
      <c r="F10" s="86">
        <v>-7.8399545</v>
      </c>
      <c r="G10" s="80">
        <v>0.01758663460122629</v>
      </c>
      <c r="H10" s="79">
        <v>5</v>
      </c>
      <c r="I10" s="80">
        <v>0</v>
      </c>
      <c r="J10" s="80">
        <v>0</v>
      </c>
      <c r="K10" s="80">
        <v>0.5</v>
      </c>
      <c r="L10" s="80">
        <v>0.5</v>
      </c>
      <c r="M10" s="80">
        <v>0.6</v>
      </c>
      <c r="N10" s="81">
        <v>0.6</v>
      </c>
    </row>
    <row r="11" spans="1:14" ht="15" customHeight="1">
      <c r="A11" s="57" t="s">
        <v>32</v>
      </c>
      <c r="B11" s="58">
        <v>5</v>
      </c>
      <c r="D11" s="117">
        <v>14.59481</v>
      </c>
      <c r="E11" s="78">
        <v>0.009630260635464885</v>
      </c>
      <c r="F11" s="116">
        <v>2.2853814999999997</v>
      </c>
      <c r="G11" s="78">
        <v>0.004353430555323966</v>
      </c>
      <c r="H11" s="79">
        <v>6</v>
      </c>
      <c r="I11" s="80">
        <v>3.925</v>
      </c>
      <c r="J11" s="80">
        <v>0</v>
      </c>
      <c r="K11" s="80">
        <v>1</v>
      </c>
      <c r="L11" s="80">
        <v>0.3</v>
      </c>
      <c r="M11" s="80">
        <v>0.5</v>
      </c>
      <c r="N11" s="81">
        <v>0.5</v>
      </c>
    </row>
    <row r="12" spans="1:14" ht="15" customHeight="1">
      <c r="A12" s="57" t="s">
        <v>33</v>
      </c>
      <c r="B12" s="84">
        <v>0.7499</v>
      </c>
      <c r="D12" s="83">
        <v>-0.43416045</v>
      </c>
      <c r="E12" s="80">
        <v>0.007081185730581958</v>
      </c>
      <c r="F12" s="80">
        <v>0.5241540899999999</v>
      </c>
      <c r="G12" s="80">
        <v>0.009720609104088711</v>
      </c>
      <c r="H12" s="79">
        <v>7</v>
      </c>
      <c r="I12" s="80">
        <v>0</v>
      </c>
      <c r="J12" s="80">
        <v>0</v>
      </c>
      <c r="K12" s="80">
        <v>0.15</v>
      </c>
      <c r="L12" s="80">
        <v>0.15</v>
      </c>
      <c r="M12" s="80">
        <v>0.15</v>
      </c>
      <c r="N12" s="81">
        <v>0.15</v>
      </c>
    </row>
    <row r="13" spans="1:14" ht="15" customHeight="1">
      <c r="A13" s="57" t="s">
        <v>34</v>
      </c>
      <c r="B13" s="82">
        <v>19.265748</v>
      </c>
      <c r="D13" s="83">
        <v>-0.16481902</v>
      </c>
      <c r="E13" s="80">
        <v>0.005229965613136392</v>
      </c>
      <c r="F13" s="86">
        <v>-0.70019136</v>
      </c>
      <c r="G13" s="80">
        <v>0.00803100981224699</v>
      </c>
      <c r="H13" s="79">
        <v>8</v>
      </c>
      <c r="I13" s="80">
        <v>0</v>
      </c>
      <c r="J13" s="80">
        <v>0</v>
      </c>
      <c r="K13" s="80">
        <v>0.1</v>
      </c>
      <c r="L13" s="80">
        <v>0.1</v>
      </c>
      <c r="M13" s="80">
        <v>0.1</v>
      </c>
      <c r="N13" s="81">
        <v>0.1</v>
      </c>
    </row>
    <row r="14" spans="1:14" ht="15" customHeight="1">
      <c r="A14" s="50" t="s">
        <v>35</v>
      </c>
      <c r="B14" s="85">
        <v>12.5</v>
      </c>
      <c r="D14" s="87">
        <v>0.43985659000000005</v>
      </c>
      <c r="E14" s="80">
        <v>0.003109775930253908</v>
      </c>
      <c r="F14" s="80">
        <v>0.26218935</v>
      </c>
      <c r="G14" s="80">
        <v>0.004253160509433639</v>
      </c>
      <c r="H14" s="79">
        <v>9</v>
      </c>
      <c r="I14" s="80">
        <v>0</v>
      </c>
      <c r="J14" s="80">
        <v>0</v>
      </c>
      <c r="K14" s="80">
        <v>0.1</v>
      </c>
      <c r="L14" s="80">
        <v>0.1</v>
      </c>
      <c r="M14" s="80">
        <v>0.1</v>
      </c>
      <c r="N14" s="81">
        <v>0.1</v>
      </c>
    </row>
    <row r="15" spans="1:14" ht="15" customHeight="1">
      <c r="A15" s="57" t="s">
        <v>36</v>
      </c>
      <c r="B15" s="82">
        <v>0</v>
      </c>
      <c r="D15" s="77">
        <v>-0.28287988999999997</v>
      </c>
      <c r="E15" s="78">
        <v>0.004677155879315591</v>
      </c>
      <c r="F15" s="78">
        <v>0.25865519</v>
      </c>
      <c r="G15" s="78">
        <v>0.006712755526787386</v>
      </c>
      <c r="H15" s="79">
        <v>10</v>
      </c>
      <c r="I15" s="80">
        <v>-0.26</v>
      </c>
      <c r="J15" s="80">
        <v>0</v>
      </c>
      <c r="K15" s="80">
        <v>0.2</v>
      </c>
      <c r="L15" s="80">
        <v>0.1</v>
      </c>
      <c r="M15" s="80">
        <v>0.3</v>
      </c>
      <c r="N15" s="81">
        <v>0.3</v>
      </c>
    </row>
    <row r="16" spans="1:14" ht="15" customHeight="1">
      <c r="A16" s="57" t="s">
        <v>37</v>
      </c>
      <c r="B16" s="82">
        <v>12.506</v>
      </c>
      <c r="D16" s="83">
        <v>-0.110416604</v>
      </c>
      <c r="E16" s="80">
        <v>0.0036383794793307693</v>
      </c>
      <c r="F16" s="80">
        <v>0.051304891529999994</v>
      </c>
      <c r="G16" s="80">
        <v>0.0037468185788617474</v>
      </c>
      <c r="H16" s="79">
        <v>11</v>
      </c>
      <c r="I16" s="80">
        <v>0</v>
      </c>
      <c r="J16" s="80">
        <v>0</v>
      </c>
      <c r="K16" s="80">
        <v>0</v>
      </c>
      <c r="L16" s="80">
        <v>0</v>
      </c>
      <c r="M16" s="80">
        <v>0.05</v>
      </c>
      <c r="N16" s="81">
        <v>0.05</v>
      </c>
    </row>
    <row r="17" spans="1:14" ht="15" customHeight="1">
      <c r="A17" s="57" t="s">
        <v>38</v>
      </c>
      <c r="B17" s="82">
        <v>-0.010999999940395355</v>
      </c>
      <c r="D17" s="83">
        <v>0.06967025700000001</v>
      </c>
      <c r="E17" s="80">
        <v>0.0037916080524052613</v>
      </c>
      <c r="F17" s="80">
        <v>-0.12047359399999999</v>
      </c>
      <c r="G17" s="80">
        <v>0.0014678392018011581</v>
      </c>
      <c r="H17" s="79">
        <v>12</v>
      </c>
      <c r="I17" s="80">
        <v>0</v>
      </c>
      <c r="J17" s="80">
        <v>0</v>
      </c>
      <c r="K17" s="80">
        <v>0</v>
      </c>
      <c r="L17" s="80">
        <v>0</v>
      </c>
      <c r="M17" s="80">
        <v>0.05</v>
      </c>
      <c r="N17" s="81">
        <v>0.05</v>
      </c>
    </row>
    <row r="18" spans="1:14" ht="15" customHeight="1">
      <c r="A18" s="57" t="s">
        <v>39</v>
      </c>
      <c r="B18" s="82">
        <v>22.3799991607666</v>
      </c>
      <c r="D18" s="83">
        <v>0.037175784999999996</v>
      </c>
      <c r="E18" s="80">
        <v>0.0007917184652705681</v>
      </c>
      <c r="F18" s="80">
        <v>0.11257330000000002</v>
      </c>
      <c r="G18" s="80">
        <v>0.002725807544380148</v>
      </c>
      <c r="H18" s="79">
        <v>13</v>
      </c>
      <c r="I18" s="80">
        <v>0</v>
      </c>
      <c r="J18" s="80">
        <v>0</v>
      </c>
      <c r="K18" s="80">
        <v>0</v>
      </c>
      <c r="L18" s="80">
        <v>0</v>
      </c>
      <c r="M18" s="80">
        <v>0.05</v>
      </c>
      <c r="N18" s="81">
        <v>0.05</v>
      </c>
    </row>
    <row r="19" spans="1:14" ht="15" customHeight="1">
      <c r="A19" s="57" t="s">
        <v>40</v>
      </c>
      <c r="B19" s="82">
        <v>-0.29600000381469727</v>
      </c>
      <c r="D19" s="83">
        <v>-0.13246629999999998</v>
      </c>
      <c r="E19" s="80">
        <v>0.0023030097978514086</v>
      </c>
      <c r="F19" s="80">
        <v>-0.025842506999999997</v>
      </c>
      <c r="G19" s="80">
        <v>0.0009479427401304902</v>
      </c>
      <c r="H19" s="79">
        <v>14</v>
      </c>
      <c r="I19" s="80">
        <v>0</v>
      </c>
      <c r="J19" s="80">
        <v>0</v>
      </c>
      <c r="K19" s="80">
        <v>0</v>
      </c>
      <c r="L19" s="80">
        <v>0</v>
      </c>
      <c r="M19" s="80">
        <v>0.05</v>
      </c>
      <c r="N19" s="81">
        <v>0.05</v>
      </c>
    </row>
    <row r="20" spans="1:14" ht="15" customHeight="1" thickBot="1">
      <c r="A20" s="57" t="s">
        <v>41</v>
      </c>
      <c r="B20" s="88">
        <v>0.5680181</v>
      </c>
      <c r="D20" s="89">
        <v>-0.0025152967999999996</v>
      </c>
      <c r="E20" s="90">
        <v>0.0017858238448332808</v>
      </c>
      <c r="F20" s="90">
        <v>0.009789378599999999</v>
      </c>
      <c r="G20" s="90">
        <v>0.0010983818871512466</v>
      </c>
      <c r="H20" s="91">
        <v>15</v>
      </c>
      <c r="I20" s="90">
        <v>0</v>
      </c>
      <c r="J20" s="90">
        <v>0</v>
      </c>
      <c r="K20" s="90">
        <v>0</v>
      </c>
      <c r="L20" s="90">
        <v>0</v>
      </c>
      <c r="M20" s="90">
        <v>0.05</v>
      </c>
      <c r="N20" s="92">
        <v>0.05</v>
      </c>
    </row>
    <row r="21" spans="1:6" ht="15" customHeight="1">
      <c r="A21" s="57" t="s">
        <v>42</v>
      </c>
      <c r="B21" s="88">
        <v>0.8138332</v>
      </c>
      <c r="F21" s="3" t="s">
        <v>65</v>
      </c>
    </row>
    <row r="22" spans="1:6" ht="15" customHeight="1">
      <c r="A22" s="57" t="s">
        <v>43</v>
      </c>
      <c r="B22" s="72" t="s">
        <v>44</v>
      </c>
      <c r="F22" s="3" t="s">
        <v>66</v>
      </c>
    </row>
    <row r="23" spans="1:2" ht="15" customHeight="1" thickBot="1">
      <c r="A23" s="93" t="s">
        <v>45</v>
      </c>
      <c r="B23" s="94">
        <v>15</v>
      </c>
    </row>
    <row r="24" spans="1:12" ht="18" customHeight="1" thickBot="1" thickTop="1">
      <c r="A24" s="95" t="s">
        <v>67</v>
      </c>
      <c r="B24" s="96">
        <v>0.7538353636216057</v>
      </c>
      <c r="E24" s="97"/>
      <c r="F24" s="98"/>
      <c r="G24" s="99" t="s">
        <v>46</v>
      </c>
      <c r="H24" s="98"/>
      <c r="I24" s="98"/>
      <c r="J24" s="98"/>
      <c r="K24" s="98"/>
      <c r="L24" s="100"/>
    </row>
    <row r="25" spans="1:12" ht="18" customHeight="1">
      <c r="A25" s="45" t="s">
        <v>47</v>
      </c>
      <c r="B25" s="46">
        <v>10</v>
      </c>
      <c r="E25" s="101" t="s">
        <v>48</v>
      </c>
      <c r="F25" s="102"/>
      <c r="G25" s="103"/>
      <c r="H25" s="104">
        <v>-2.0877692</v>
      </c>
      <c r="I25" s="102" t="s">
        <v>49</v>
      </c>
      <c r="J25" s="103"/>
      <c r="K25" s="102"/>
      <c r="L25" s="105">
        <v>14.772658783598919</v>
      </c>
    </row>
    <row r="26" spans="1:12" ht="18" customHeight="1" thickBot="1">
      <c r="A26" s="57" t="s">
        <v>50</v>
      </c>
      <c r="B26" s="58" t="s">
        <v>51</v>
      </c>
      <c r="E26" s="106" t="s">
        <v>52</v>
      </c>
      <c r="F26" s="107"/>
      <c r="G26" s="108"/>
      <c r="H26" s="109">
        <v>8.315212792631774</v>
      </c>
      <c r="I26" s="107" t="s">
        <v>53</v>
      </c>
      <c r="J26" s="108"/>
      <c r="K26" s="107"/>
      <c r="L26" s="110">
        <v>0.3833060650189978</v>
      </c>
    </row>
    <row r="27" spans="1:2" ht="15" customHeight="1" thickBot="1" thickTop="1">
      <c r="A27" s="93" t="s">
        <v>54</v>
      </c>
      <c r="B27" s="94">
        <v>80</v>
      </c>
    </row>
    <row r="28" spans="1:14" s="2" customFormat="1" ht="18" customHeight="1" thickBot="1">
      <c r="A28" s="111" t="s">
        <v>55</v>
      </c>
      <c r="B28" s="112"/>
      <c r="C28" s="112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4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HCMQAP108_pos5ap2res</oddHeader>
    <oddFooter>&amp;L&amp;"Times New Roman,bold"CEA/DSM/DAPNIA/STCM &amp;C&amp;D&amp;RLHCQ2 - Mesures Magnétiques à Chaud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35"/>
  <sheetViews>
    <sheetView workbookViewId="0" topLeftCell="A1">
      <selection activeCell="A1" sqref="A1"/>
    </sheetView>
  </sheetViews>
  <sheetFormatPr defaultColWidth="9.33203125" defaultRowHeight="12.75"/>
  <cols>
    <col min="1" max="1" width="17.83203125" style="0" customWidth="1"/>
    <col min="2" max="6" width="12.83203125" style="0" customWidth="1"/>
    <col min="7" max="7" width="14.83203125" style="0" customWidth="1"/>
    <col min="8" max="16384" width="12" style="0" customWidth="1"/>
  </cols>
  <sheetData>
    <row r="1" spans="1:7" ht="13.5" thickTop="1">
      <c r="A1" s="141" t="s">
        <v>120</v>
      </c>
      <c r="B1" s="133" t="s">
        <v>68</v>
      </c>
      <c r="C1" s="123" t="s">
        <v>73</v>
      </c>
      <c r="D1" s="123" t="s">
        <v>76</v>
      </c>
      <c r="E1" s="123" t="s">
        <v>78</v>
      </c>
      <c r="F1" s="130" t="s">
        <v>81</v>
      </c>
      <c r="G1" s="165" t="s">
        <v>121</v>
      </c>
    </row>
    <row r="2" spans="1:7" ht="13.5" thickBot="1">
      <c r="A2" s="142" t="s">
        <v>90</v>
      </c>
      <c r="B2" s="134">
        <v>-2.2606352999999997</v>
      </c>
      <c r="C2" s="125">
        <v>-3.7625941999999992</v>
      </c>
      <c r="D2" s="125">
        <v>-3.7615870999999994</v>
      </c>
      <c r="E2" s="125">
        <v>-3.7621623</v>
      </c>
      <c r="F2" s="131">
        <v>-2.0877692</v>
      </c>
      <c r="G2" s="166">
        <v>3.1164648221918387</v>
      </c>
    </row>
    <row r="3" spans="1:7" ht="14.25" thickBot="1" thickTop="1">
      <c r="A3" s="150" t="s">
        <v>89</v>
      </c>
      <c r="B3" s="151" t="s">
        <v>84</v>
      </c>
      <c r="C3" s="152" t="s">
        <v>85</v>
      </c>
      <c r="D3" s="152" t="s">
        <v>86</v>
      </c>
      <c r="E3" s="152" t="s">
        <v>87</v>
      </c>
      <c r="F3" s="153" t="s">
        <v>88</v>
      </c>
      <c r="G3" s="160" t="s">
        <v>122</v>
      </c>
    </row>
    <row r="4" spans="1:7" ht="12.75">
      <c r="A4" s="147" t="s">
        <v>91</v>
      </c>
      <c r="B4" s="148">
        <v>1.9343727000000002</v>
      </c>
      <c r="C4" s="149">
        <v>-0.69561864</v>
      </c>
      <c r="D4" s="149">
        <v>0.21656446</v>
      </c>
      <c r="E4" s="149">
        <v>-0.200586001</v>
      </c>
      <c r="F4" s="154">
        <v>0.195940134</v>
      </c>
      <c r="G4" s="161">
        <v>0.1422886572565885</v>
      </c>
    </row>
    <row r="5" spans="1:7" ht="12.75">
      <c r="A5" s="142" t="s">
        <v>93</v>
      </c>
      <c r="B5" s="136">
        <v>0.057511636</v>
      </c>
      <c r="C5" s="119">
        <v>-0.37362095999999995</v>
      </c>
      <c r="D5" s="119">
        <v>0.05773761200000001</v>
      </c>
      <c r="E5" s="119">
        <v>0.34718653</v>
      </c>
      <c r="F5" s="155">
        <v>-2.9115484</v>
      </c>
      <c r="G5" s="162">
        <v>-0.3729548521286081</v>
      </c>
    </row>
    <row r="6" spans="1:7" ht="12.75">
      <c r="A6" s="142" t="s">
        <v>95</v>
      </c>
      <c r="B6" s="136">
        <v>-0.42880904</v>
      </c>
      <c r="C6" s="119">
        <v>1.2053426999999999</v>
      </c>
      <c r="D6" s="119">
        <v>-0.09451231600000001</v>
      </c>
      <c r="E6" s="119">
        <v>0.32731592</v>
      </c>
      <c r="F6" s="155">
        <v>-5.0223645</v>
      </c>
      <c r="G6" s="162">
        <v>-0.3865622887308994</v>
      </c>
    </row>
    <row r="7" spans="1:7" ht="12.75">
      <c r="A7" s="142" t="s">
        <v>97</v>
      </c>
      <c r="B7" s="135">
        <v>3.5653288000000005</v>
      </c>
      <c r="C7" s="118">
        <v>3.2985591999999997</v>
      </c>
      <c r="D7" s="118">
        <v>3.5365196000000005</v>
      </c>
      <c r="E7" s="118">
        <v>3.5372009999999996</v>
      </c>
      <c r="F7" s="156">
        <v>14.59481</v>
      </c>
      <c r="G7" s="162">
        <v>4.960239391992172</v>
      </c>
    </row>
    <row r="8" spans="1:7" ht="12.75">
      <c r="A8" s="142" t="s">
        <v>99</v>
      </c>
      <c r="B8" s="136">
        <v>-0.25523198</v>
      </c>
      <c r="C8" s="119">
        <v>0.176223943</v>
      </c>
      <c r="D8" s="119">
        <v>0.15060193700000002</v>
      </c>
      <c r="E8" s="119">
        <v>0.0923313402</v>
      </c>
      <c r="F8" s="157">
        <v>-0.43416045</v>
      </c>
      <c r="G8" s="162">
        <v>0.005981147688015758</v>
      </c>
    </row>
    <row r="9" spans="1:7" ht="12.75">
      <c r="A9" s="142" t="s">
        <v>101</v>
      </c>
      <c r="B9" s="136">
        <v>0.060700313000000006</v>
      </c>
      <c r="C9" s="119">
        <v>-0.007498986999999999</v>
      </c>
      <c r="D9" s="119">
        <v>-0.002405200999999999</v>
      </c>
      <c r="E9" s="119">
        <v>0.15710421000000002</v>
      </c>
      <c r="F9" s="157">
        <v>-0.16481902</v>
      </c>
      <c r="G9" s="162">
        <v>0.02218812305299409</v>
      </c>
    </row>
    <row r="10" spans="1:7" ht="12.75">
      <c r="A10" s="142" t="s">
        <v>103</v>
      </c>
      <c r="B10" s="136">
        <v>0.15969797000000002</v>
      </c>
      <c r="C10" s="119">
        <v>0.07317035499999999</v>
      </c>
      <c r="D10" s="119">
        <v>0.07387913500000001</v>
      </c>
      <c r="E10" s="119">
        <v>-0.09291391</v>
      </c>
      <c r="F10" s="155">
        <v>0.43985659000000005</v>
      </c>
      <c r="G10" s="162">
        <v>0.09485243030566484</v>
      </c>
    </row>
    <row r="11" spans="1:7" ht="12.75">
      <c r="A11" s="142" t="s">
        <v>105</v>
      </c>
      <c r="B11" s="135">
        <v>-0.31139608</v>
      </c>
      <c r="C11" s="118">
        <v>-0.035982617</v>
      </c>
      <c r="D11" s="118">
        <v>0.01318337</v>
      </c>
      <c r="E11" s="118">
        <v>0.007925422929999999</v>
      </c>
      <c r="F11" s="158">
        <v>-0.28287988999999997</v>
      </c>
      <c r="G11" s="162">
        <v>-0.08637950211111521</v>
      </c>
    </row>
    <row r="12" spans="1:7" ht="12.75">
      <c r="A12" s="142" t="s">
        <v>107</v>
      </c>
      <c r="B12" s="136">
        <v>-0.095494781</v>
      </c>
      <c r="C12" s="119">
        <v>0.077222557</v>
      </c>
      <c r="D12" s="119">
        <v>0.034242015</v>
      </c>
      <c r="E12" s="119">
        <v>0.084480011</v>
      </c>
      <c r="F12" s="157">
        <v>-0.110416604</v>
      </c>
      <c r="G12" s="162">
        <v>0.018598682864164287</v>
      </c>
    </row>
    <row r="13" spans="1:7" ht="12.75">
      <c r="A13" s="142" t="s">
        <v>109</v>
      </c>
      <c r="B13" s="136">
        <v>0.08749433200000001</v>
      </c>
      <c r="C13" s="119">
        <v>0.030053530000000002</v>
      </c>
      <c r="D13" s="119">
        <v>0.11170859600000001</v>
      </c>
      <c r="E13" s="119">
        <v>0.08220904300000001</v>
      </c>
      <c r="F13" s="157">
        <v>0.06967025700000001</v>
      </c>
      <c r="G13" s="162">
        <v>0.07584470170157208</v>
      </c>
    </row>
    <row r="14" spans="1:7" ht="12.75">
      <c r="A14" s="142" t="s">
        <v>111</v>
      </c>
      <c r="B14" s="136">
        <v>0.075619185</v>
      </c>
      <c r="C14" s="119">
        <v>-0.056442850999999995</v>
      </c>
      <c r="D14" s="119">
        <v>0.038216578</v>
      </c>
      <c r="E14" s="119">
        <v>-0.017712991</v>
      </c>
      <c r="F14" s="157">
        <v>0.037175784999999996</v>
      </c>
      <c r="G14" s="162">
        <v>0.007247072559070704</v>
      </c>
    </row>
    <row r="15" spans="1:7" ht="12.75">
      <c r="A15" s="142" t="s">
        <v>113</v>
      </c>
      <c r="B15" s="137">
        <v>-0.20432827000000003</v>
      </c>
      <c r="C15" s="120">
        <v>-0.18584761</v>
      </c>
      <c r="D15" s="120">
        <v>-0.19071569</v>
      </c>
      <c r="E15" s="120">
        <v>-0.18990343000000004</v>
      </c>
      <c r="F15" s="157">
        <v>-0.13246629999999998</v>
      </c>
      <c r="G15" s="163">
        <v>-0.18353868488971956</v>
      </c>
    </row>
    <row r="16" spans="1:7" ht="12.75">
      <c r="A16" s="142" t="s">
        <v>115</v>
      </c>
      <c r="B16" s="136">
        <v>-0.001556329757</v>
      </c>
      <c r="C16" s="119">
        <v>-0.0025732285200000004</v>
      </c>
      <c r="D16" s="119">
        <v>0.0003356805</v>
      </c>
      <c r="E16" s="119">
        <v>0.002725371352</v>
      </c>
      <c r="F16" s="157">
        <v>-0.0025152967999999996</v>
      </c>
      <c r="G16" s="162">
        <v>-0.0004436072166153918</v>
      </c>
    </row>
    <row r="17" spans="1:7" ht="12.75">
      <c r="A17" s="142" t="s">
        <v>92</v>
      </c>
      <c r="B17" s="135">
        <v>3.4152332999999997</v>
      </c>
      <c r="C17" s="118">
        <v>2.4845008</v>
      </c>
      <c r="D17" s="118">
        <v>1.1519006399999998</v>
      </c>
      <c r="E17" s="118">
        <v>0.8923208199999999</v>
      </c>
      <c r="F17" s="156">
        <v>8.312903899999998</v>
      </c>
      <c r="G17" s="162">
        <v>2.6936296029665843</v>
      </c>
    </row>
    <row r="18" spans="1:7" ht="12.75">
      <c r="A18" s="142" t="s">
        <v>94</v>
      </c>
      <c r="B18" s="136">
        <v>1.4681186</v>
      </c>
      <c r="C18" s="120">
        <v>-3.7728480000000006</v>
      </c>
      <c r="D18" s="119">
        <v>-0.43206490419999993</v>
      </c>
      <c r="E18" s="119">
        <v>-0.15270898</v>
      </c>
      <c r="F18" s="157">
        <v>0.97219531</v>
      </c>
      <c r="G18" s="162">
        <v>-0.7065583348516806</v>
      </c>
    </row>
    <row r="19" spans="1:7" ht="12.75">
      <c r="A19" s="142" t="s">
        <v>96</v>
      </c>
      <c r="B19" s="136">
        <v>-1.2267433</v>
      </c>
      <c r="C19" s="119">
        <v>0.2706034</v>
      </c>
      <c r="D19" s="119">
        <v>-1.6261429999999997</v>
      </c>
      <c r="E19" s="119">
        <v>-1.2607328</v>
      </c>
      <c r="F19" s="155">
        <v>-7.8399545</v>
      </c>
      <c r="G19" s="163">
        <v>-1.8537570107233357</v>
      </c>
    </row>
    <row r="20" spans="1:7" ht="12.75">
      <c r="A20" s="142" t="s">
        <v>98</v>
      </c>
      <c r="B20" s="135">
        <v>0.7276819999999999</v>
      </c>
      <c r="C20" s="118">
        <v>0.49348292000000005</v>
      </c>
      <c r="D20" s="118">
        <v>0.23285758000000004</v>
      </c>
      <c r="E20" s="118">
        <v>0.50583252</v>
      </c>
      <c r="F20" s="156">
        <v>2.2853814999999997</v>
      </c>
      <c r="G20" s="162">
        <v>0.7068925402666819</v>
      </c>
    </row>
    <row r="21" spans="1:7" ht="12.75">
      <c r="A21" s="142" t="s">
        <v>100</v>
      </c>
      <c r="B21" s="136">
        <v>0.058680896</v>
      </c>
      <c r="C21" s="119">
        <v>0.11203422</v>
      </c>
      <c r="D21" s="119">
        <v>0.157544144</v>
      </c>
      <c r="E21" s="119">
        <v>0.0234889299</v>
      </c>
      <c r="F21" s="157">
        <v>0.5241540899999999</v>
      </c>
      <c r="G21" s="162">
        <v>0.14899462069048916</v>
      </c>
    </row>
    <row r="22" spans="1:7" ht="12.75">
      <c r="A22" s="142" t="s">
        <v>102</v>
      </c>
      <c r="B22" s="136">
        <v>-0.018339071999999994</v>
      </c>
      <c r="C22" s="119">
        <v>-0.03942254999999999</v>
      </c>
      <c r="D22" s="119">
        <v>0.27110113200999997</v>
      </c>
      <c r="E22" s="121">
        <v>0.40359731</v>
      </c>
      <c r="F22" s="155">
        <v>-0.70019136</v>
      </c>
      <c r="G22" s="162">
        <v>0.05670332085502946</v>
      </c>
    </row>
    <row r="23" spans="1:7" ht="12.75">
      <c r="A23" s="142" t="s">
        <v>104</v>
      </c>
      <c r="B23" s="136">
        <v>0.25137837</v>
      </c>
      <c r="C23" s="119">
        <v>0.091129161</v>
      </c>
      <c r="D23" s="119">
        <v>-0.024009198899999997</v>
      </c>
      <c r="E23" s="119">
        <v>-0.0278005318</v>
      </c>
      <c r="F23" s="157">
        <v>0.26218935</v>
      </c>
      <c r="G23" s="162">
        <v>0.08082285083214495</v>
      </c>
    </row>
    <row r="24" spans="1:7" ht="12.75">
      <c r="A24" s="142" t="s">
        <v>106</v>
      </c>
      <c r="B24" s="135">
        <v>0.09272936700000001</v>
      </c>
      <c r="C24" s="118">
        <v>0.08958055599999999</v>
      </c>
      <c r="D24" s="118">
        <v>0.038316644999999996</v>
      </c>
      <c r="E24" s="118">
        <v>-0.053243191</v>
      </c>
      <c r="F24" s="158">
        <v>0.25865519</v>
      </c>
      <c r="G24" s="162">
        <v>0.06591195233665187</v>
      </c>
    </row>
    <row r="25" spans="1:7" ht="12.75">
      <c r="A25" s="142" t="s">
        <v>108</v>
      </c>
      <c r="B25" s="136">
        <v>-0.00999458</v>
      </c>
      <c r="C25" s="119">
        <v>0.018033797400000003</v>
      </c>
      <c r="D25" s="119">
        <v>-0.008354808500000001</v>
      </c>
      <c r="E25" s="119">
        <v>-0.0031494701000000006</v>
      </c>
      <c r="F25" s="157">
        <v>0.051304891529999994</v>
      </c>
      <c r="G25" s="162">
        <v>0.006977814752157623</v>
      </c>
    </row>
    <row r="26" spans="1:7" ht="12.75">
      <c r="A26" s="142" t="s">
        <v>110</v>
      </c>
      <c r="B26" s="136">
        <v>-0.11127984800000001</v>
      </c>
      <c r="C26" s="119">
        <v>0.07490894304</v>
      </c>
      <c r="D26" s="119">
        <v>-0.00029471799999999937</v>
      </c>
      <c r="E26" s="119">
        <v>0.0653957498</v>
      </c>
      <c r="F26" s="157">
        <v>-0.12047359399999999</v>
      </c>
      <c r="G26" s="162">
        <v>0.0015151225958894615</v>
      </c>
    </row>
    <row r="27" spans="1:7" ht="12.75">
      <c r="A27" s="142" t="s">
        <v>112</v>
      </c>
      <c r="B27" s="137">
        <v>0.15705251000000003</v>
      </c>
      <c r="C27" s="119">
        <v>0.09613986000000001</v>
      </c>
      <c r="D27" s="120">
        <v>0.15708966000000002</v>
      </c>
      <c r="E27" s="119">
        <v>0.13713419</v>
      </c>
      <c r="F27" s="157">
        <v>0.11257330000000002</v>
      </c>
      <c r="G27" s="163">
        <v>0.13167006601310055</v>
      </c>
    </row>
    <row r="28" spans="1:7" ht="12.75">
      <c r="A28" s="142" t="s">
        <v>114</v>
      </c>
      <c r="B28" s="136">
        <v>0.0025230105999999998</v>
      </c>
      <c r="C28" s="119">
        <v>0.012226773600000001</v>
      </c>
      <c r="D28" s="119">
        <v>0.0101490054</v>
      </c>
      <c r="E28" s="119">
        <v>0.0055342209</v>
      </c>
      <c r="F28" s="157">
        <v>-0.025842506999999997</v>
      </c>
      <c r="G28" s="162">
        <v>0.003629851197388035</v>
      </c>
    </row>
    <row r="29" spans="1:7" ht="13.5" thickBot="1">
      <c r="A29" s="143" t="s">
        <v>116</v>
      </c>
      <c r="B29" s="138">
        <v>-0.00291778537</v>
      </c>
      <c r="C29" s="122">
        <v>-0.004460794610000001</v>
      </c>
      <c r="D29" s="122">
        <v>-0.0058703613</v>
      </c>
      <c r="E29" s="122">
        <v>-0.00271220914</v>
      </c>
      <c r="F29" s="159">
        <v>0.009789378599999999</v>
      </c>
      <c r="G29" s="164">
        <v>-0.0022531793600592998</v>
      </c>
    </row>
    <row r="30" spans="1:7" ht="13.5" thickTop="1">
      <c r="A30" s="144" t="s">
        <v>117</v>
      </c>
      <c r="B30" s="139">
        <v>0.013250662307939608</v>
      </c>
      <c r="C30" s="128">
        <v>0.20118141387004668</v>
      </c>
      <c r="D30" s="128">
        <v>0.45232339165836405</v>
      </c>
      <c r="E30" s="128">
        <v>0.5945624731425807</v>
      </c>
      <c r="F30" s="124">
        <v>0.7538353636216057</v>
      </c>
      <c r="G30" s="165" t="s">
        <v>128</v>
      </c>
    </row>
    <row r="31" spans="1:7" ht="13.5" thickBot="1">
      <c r="A31" s="145" t="s">
        <v>118</v>
      </c>
      <c r="B31" s="134">
        <v>18.411255</v>
      </c>
      <c r="C31" s="125">
        <v>18.62793</v>
      </c>
      <c r="D31" s="125">
        <v>18.844605</v>
      </c>
      <c r="E31" s="125">
        <v>19.073487</v>
      </c>
      <c r="F31" s="126">
        <v>19.265748</v>
      </c>
      <c r="G31" s="167">
        <v>-210.15</v>
      </c>
    </row>
    <row r="32" spans="1:7" ht="15.75" thickBot="1" thickTop="1">
      <c r="A32" s="146" t="s">
        <v>119</v>
      </c>
      <c r="B32" s="140">
        <v>-0.07799999788403511</v>
      </c>
      <c r="C32" s="129">
        <v>-0.20999999903142452</v>
      </c>
      <c r="D32" s="129">
        <v>0.18649999797344208</v>
      </c>
      <c r="E32" s="129">
        <v>-0.13599999994039536</v>
      </c>
      <c r="F32" s="127">
        <v>-0.1535000018775463</v>
      </c>
      <c r="G32" s="132" t="s">
        <v>127</v>
      </c>
    </row>
    <row r="33" spans="1:7" ht="15" thickTop="1">
      <c r="A33" t="s">
        <v>123</v>
      </c>
      <c r="G33" s="32" t="s">
        <v>124</v>
      </c>
    </row>
    <row r="34" ht="14.25">
      <c r="A34" t="s">
        <v>125</v>
      </c>
    </row>
    <row r="35" spans="1:2" ht="12.75">
      <c r="A35" t="s">
        <v>126</v>
      </c>
      <c r="B35" t="s">
        <v>28</v>
      </c>
    </row>
  </sheetData>
  <printOptions/>
  <pageMargins left="0.708661417322835" right="0.708661417322835" top="0.78740157480315" bottom="0.78740157480315" header="0.511811023622047" footer="0.511811023622047"/>
  <pageSetup horizontalDpi="600" verticalDpi="600" orientation="portrait" paperSize="9" r:id="rId2"/>
  <headerFooter alignWithMargins="0">
    <oddHeader>&amp;C&amp;F : &amp;A</oddHeader>
    <oddFooter>&amp;LCEA/DSM/DAPNIA/STCM&amp;C&amp;D&amp;RLHCQ2 - Mesures Magnétiques à Chaud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33203125" defaultRowHeight="12.75"/>
  <cols>
    <col min="1" max="1" width="49.33203125" style="171" bestFit="1" customWidth="1"/>
    <col min="2" max="2" width="15.66015625" style="171" bestFit="1" customWidth="1"/>
    <col min="3" max="3" width="14.83203125" style="171" bestFit="1" customWidth="1"/>
    <col min="4" max="4" width="16" style="171" bestFit="1" customWidth="1"/>
    <col min="5" max="5" width="21.33203125" style="171" bestFit="1" customWidth="1"/>
    <col min="6" max="7" width="14.83203125" style="171" bestFit="1" customWidth="1"/>
    <col min="8" max="8" width="14.16015625" style="171" bestFit="1" customWidth="1"/>
    <col min="9" max="9" width="14.83203125" style="171" bestFit="1" customWidth="1"/>
    <col min="10" max="10" width="6.33203125" style="171" bestFit="1" customWidth="1"/>
    <col min="11" max="11" width="15" style="171" bestFit="1" customWidth="1"/>
    <col min="12" max="16384" width="10.66015625" style="171" customWidth="1"/>
  </cols>
  <sheetData>
    <row r="1" spans="1:5" ht="12.75">
      <c r="A1" s="171" t="s">
        <v>129</v>
      </c>
      <c r="B1" s="171" t="s">
        <v>130</v>
      </c>
      <c r="C1" s="171" t="s">
        <v>131</v>
      </c>
      <c r="D1" s="171" t="s">
        <v>132</v>
      </c>
      <c r="E1" s="171" t="s">
        <v>133</v>
      </c>
    </row>
    <row r="3" spans="1:7" ht="12.75">
      <c r="A3" s="171" t="s">
        <v>134</v>
      </c>
      <c r="B3" s="171" t="s">
        <v>84</v>
      </c>
      <c r="C3" s="171" t="s">
        <v>85</v>
      </c>
      <c r="D3" s="171" t="s">
        <v>86</v>
      </c>
      <c r="E3" s="171" t="s">
        <v>87</v>
      </c>
      <c r="F3" s="171" t="s">
        <v>88</v>
      </c>
      <c r="G3" s="171" t="s">
        <v>135</v>
      </c>
    </row>
    <row r="4" spans="1:7" ht="12.75">
      <c r="A4" s="171" t="s">
        <v>136</v>
      </c>
      <c r="B4" s="171">
        <v>0.002259</v>
      </c>
      <c r="C4" s="171">
        <v>0.003761</v>
      </c>
      <c r="D4" s="171">
        <v>0.00376</v>
      </c>
      <c r="E4" s="171">
        <v>0.00376</v>
      </c>
      <c r="F4" s="171">
        <v>0.002087</v>
      </c>
      <c r="G4" s="171">
        <v>0.011718</v>
      </c>
    </row>
    <row r="5" spans="1:7" ht="12.75">
      <c r="A5" s="171" t="s">
        <v>137</v>
      </c>
      <c r="B5" s="171">
        <v>6.932536</v>
      </c>
      <c r="C5" s="171">
        <v>3.513324</v>
      </c>
      <c r="D5" s="171">
        <v>-0.861664</v>
      </c>
      <c r="E5" s="171">
        <v>-3.459422</v>
      </c>
      <c r="F5" s="171">
        <v>-6.11487</v>
      </c>
      <c r="G5" s="171">
        <v>-6.935576</v>
      </c>
    </row>
    <row r="6" spans="1:7" ht="12.75">
      <c r="A6" s="171" t="s">
        <v>138</v>
      </c>
      <c r="B6" s="172">
        <v>-221.3006</v>
      </c>
      <c r="C6" s="172">
        <v>132.5483</v>
      </c>
      <c r="D6" s="172">
        <v>-145.6847</v>
      </c>
      <c r="E6" s="172">
        <v>0.8934602</v>
      </c>
      <c r="F6" s="172">
        <v>-391.7294</v>
      </c>
      <c r="G6" s="172">
        <v>786.1081</v>
      </c>
    </row>
    <row r="7" spans="1:7" ht="12.75">
      <c r="A7" s="171" t="s">
        <v>139</v>
      </c>
      <c r="B7" s="172">
        <v>10000</v>
      </c>
      <c r="C7" s="172">
        <v>10000</v>
      </c>
      <c r="D7" s="172">
        <v>10000</v>
      </c>
      <c r="E7" s="172">
        <v>10000</v>
      </c>
      <c r="F7" s="172">
        <v>10000</v>
      </c>
      <c r="G7" s="172">
        <v>10000</v>
      </c>
    </row>
    <row r="8" spans="1:7" ht="12.75">
      <c r="A8" s="171" t="s">
        <v>91</v>
      </c>
      <c r="B8" s="172">
        <v>1.838002</v>
      </c>
      <c r="C8" s="172">
        <v>-0.8317941</v>
      </c>
      <c r="D8" s="172">
        <v>0.2196115</v>
      </c>
      <c r="E8" s="172">
        <v>-0.206738</v>
      </c>
      <c r="F8" s="172">
        <v>0.0684771</v>
      </c>
      <c r="G8" s="172">
        <v>2.756024</v>
      </c>
    </row>
    <row r="9" spans="1:7" ht="12.75">
      <c r="A9" s="171" t="s">
        <v>93</v>
      </c>
      <c r="B9" s="172">
        <v>0.0139353</v>
      </c>
      <c r="C9" s="172">
        <v>-0.4069089</v>
      </c>
      <c r="D9" s="172">
        <v>0.07849704</v>
      </c>
      <c r="E9" s="172">
        <v>0.3310358</v>
      </c>
      <c r="F9" s="172">
        <v>-3.175664</v>
      </c>
      <c r="G9" s="172">
        <v>0.4214009</v>
      </c>
    </row>
    <row r="10" spans="1:7" ht="12.75">
      <c r="A10" s="171" t="s">
        <v>140</v>
      </c>
      <c r="B10" s="172">
        <v>-0.1518476</v>
      </c>
      <c r="C10" s="172">
        <v>0.8754829</v>
      </c>
      <c r="D10" s="172">
        <v>-0.008910149</v>
      </c>
      <c r="E10" s="172">
        <v>0.1382934</v>
      </c>
      <c r="F10" s="172">
        <v>-3.188128</v>
      </c>
      <c r="G10" s="172">
        <v>1.739088</v>
      </c>
    </row>
    <row r="11" spans="1:7" ht="12.75">
      <c r="A11" s="171" t="s">
        <v>97</v>
      </c>
      <c r="B11" s="172">
        <v>3.512799</v>
      </c>
      <c r="C11" s="172">
        <v>3.278281</v>
      </c>
      <c r="D11" s="172">
        <v>3.542849</v>
      </c>
      <c r="E11" s="172">
        <v>3.545687</v>
      </c>
      <c r="F11" s="172">
        <v>14.58238</v>
      </c>
      <c r="G11" s="172">
        <v>4.949643</v>
      </c>
    </row>
    <row r="12" spans="1:7" ht="12.75">
      <c r="A12" s="171" t="s">
        <v>99</v>
      </c>
      <c r="B12" s="172">
        <v>-0.2444939</v>
      </c>
      <c r="C12" s="172">
        <v>0.1786593</v>
      </c>
      <c r="D12" s="172">
        <v>0.1509915</v>
      </c>
      <c r="E12" s="172">
        <v>0.08898993</v>
      </c>
      <c r="F12" s="172">
        <v>-0.4005855</v>
      </c>
      <c r="G12" s="172">
        <v>0.1420458</v>
      </c>
    </row>
    <row r="13" spans="1:7" ht="12.75">
      <c r="A13" s="171" t="s">
        <v>101</v>
      </c>
      <c r="B13" s="172">
        <v>0.06833832</v>
      </c>
      <c r="C13" s="172">
        <v>-0.01066907</v>
      </c>
      <c r="D13" s="172">
        <v>0.004307695</v>
      </c>
      <c r="E13" s="172">
        <v>0.1764572</v>
      </c>
      <c r="F13" s="172">
        <v>-0.1197841</v>
      </c>
      <c r="G13" s="172">
        <v>-0.03480979</v>
      </c>
    </row>
    <row r="14" spans="1:7" ht="12.75">
      <c r="A14" s="171" t="s">
        <v>103</v>
      </c>
      <c r="B14" s="172">
        <v>0.1023073</v>
      </c>
      <c r="C14" s="172">
        <v>0.08829736</v>
      </c>
      <c r="D14" s="172">
        <v>0.07503813</v>
      </c>
      <c r="E14" s="172">
        <v>-0.0930075</v>
      </c>
      <c r="F14" s="172">
        <v>0.3603994</v>
      </c>
      <c r="G14" s="172">
        <v>-0.08559296</v>
      </c>
    </row>
    <row r="15" spans="1:7" ht="12.75">
      <c r="A15" s="171" t="s">
        <v>105</v>
      </c>
      <c r="B15" s="172">
        <v>-0.3315778</v>
      </c>
      <c r="C15" s="172">
        <v>-0.05869179</v>
      </c>
      <c r="D15" s="172">
        <v>0.01178479</v>
      </c>
      <c r="E15" s="172">
        <v>-0.005241603</v>
      </c>
      <c r="F15" s="172">
        <v>-0.3002766</v>
      </c>
      <c r="G15" s="172">
        <v>-0.1005936</v>
      </c>
    </row>
    <row r="16" spans="1:7" ht="12.75">
      <c r="A16" s="171" t="s">
        <v>107</v>
      </c>
      <c r="B16" s="172">
        <v>-0.07931043</v>
      </c>
      <c r="C16" s="172">
        <v>0.07211153</v>
      </c>
      <c r="D16" s="172">
        <v>0.03733062</v>
      </c>
      <c r="E16" s="172">
        <v>0.07347381</v>
      </c>
      <c r="F16" s="172">
        <v>-0.08003982</v>
      </c>
      <c r="G16" s="172">
        <v>-0.009283896</v>
      </c>
    </row>
    <row r="17" spans="1:7" ht="12.75">
      <c r="A17" s="171" t="s">
        <v>109</v>
      </c>
      <c r="B17" s="172">
        <v>0.09769962</v>
      </c>
      <c r="C17" s="172">
        <v>0.05298576</v>
      </c>
      <c r="D17" s="172">
        <v>0.106321</v>
      </c>
      <c r="E17" s="172">
        <v>0.08627704</v>
      </c>
      <c r="F17" s="172">
        <v>0.06373862</v>
      </c>
      <c r="G17" s="172">
        <v>-0.08172897</v>
      </c>
    </row>
    <row r="18" spans="1:7" ht="12.75">
      <c r="A18" s="171" t="s">
        <v>141</v>
      </c>
      <c r="B18" s="172">
        <v>0.04937017</v>
      </c>
      <c r="C18" s="172">
        <v>-0.04446006</v>
      </c>
      <c r="D18" s="172">
        <v>0.03514883</v>
      </c>
      <c r="E18" s="172">
        <v>-0.00448034</v>
      </c>
      <c r="F18" s="172">
        <v>0.03054763</v>
      </c>
      <c r="G18" s="172">
        <v>-0.1312164</v>
      </c>
    </row>
    <row r="19" spans="1:7" ht="12.75">
      <c r="A19" s="171" t="s">
        <v>142</v>
      </c>
      <c r="B19" s="172">
        <v>-0.2036435</v>
      </c>
      <c r="C19" s="172">
        <v>-0.1862348</v>
      </c>
      <c r="D19" s="172">
        <v>-0.1905815</v>
      </c>
      <c r="E19" s="172">
        <v>-0.1894302</v>
      </c>
      <c r="F19" s="172">
        <v>-0.1343342</v>
      </c>
      <c r="G19" s="172">
        <v>-0.1836363</v>
      </c>
    </row>
    <row r="20" spans="1:7" ht="12.75">
      <c r="A20" s="171" t="s">
        <v>115</v>
      </c>
      <c r="B20" s="172">
        <v>-0.001262126</v>
      </c>
      <c r="C20" s="172">
        <v>-0.002329958</v>
      </c>
      <c r="D20" s="172">
        <v>0.0003046178</v>
      </c>
      <c r="E20" s="172">
        <v>0.002552277</v>
      </c>
      <c r="F20" s="172">
        <v>-0.001544466</v>
      </c>
      <c r="G20" s="172">
        <v>-0.002312449</v>
      </c>
    </row>
    <row r="21" spans="1:7" ht="12.75">
      <c r="A21" s="171" t="s">
        <v>143</v>
      </c>
      <c r="B21" s="172">
        <v>-834.8297</v>
      </c>
      <c r="C21" s="172">
        <v>-675.4267</v>
      </c>
      <c r="D21" s="172">
        <v>-828.568</v>
      </c>
      <c r="E21" s="172">
        <v>-781.4366</v>
      </c>
      <c r="F21" s="172">
        <v>-864.7382</v>
      </c>
      <c r="G21" s="172">
        <v>-87.23625</v>
      </c>
    </row>
    <row r="22" spans="1:7" ht="12.75">
      <c r="A22" s="171" t="s">
        <v>144</v>
      </c>
      <c r="B22" s="172">
        <v>138.6596</v>
      </c>
      <c r="C22" s="172">
        <v>70.26764</v>
      </c>
      <c r="D22" s="172">
        <v>-17.23329</v>
      </c>
      <c r="E22" s="172">
        <v>-69.18955</v>
      </c>
      <c r="F22" s="172">
        <v>-122.3035</v>
      </c>
      <c r="G22" s="172">
        <v>0</v>
      </c>
    </row>
    <row r="23" spans="1:7" ht="12.75">
      <c r="A23" s="171" t="s">
        <v>92</v>
      </c>
      <c r="B23" s="172">
        <v>3.509322</v>
      </c>
      <c r="C23" s="172">
        <v>2.725529</v>
      </c>
      <c r="D23" s="172">
        <v>1.137126</v>
      </c>
      <c r="E23" s="172">
        <v>0.8878739</v>
      </c>
      <c r="F23" s="172">
        <v>8.278597</v>
      </c>
      <c r="G23" s="172">
        <v>-0.07772911</v>
      </c>
    </row>
    <row r="24" spans="1:7" ht="12.75">
      <c r="A24" s="171" t="s">
        <v>94</v>
      </c>
      <c r="B24" s="172">
        <v>1.396049</v>
      </c>
      <c r="C24" s="172">
        <v>-3.839715</v>
      </c>
      <c r="D24" s="172">
        <v>-0.470884</v>
      </c>
      <c r="E24" s="172">
        <v>-0.1113052</v>
      </c>
      <c r="F24" s="172">
        <v>0.0646457</v>
      </c>
      <c r="G24" s="172">
        <v>0.8536751</v>
      </c>
    </row>
    <row r="25" spans="1:7" ht="12.75">
      <c r="A25" s="171" t="s">
        <v>96</v>
      </c>
      <c r="B25" s="172">
        <v>-1.096564</v>
      </c>
      <c r="C25" s="172">
        <v>0.05172801</v>
      </c>
      <c r="D25" s="172">
        <v>-1.543224</v>
      </c>
      <c r="E25" s="172">
        <v>-1.294716</v>
      </c>
      <c r="F25" s="172">
        <v>-6.8158</v>
      </c>
      <c r="G25" s="172">
        <v>-0.2057802</v>
      </c>
    </row>
    <row r="26" spans="1:7" ht="12.75">
      <c r="A26" s="171" t="s">
        <v>98</v>
      </c>
      <c r="B26" s="172">
        <v>0.8667368</v>
      </c>
      <c r="C26" s="172">
        <v>0.5338757</v>
      </c>
      <c r="D26" s="172">
        <v>0.2187528</v>
      </c>
      <c r="E26" s="172">
        <v>0.4291623</v>
      </c>
      <c r="F26" s="172">
        <v>1.805261</v>
      </c>
      <c r="G26" s="172">
        <v>0.6510114</v>
      </c>
    </row>
    <row r="27" spans="1:7" ht="12.75">
      <c r="A27" s="171" t="s">
        <v>100</v>
      </c>
      <c r="B27" s="172">
        <v>0.06176927</v>
      </c>
      <c r="C27" s="172">
        <v>0.137727</v>
      </c>
      <c r="D27" s="172">
        <v>0.1801051</v>
      </c>
      <c r="E27" s="172">
        <v>0.006068587</v>
      </c>
      <c r="F27" s="172">
        <v>0.4131977</v>
      </c>
      <c r="G27" s="172">
        <v>-0.01188758</v>
      </c>
    </row>
    <row r="28" spans="1:7" ht="12.75">
      <c r="A28" s="171" t="s">
        <v>102</v>
      </c>
      <c r="B28" s="172">
        <v>0.0182474</v>
      </c>
      <c r="C28" s="172">
        <v>-0.06089229</v>
      </c>
      <c r="D28" s="172">
        <v>0.2734397</v>
      </c>
      <c r="E28" s="172">
        <v>0.4017229</v>
      </c>
      <c r="F28" s="172">
        <v>-0.6031799</v>
      </c>
      <c r="G28" s="172">
        <v>-0.06989536</v>
      </c>
    </row>
    <row r="29" spans="1:7" ht="12.75">
      <c r="A29" s="171" t="s">
        <v>104</v>
      </c>
      <c r="B29" s="172">
        <v>0.25574</v>
      </c>
      <c r="C29" s="172">
        <v>0.08293581</v>
      </c>
      <c r="D29" s="172">
        <v>-0.02170554</v>
      </c>
      <c r="E29" s="172">
        <v>-0.01989724</v>
      </c>
      <c r="F29" s="172">
        <v>0.2895305</v>
      </c>
      <c r="G29" s="172">
        <v>0.07983436</v>
      </c>
    </row>
    <row r="30" spans="1:7" ht="12.75">
      <c r="A30" s="171" t="s">
        <v>106</v>
      </c>
      <c r="B30" s="172">
        <v>0.06845091</v>
      </c>
      <c r="C30" s="172">
        <v>0.07831549</v>
      </c>
      <c r="D30" s="172">
        <v>0.04207548</v>
      </c>
      <c r="E30" s="172">
        <v>-0.05185909</v>
      </c>
      <c r="F30" s="172">
        <v>0.2853264</v>
      </c>
      <c r="G30" s="172">
        <v>0.06448102</v>
      </c>
    </row>
    <row r="31" spans="1:7" ht="12.75">
      <c r="A31" s="171" t="s">
        <v>108</v>
      </c>
      <c r="B31" s="172">
        <v>-0.03287202</v>
      </c>
      <c r="C31" s="172">
        <v>-0.005695925</v>
      </c>
      <c r="D31" s="172">
        <v>-0.009034547</v>
      </c>
      <c r="E31" s="172">
        <v>-0.01758905</v>
      </c>
      <c r="F31" s="172">
        <v>0.02429076</v>
      </c>
      <c r="G31" s="172">
        <v>-0.02186164</v>
      </c>
    </row>
    <row r="32" spans="1:7" ht="12.75">
      <c r="A32" s="171" t="s">
        <v>110</v>
      </c>
      <c r="B32" s="172">
        <v>-0.07311268</v>
      </c>
      <c r="C32" s="172">
        <v>0.05746688</v>
      </c>
      <c r="D32" s="172">
        <v>0.01070654</v>
      </c>
      <c r="E32" s="172">
        <v>0.04642442</v>
      </c>
      <c r="F32" s="172">
        <v>-0.08441878</v>
      </c>
      <c r="G32" s="172">
        <v>-0.005741526</v>
      </c>
    </row>
    <row r="33" spans="1:7" ht="12.75">
      <c r="A33" s="171" t="s">
        <v>112</v>
      </c>
      <c r="B33" s="172">
        <v>0.1585996</v>
      </c>
      <c r="C33" s="172">
        <v>0.1014922</v>
      </c>
      <c r="D33" s="172">
        <v>0.1537232</v>
      </c>
      <c r="E33" s="172">
        <v>0.1376247</v>
      </c>
      <c r="F33" s="172">
        <v>0.1030313</v>
      </c>
      <c r="G33" s="172">
        <v>0.007881719</v>
      </c>
    </row>
    <row r="34" spans="1:7" ht="12.75">
      <c r="A34" s="171" t="s">
        <v>114</v>
      </c>
      <c r="B34" s="172">
        <v>-0.01733889</v>
      </c>
      <c r="C34" s="172">
        <v>0.003173367</v>
      </c>
      <c r="D34" s="172">
        <v>0.01241194</v>
      </c>
      <c r="E34" s="172">
        <v>0.01475108</v>
      </c>
      <c r="F34" s="172">
        <v>-0.01424079</v>
      </c>
      <c r="G34" s="172">
        <v>0.002869272</v>
      </c>
    </row>
    <row r="35" spans="1:7" ht="12.75">
      <c r="A35" s="171" t="s">
        <v>116</v>
      </c>
      <c r="B35" s="172">
        <v>-0.003064728</v>
      </c>
      <c r="C35" s="172">
        <v>-0.004589465</v>
      </c>
      <c r="D35" s="172">
        <v>-0.005869126</v>
      </c>
      <c r="E35" s="172">
        <v>-0.002851424</v>
      </c>
      <c r="F35" s="172">
        <v>0.009985499</v>
      </c>
      <c r="G35" s="172">
        <v>0.0002617141</v>
      </c>
    </row>
    <row r="36" spans="1:6" ht="12.75">
      <c r="A36" s="171" t="s">
        <v>145</v>
      </c>
      <c r="B36" s="172">
        <v>19.26575</v>
      </c>
      <c r="C36" s="172">
        <v>19.2688</v>
      </c>
      <c r="D36" s="172">
        <v>19.28711</v>
      </c>
      <c r="E36" s="172">
        <v>19.28711</v>
      </c>
      <c r="F36" s="172">
        <v>19.29932</v>
      </c>
    </row>
    <row r="37" spans="1:6" ht="12.75">
      <c r="A37" s="171" t="s">
        <v>146</v>
      </c>
      <c r="B37" s="172">
        <v>-0.134786</v>
      </c>
      <c r="C37" s="172">
        <v>-0.1724243</v>
      </c>
      <c r="D37" s="172">
        <v>-0.18514</v>
      </c>
      <c r="E37" s="172">
        <v>-0.1983643</v>
      </c>
      <c r="F37" s="172">
        <v>-0.2120972</v>
      </c>
    </row>
    <row r="38" spans="1:7" ht="12.75">
      <c r="A38" s="171" t="s">
        <v>147</v>
      </c>
      <c r="B38" s="172">
        <v>0.0003958137</v>
      </c>
      <c r="C38" s="172">
        <v>-0.0002172531</v>
      </c>
      <c r="D38" s="172">
        <v>0.0002452358</v>
      </c>
      <c r="E38" s="172">
        <v>-1.07098E-05</v>
      </c>
      <c r="F38" s="172">
        <v>0.0006478637</v>
      </c>
      <c r="G38" s="172">
        <v>6.951725E-05</v>
      </c>
    </row>
    <row r="39" spans="1:7" ht="12.75">
      <c r="A39" s="171" t="s">
        <v>148</v>
      </c>
      <c r="B39" s="172">
        <v>0.001413722</v>
      </c>
      <c r="C39" s="172">
        <v>0.001149752</v>
      </c>
      <c r="D39" s="172">
        <v>0.001408988</v>
      </c>
      <c r="E39" s="172">
        <v>0.001328368</v>
      </c>
      <c r="F39" s="172">
        <v>0.001477979</v>
      </c>
      <c r="G39" s="172">
        <v>0.0006686867</v>
      </c>
    </row>
    <row r="40" spans="2:5" ht="12.75">
      <c r="B40" s="171" t="s">
        <v>149</v>
      </c>
      <c r="C40" s="171">
        <v>0.00376</v>
      </c>
      <c r="D40" s="171" t="s">
        <v>150</v>
      </c>
      <c r="E40" s="171">
        <v>3.116465</v>
      </c>
    </row>
    <row r="42" ht="12.75">
      <c r="A42" s="171" t="s">
        <v>151</v>
      </c>
    </row>
    <row r="50" spans="1:7" ht="12.75">
      <c r="A50" s="171" t="s">
        <v>152</v>
      </c>
      <c r="B50" s="171">
        <f>-0.017/(B7*B7+B22*B22)*(B21*B22+B6*B7)</f>
        <v>0.00039581363483808804</v>
      </c>
      <c r="C50" s="171">
        <f>-0.017/(C7*C7+C22*C22)*(C21*C22+C6*C7)</f>
        <v>-0.0002172530742055472</v>
      </c>
      <c r="D50" s="171">
        <f>-0.017/(D7*D7+D22*D22)*(D21*D22+D6*D7)</f>
        <v>0.0002452358397363096</v>
      </c>
      <c r="E50" s="171">
        <f>-0.017/(E7*E7+E22*E22)*(E21*E22+E6*E7)</f>
        <v>-1.0709801581319679E-05</v>
      </c>
      <c r="F50" s="171">
        <f>-0.017/(F7*F7+F22*F22)*(F21*F22+F6*F7)</f>
        <v>0.0006478637851529795</v>
      </c>
      <c r="G50" s="171">
        <f>(B50*B$4+C50*C$4+D50*D$4+E50*E$4+F50*F$4)/SUM(B$4:F$4)</f>
        <v>0.00014788275498107172</v>
      </c>
    </row>
    <row r="51" spans="1:7" ht="12.75">
      <c r="A51" s="171" t="s">
        <v>153</v>
      </c>
      <c r="B51" s="171">
        <f>-0.017/(B7*B7+B22*B22)*(B21*B7-B6*B22)</f>
        <v>0.0014137221539718807</v>
      </c>
      <c r="C51" s="171">
        <f>-0.017/(C7*C7+C22*C22)*(C21*C7-C6*C22)</f>
        <v>0.001149751976080717</v>
      </c>
      <c r="D51" s="171">
        <f>-0.017/(D7*D7+D22*D22)*(D21*D7-D6*D22)</f>
        <v>0.001408988222034457</v>
      </c>
      <c r="E51" s="171">
        <f>-0.017/(E7*E7+E22*E22)*(E21*E7-E6*E22)</f>
        <v>0.0013283681193647999</v>
      </c>
      <c r="F51" s="171">
        <f>-0.017/(F7*F7+F22*F22)*(F21*F7-F6*F22)</f>
        <v>0.0014779785408447457</v>
      </c>
      <c r="G51" s="171">
        <f>(B51*B$4+C51*C$4+D51*D$4+E51*E$4+F51*F$4)/SUM(B$4:F$4)</f>
        <v>0.001337097113090564</v>
      </c>
    </row>
    <row r="58" ht="12.75">
      <c r="A58" s="171" t="s">
        <v>155</v>
      </c>
    </row>
    <row r="60" spans="2:6" ht="12.75">
      <c r="B60" s="171" t="s">
        <v>84</v>
      </c>
      <c r="C60" s="171" t="s">
        <v>85</v>
      </c>
      <c r="D60" s="171" t="s">
        <v>86</v>
      </c>
      <c r="E60" s="171" t="s">
        <v>87</v>
      </c>
      <c r="F60" s="171" t="s">
        <v>88</v>
      </c>
    </row>
    <row r="61" spans="1:6" ht="12.75">
      <c r="A61" s="171" t="s">
        <v>157</v>
      </c>
      <c r="B61" s="171">
        <f>B6+(1/0.017)*(B7*B50-B22*B51)</f>
        <v>0</v>
      </c>
      <c r="C61" s="171">
        <f>C6+(1/0.017)*(C7*C50-C22*C51)</f>
        <v>0</v>
      </c>
      <c r="D61" s="171">
        <f>D6+(1/0.017)*(D7*D50-D22*D51)</f>
        <v>0</v>
      </c>
      <c r="E61" s="171">
        <f>E6+(1/0.017)*(E7*E50-E22*E51)</f>
        <v>0</v>
      </c>
      <c r="F61" s="171">
        <f>F6+(1/0.017)*(F7*F50-F22*F51)</f>
        <v>0</v>
      </c>
    </row>
    <row r="62" spans="1:6" ht="12.75">
      <c r="A62" s="171" t="s">
        <v>160</v>
      </c>
      <c r="B62" s="171">
        <f>B7+(2/0.017)*(B8*B50-B23*B51)</f>
        <v>9999.501917646547</v>
      </c>
      <c r="C62" s="171">
        <f>C7+(2/0.017)*(C8*C50-C23*C51)</f>
        <v>9999.65259146726</v>
      </c>
      <c r="D62" s="171">
        <f>D7+(2/0.017)*(D8*D50-D23*D51)</f>
        <v>9999.817842290548</v>
      </c>
      <c r="E62" s="171">
        <f>E7+(2/0.017)*(E8*E50-E23*E51)</f>
        <v>9999.861504792963</v>
      </c>
      <c r="F62" s="171">
        <f>F7+(2/0.017)*(F8*F50-F23*F51)</f>
        <v>9998.565738249283</v>
      </c>
    </row>
    <row r="63" spans="1:6" ht="12.75">
      <c r="A63" s="171" t="s">
        <v>161</v>
      </c>
      <c r="B63" s="171">
        <f>B8+(3/0.017)*(B9*B50-B24*B51)</f>
        <v>1.4906885380732826</v>
      </c>
      <c r="C63" s="171">
        <f>C8+(3/0.017)*(C9*C50-C24*C51)</f>
        <v>-0.037125490891170454</v>
      </c>
      <c r="D63" s="171">
        <f>D8+(3/0.017)*(D9*D50-D24*D51)</f>
        <v>0.3400915524939449</v>
      </c>
      <c r="E63" s="171">
        <f>E8+(3/0.017)*(E9*E50-E24*E51)</f>
        <v>-0.181271714447316</v>
      </c>
      <c r="F63" s="171">
        <f>F8+(3/0.017)*(F9*F50-F24*F51)</f>
        <v>-0.3114539570774009</v>
      </c>
    </row>
    <row r="64" spans="1:6" ht="12.75">
      <c r="A64" s="171" t="s">
        <v>162</v>
      </c>
      <c r="B64" s="171">
        <f>B9+(4/0.017)*(B10*B50-B25*B51)</f>
        <v>0.3645549398942544</v>
      </c>
      <c r="C64" s="171">
        <f>C9+(4/0.017)*(C10*C50-C25*C51)</f>
        <v>-0.46565613133073197</v>
      </c>
      <c r="D64" s="171">
        <f>D9+(4/0.017)*(D10*D50-D25*D51)</f>
        <v>0.5896027699032264</v>
      </c>
      <c r="E64" s="171">
        <f>E9+(4/0.017)*(E10*E50-E25*E51)</f>
        <v>0.7353601207429435</v>
      </c>
      <c r="F64" s="171">
        <f>F9+(4/0.017)*(F10*F50-F25*F51)</f>
        <v>-1.2913973023394305</v>
      </c>
    </row>
    <row r="65" spans="1:6" ht="12.75">
      <c r="A65" s="171" t="s">
        <v>163</v>
      </c>
      <c r="B65" s="171">
        <f>B10+(5/0.017)*(B11*B50-B26*B51)</f>
        <v>-0.10329209269914542</v>
      </c>
      <c r="C65" s="171">
        <f>C10+(5/0.017)*(C11*C50-C26*C51)</f>
        <v>0.4854707628187907</v>
      </c>
      <c r="D65" s="171">
        <f>D10+(5/0.017)*(D11*D50-D26*D51)</f>
        <v>0.15597615418731925</v>
      </c>
      <c r="E65" s="171">
        <f>E10+(5/0.017)*(E11*E50-E26*E51)</f>
        <v>-0.04054751811551077</v>
      </c>
      <c r="F65" s="171">
        <f>F10+(5/0.017)*(F11*F50-F26*F51)</f>
        <v>-1.194228328024947</v>
      </c>
    </row>
    <row r="66" spans="1:6" ht="12.75">
      <c r="A66" s="171" t="s">
        <v>164</v>
      </c>
      <c r="B66" s="171">
        <f>B11+(6/0.017)*(B12*B50-B27*B51)</f>
        <v>3.4478230218746786</v>
      </c>
      <c r="C66" s="171">
        <f>C11+(6/0.017)*(C12*C50-C27*C51)</f>
        <v>3.208692939092913</v>
      </c>
      <c r="D66" s="171">
        <f>D11+(6/0.017)*(D12*D50-D27*D51)</f>
        <v>3.4663534338825435</v>
      </c>
      <c r="E66" s="171">
        <f>E11+(6/0.017)*(E12*E50-E27*E51)</f>
        <v>3.5425054534140847</v>
      </c>
      <c r="F66" s="171">
        <f>F11+(6/0.017)*(F12*F50-F27*F51)</f>
        <v>14.2752427628116</v>
      </c>
    </row>
    <row r="67" spans="1:6" ht="12.75">
      <c r="A67" s="171" t="s">
        <v>165</v>
      </c>
      <c r="B67" s="171">
        <f>B12+(7/0.017)*(B13*B50-B28*B51)</f>
        <v>-0.24397817079771802</v>
      </c>
      <c r="C67" s="171">
        <f>C12+(7/0.017)*(C13*C50-C28*C51)</f>
        <v>0.20844179606376234</v>
      </c>
      <c r="D67" s="171">
        <f>D12+(7/0.017)*(D13*D50-D28*D51)</f>
        <v>-0.0072154652206986025</v>
      </c>
      <c r="E67" s="171">
        <f>E12+(7/0.017)*(E13*E50-E28*E51)</f>
        <v>-0.13152065843815186</v>
      </c>
      <c r="F67" s="171">
        <f>F12+(7/0.017)*(F13*F50-F28*F51)</f>
        <v>-0.06545713668869668</v>
      </c>
    </row>
    <row r="68" spans="1:6" ht="12.75">
      <c r="A68" s="171" t="s">
        <v>166</v>
      </c>
      <c r="B68" s="171">
        <f>B13+(8/0.017)*(B14*B50-B29*B51)</f>
        <v>-0.08274435264625792</v>
      </c>
      <c r="C68" s="171">
        <f>C13+(8/0.017)*(C14*C50-C29*C51)</f>
        <v>-0.06456953321863002</v>
      </c>
      <c r="D68" s="171">
        <f>D13+(8/0.017)*(D14*D50-D29*D51)</f>
        <v>0.027359407487383598</v>
      </c>
      <c r="E68" s="171">
        <f>E13+(8/0.017)*(E14*E50-E29*E51)</f>
        <v>0.18936400054114103</v>
      </c>
      <c r="F68" s="171">
        <f>F13+(8/0.017)*(F14*F50-F29*F51)</f>
        <v>-0.21128063951491155</v>
      </c>
    </row>
    <row r="69" spans="1:6" ht="12.75">
      <c r="A69" s="171" t="s">
        <v>167</v>
      </c>
      <c r="B69" s="171">
        <f>B14+(9/0.017)*(B15*B50-B30*B51)</f>
        <v>-0.0184057729167863</v>
      </c>
      <c r="C69" s="171">
        <f>C14+(9/0.017)*(C15*C50-C30*C51)</f>
        <v>0.04737784481212183</v>
      </c>
      <c r="D69" s="171">
        <f>D14+(9/0.017)*(D15*D50-D30*D51)</f>
        <v>0.04518258729634572</v>
      </c>
      <c r="E69" s="171">
        <f>E14+(9/0.017)*(E15*E50-E30*E51)</f>
        <v>-0.05650768320880522</v>
      </c>
      <c r="F69" s="171">
        <f>F14+(9/0.017)*(F15*F50-F30*F51)</f>
        <v>0.03415224240893161</v>
      </c>
    </row>
    <row r="70" spans="1:6" ht="12.75">
      <c r="A70" s="171" t="s">
        <v>168</v>
      </c>
      <c r="B70" s="171">
        <f>B15+(10/0.017)*(B16*B50-B31*B51)</f>
        <v>-0.3227073568582735</v>
      </c>
      <c r="C70" s="171">
        <f>C15+(10/0.017)*(C16*C50-C31*C51)</f>
        <v>-0.06405505503165175</v>
      </c>
      <c r="D70" s="171">
        <f>D15+(10/0.017)*(D16*D50-D31*D51)</f>
        <v>0.024657952504702242</v>
      </c>
      <c r="E70" s="171">
        <f>E15+(10/0.017)*(E16*E50-E31*E51)</f>
        <v>0.008039481319641089</v>
      </c>
      <c r="F70" s="171">
        <f>F15+(10/0.017)*(F16*F50-F31*F51)</f>
        <v>-0.35189784868763124</v>
      </c>
    </row>
    <row r="71" spans="1:6" ht="12.75">
      <c r="A71" s="171" t="s">
        <v>169</v>
      </c>
      <c r="B71" s="171">
        <f>B16+(11/0.017)*(B17*B50-B32*B51)</f>
        <v>0.0125925364020191</v>
      </c>
      <c r="C71" s="171">
        <f>C16+(11/0.017)*(C17*C50-C32*C51)</f>
        <v>0.021910132413445985</v>
      </c>
      <c r="D71" s="171">
        <f>D16+(11/0.017)*(D17*D50-D32*D51)</f>
        <v>0.04444071650214689</v>
      </c>
      <c r="E71" s="171">
        <f>E16+(11/0.017)*(E17*E50-E32*E51)</f>
        <v>0.03297263210931312</v>
      </c>
      <c r="F71" s="171">
        <f>F16+(11/0.017)*(F17*F50-F32*F51)</f>
        <v>0.027412766933948868</v>
      </c>
    </row>
    <row r="72" spans="1:6" ht="12.75">
      <c r="A72" s="171" t="s">
        <v>170</v>
      </c>
      <c r="B72" s="171">
        <f>B17+(12/0.017)*(B18*B50-B33*B51)</f>
        <v>-0.04677641413468543</v>
      </c>
      <c r="C72" s="171">
        <f>C17+(12/0.017)*(C18*C50-C33*C51)</f>
        <v>-0.022566079618176187</v>
      </c>
      <c r="D72" s="171">
        <f>D17+(12/0.017)*(D18*D50-D33*D51)</f>
        <v>-0.0404844767618695</v>
      </c>
      <c r="E72" s="171">
        <f>E17+(12/0.017)*(E18*E50-E33*E51)</f>
        <v>-0.04273586378686675</v>
      </c>
      <c r="F72" s="171">
        <f>F17+(12/0.017)*(F18*F50-F33*F51)</f>
        <v>-0.029781860401942056</v>
      </c>
    </row>
    <row r="73" spans="1:6" ht="12.75">
      <c r="A73" s="171" t="s">
        <v>171</v>
      </c>
      <c r="B73" s="171">
        <f>B18+(13/0.017)*(B19*B50-B34*B51)</f>
        <v>0.0064759045081004205</v>
      </c>
      <c r="C73" s="171">
        <f>C18+(13/0.017)*(C19*C50-C34*C51)</f>
        <v>-0.01631009105972431</v>
      </c>
      <c r="D73" s="171">
        <f>D18+(13/0.017)*(D19*D50-D34*D51)</f>
        <v>-0.013964934060173524</v>
      </c>
      <c r="E73" s="171">
        <f>E18+(13/0.017)*(E19*E50-E34*E51)</f>
        <v>-0.017913243473821772</v>
      </c>
      <c r="F73" s="171">
        <f>F18+(13/0.017)*(F19*F50-F34*F51)</f>
        <v>-0.019909714495098346</v>
      </c>
    </row>
    <row r="74" spans="1:6" ht="12.75">
      <c r="A74" s="171" t="s">
        <v>172</v>
      </c>
      <c r="B74" s="171">
        <f>B19+(14/0.017)*(B20*B50-B35*B51)</f>
        <v>-0.20048682349074118</v>
      </c>
      <c r="C74" s="171">
        <f>C19+(14/0.017)*(C20*C50-C35*C51)</f>
        <v>-0.18147238130138688</v>
      </c>
      <c r="D74" s="171">
        <f>D19+(14/0.017)*(D20*D50-D35*D51)</f>
        <v>-0.18370977902737354</v>
      </c>
      <c r="E74" s="171">
        <f>E19+(14/0.017)*(E20*E50-E35*E51)</f>
        <v>-0.18633339476553087</v>
      </c>
      <c r="F74" s="171">
        <f>F19+(14/0.017)*(F20*F50-F35*F51)</f>
        <v>-0.14731216444858672</v>
      </c>
    </row>
    <row r="75" spans="1:6" ht="12.75">
      <c r="A75" s="171" t="s">
        <v>173</v>
      </c>
      <c r="B75" s="172">
        <f>B20</f>
        <v>-0.001262126</v>
      </c>
      <c r="C75" s="172">
        <f>C20</f>
        <v>-0.002329958</v>
      </c>
      <c r="D75" s="172">
        <f>D20</f>
        <v>0.0003046178</v>
      </c>
      <c r="E75" s="172">
        <f>E20</f>
        <v>0.002552277</v>
      </c>
      <c r="F75" s="172">
        <f>F20</f>
        <v>-0.001544466</v>
      </c>
    </row>
    <row r="78" ht="12.75">
      <c r="A78" s="171" t="s">
        <v>155</v>
      </c>
    </row>
    <row r="80" spans="2:6" ht="12.75">
      <c r="B80" s="171" t="s">
        <v>84</v>
      </c>
      <c r="C80" s="171" t="s">
        <v>85</v>
      </c>
      <c r="D80" s="171" t="s">
        <v>86</v>
      </c>
      <c r="E80" s="171" t="s">
        <v>87</v>
      </c>
      <c r="F80" s="171" t="s">
        <v>88</v>
      </c>
    </row>
    <row r="81" spans="1:6" ht="12.75">
      <c r="A81" s="171" t="s">
        <v>174</v>
      </c>
      <c r="B81" s="171">
        <f>B21+(1/0.017)*(B7*B51+B22*B50)</f>
        <v>0</v>
      </c>
      <c r="C81" s="171">
        <f>C21+(1/0.017)*(C7*C51+C22*C50)</f>
        <v>0</v>
      </c>
      <c r="D81" s="171">
        <f>D21+(1/0.017)*(D7*D51+D22*D50)</f>
        <v>0</v>
      </c>
      <c r="E81" s="171">
        <f>E21+(1/0.017)*(E7*E51+E22*E50)</f>
        <v>0</v>
      </c>
      <c r="F81" s="171">
        <f>F21+(1/0.017)*(F7*F51+F22*F50)</f>
        <v>0</v>
      </c>
    </row>
    <row r="82" spans="1:6" ht="12.75">
      <c r="A82" s="171" t="s">
        <v>175</v>
      </c>
      <c r="B82" s="171">
        <f>B22+(2/0.017)*(B8*B51+B23*B50)</f>
        <v>139.12871313448022</v>
      </c>
      <c r="C82" s="171">
        <f>C22+(2/0.017)*(C8*C51+C23*C50)</f>
        <v>70.08546512185251</v>
      </c>
      <c r="D82" s="171">
        <f>D22+(2/0.017)*(D8*D51+D23*D50)</f>
        <v>-17.164078933362433</v>
      </c>
      <c r="E82" s="171">
        <f>E22+(2/0.017)*(E8*E51+E23*E50)</f>
        <v>-69.22297742606581</v>
      </c>
      <c r="F82" s="171">
        <f>F22+(2/0.017)*(F8*F51+F23*F50)</f>
        <v>-121.66060460323348</v>
      </c>
    </row>
    <row r="83" spans="1:6" ht="12.75">
      <c r="A83" s="171" t="s">
        <v>176</v>
      </c>
      <c r="B83" s="171">
        <f>B23+(3/0.017)*(B9*B51+B24*B50)</f>
        <v>3.6103118596648804</v>
      </c>
      <c r="C83" s="171">
        <f>C23+(3/0.017)*(C9*C51+C24*C50)</f>
        <v>2.790178219287645</v>
      </c>
      <c r="D83" s="171">
        <f>D23+(3/0.017)*(D9*D51+D24*D50)</f>
        <v>1.1362654891175603</v>
      </c>
      <c r="E83" s="171">
        <f>E23+(3/0.017)*(E9*E51+E24*E50)</f>
        <v>0.9656849811227161</v>
      </c>
      <c r="F83" s="171">
        <f>F23+(3/0.017)*(F9*F51+F24*F50)</f>
        <v>7.457712005228707</v>
      </c>
    </row>
    <row r="84" spans="1:6" ht="12.75">
      <c r="A84" s="171" t="s">
        <v>177</v>
      </c>
      <c r="B84" s="171">
        <f>B24+(4/0.017)*(B10*B51+B25*B50)</f>
        <v>1.243412459101164</v>
      </c>
      <c r="C84" s="171">
        <f>C24+(4/0.017)*(C10*C51+C25*C50)</f>
        <v>-3.6055149705635667</v>
      </c>
      <c r="D84" s="171">
        <f>D24+(4/0.017)*(D10*D51+D25*D50)</f>
        <v>-0.5628859125973644</v>
      </c>
      <c r="E84" s="171">
        <f>E24+(4/0.017)*(E10*E51+E25*E50)</f>
        <v>-0.06481797761347674</v>
      </c>
      <c r="F84" s="171">
        <f>F24+(4/0.017)*(F10*F51+F25*F50)</f>
        <v>-2.083047183838107</v>
      </c>
    </row>
    <row r="85" spans="1:6" ht="12.75">
      <c r="A85" s="171" t="s">
        <v>178</v>
      </c>
      <c r="B85" s="171">
        <f>B25+(5/0.017)*(B11*B51+B26*B50)</f>
        <v>0.46496188588417664</v>
      </c>
      <c r="C85" s="171">
        <f>C25+(5/0.017)*(C11*C51+C26*C50)</f>
        <v>1.126205633773303</v>
      </c>
      <c r="D85" s="171">
        <f>D25+(5/0.017)*(D11*D51+D26*D50)</f>
        <v>-0.05925972351493458</v>
      </c>
      <c r="E85" s="171">
        <f>E25+(5/0.017)*(E11*E51+E26*E50)</f>
        <v>0.08921968499030486</v>
      </c>
      <c r="F85" s="171">
        <f>F25+(5/0.017)*(F11*F51+F26*F50)</f>
        <v>-0.13285648850215992</v>
      </c>
    </row>
    <row r="86" spans="1:6" ht="12.75">
      <c r="A86" s="171" t="s">
        <v>179</v>
      </c>
      <c r="B86" s="171">
        <f>B26+(6/0.017)*(B12*B51+B27*B50)</f>
        <v>0.7533730387078857</v>
      </c>
      <c r="C86" s="171">
        <f>C26+(6/0.017)*(C12*C51+C27*C50)</f>
        <v>0.5958141479067377</v>
      </c>
      <c r="D86" s="171">
        <f>D26+(6/0.017)*(D12*D51+D27*D50)</f>
        <v>0.3094281425529204</v>
      </c>
      <c r="E86" s="171">
        <f>E26+(6/0.017)*(E12*E51+E27*E50)</f>
        <v>0.4708610267978316</v>
      </c>
      <c r="F86" s="171">
        <f>F26+(6/0.017)*(F12*F51+F27*F50)</f>
        <v>1.6907806658229207</v>
      </c>
    </row>
    <row r="87" spans="1:6" ht="12.75">
      <c r="A87" s="171" t="s">
        <v>180</v>
      </c>
      <c r="B87" s="171">
        <f>B27+(7/0.017)*(B13*B51+B28*B50)</f>
        <v>0.10452443274629113</v>
      </c>
      <c r="C87" s="171">
        <f>C27+(7/0.017)*(C13*C51+C28*C50)</f>
        <v>0.1381232217751356</v>
      </c>
      <c r="D87" s="171">
        <f>D27+(7/0.017)*(D13*D51+D28*D50)</f>
        <v>0.21021609657417817</v>
      </c>
      <c r="E87" s="171">
        <f>E27+(7/0.017)*(E13*E51+E28*E50)</f>
        <v>0.1008147178552319</v>
      </c>
      <c r="F87" s="171">
        <f>F27+(7/0.017)*(F13*F51+F28*F50)</f>
        <v>0.1793908060390484</v>
      </c>
    </row>
    <row r="88" spans="1:6" ht="12.75">
      <c r="A88" s="171" t="s">
        <v>181</v>
      </c>
      <c r="B88" s="171">
        <f>B28+(8/0.017)*(B14*B51+B29*B50)</f>
        <v>0.13394597670425415</v>
      </c>
      <c r="C88" s="171">
        <f>C28+(8/0.017)*(C14*C51+C29*C50)</f>
        <v>-0.021597229078360806</v>
      </c>
      <c r="D88" s="171">
        <f>D28+(8/0.017)*(D14*D51+D29*D50)</f>
        <v>0.3206890482563108</v>
      </c>
      <c r="E88" s="171">
        <f>E28+(8/0.017)*(E14*E51+E29*E50)</f>
        <v>0.343682851826162</v>
      </c>
      <c r="F88" s="171">
        <f>F28+(8/0.017)*(F14*F51+F29*F50)</f>
        <v>-0.2642439447150322</v>
      </c>
    </row>
    <row r="89" spans="1:6" ht="12.75">
      <c r="A89" s="171" t="s">
        <v>182</v>
      </c>
      <c r="B89" s="171">
        <f>B29+(9/0.017)*(B15*B51+B30*B50)</f>
        <v>0.02191731157813867</v>
      </c>
      <c r="C89" s="171">
        <f>C29+(9/0.017)*(C15*C51+C30*C50)</f>
        <v>0.03820301338625564</v>
      </c>
      <c r="D89" s="171">
        <f>D29+(9/0.017)*(D15*D51+D30*D50)</f>
        <v>-0.007452162716863546</v>
      </c>
      <c r="E89" s="171">
        <f>E29+(9/0.017)*(E15*E51+E30*E50)</f>
        <v>-0.0232893811646654</v>
      </c>
      <c r="F89" s="171">
        <f>F29+(9/0.017)*(F15*F51+F30*F50)</f>
        <v>0.15243946667719208</v>
      </c>
    </row>
    <row r="90" spans="1:6" ht="12.75">
      <c r="A90" s="171" t="s">
        <v>183</v>
      </c>
      <c r="B90" s="171">
        <f>B30+(10/0.017)*(B16*B51+B31*B50)</f>
        <v>-0.00515738744276846</v>
      </c>
      <c r="C90" s="171">
        <f>C30+(10/0.017)*(C16*C51+C31*C50)</f>
        <v>0.12781421431317538</v>
      </c>
      <c r="D90" s="171">
        <f>D30+(10/0.017)*(D16*D51+D31*D50)</f>
        <v>0.07171242657709517</v>
      </c>
      <c r="E90" s="171">
        <f>E30+(10/0.017)*(E16*E51+E31*E50)</f>
        <v>0.005663640616335619</v>
      </c>
      <c r="F90" s="171">
        <f>F30+(10/0.017)*(F16*F51+F31*F50)</f>
        <v>0.2249969690263332</v>
      </c>
    </row>
    <row r="91" spans="1:6" ht="12.75">
      <c r="A91" s="171" t="s">
        <v>184</v>
      </c>
      <c r="B91" s="171">
        <f>B31+(11/0.017)*(B17*B51+B32*B50)</f>
        <v>0.03777458809740486</v>
      </c>
      <c r="C91" s="171">
        <f>C31+(11/0.017)*(C17*C51+C32*C50)</f>
        <v>0.025644774124147684</v>
      </c>
      <c r="D91" s="171">
        <f>D31+(11/0.017)*(D17*D51+D32*D50)</f>
        <v>0.08959705917102674</v>
      </c>
      <c r="E91" s="171">
        <f>E31+(11/0.017)*(E17*E51+E32*E50)</f>
        <v>0.056247138439221855</v>
      </c>
      <c r="F91" s="171">
        <f>F31+(11/0.017)*(F17*F51+F32*F50)</f>
        <v>0.04985763438687482</v>
      </c>
    </row>
    <row r="92" spans="1:6" ht="12.75">
      <c r="A92" s="171" t="s">
        <v>185</v>
      </c>
      <c r="B92" s="171">
        <f>B32+(12/0.017)*(B18*B51+B33*B50)</f>
        <v>0.020467263930040988</v>
      </c>
      <c r="C92" s="171">
        <f>C32+(12/0.017)*(C18*C51+C33*C50)</f>
        <v>0.00581920872972836</v>
      </c>
      <c r="D92" s="171">
        <f>D32+(12/0.017)*(D18*D51+D33*D50)</f>
        <v>0.07227552272511345</v>
      </c>
      <c r="E92" s="171">
        <f>E32+(12/0.017)*(E18*E51+E33*E50)</f>
        <v>0.04118290890616221</v>
      </c>
      <c r="F92" s="171">
        <f>F32+(12/0.017)*(F18*F51+F33*F50)</f>
        <v>-0.005431257914660689</v>
      </c>
    </row>
    <row r="93" spans="1:6" ht="12.75">
      <c r="A93" s="171" t="s">
        <v>186</v>
      </c>
      <c r="B93" s="171">
        <f>B33+(13/0.017)*(B19*B51+B34*B50)</f>
        <v>-0.06680380323442914</v>
      </c>
      <c r="C93" s="171">
        <f>C33+(13/0.017)*(C19*C51+C34*C50)</f>
        <v>-0.06277675821572257</v>
      </c>
      <c r="D93" s="171">
        <f>D33+(13/0.017)*(D19*D51+D34*D50)</f>
        <v>-0.04929339247159062</v>
      </c>
      <c r="E93" s="171">
        <f>E33+(13/0.017)*(E19*E51+E34*E50)</f>
        <v>-0.05492137386132384</v>
      </c>
      <c r="F93" s="171">
        <f>F33+(13/0.017)*(F19*F51+F34*F50)</f>
        <v>-0.055850996540511386</v>
      </c>
    </row>
    <row r="94" spans="1:6" ht="12.75">
      <c r="A94" s="171" t="s">
        <v>187</v>
      </c>
      <c r="B94" s="171">
        <f>B34+(14/0.017)*(B20*B51+B35*B50)</f>
        <v>-0.01980730133146092</v>
      </c>
      <c r="C94" s="171">
        <f>C34+(14/0.017)*(C20*C51+C35*C50)</f>
        <v>0.0017883565245489183</v>
      </c>
      <c r="D94" s="171">
        <f>D34+(14/0.017)*(D20*D51+D35*D50)</f>
        <v>0.011580078817065515</v>
      </c>
      <c r="E94" s="171">
        <f>E34+(14/0.017)*(E20*E51+E35*E50)</f>
        <v>0.017568293069054792</v>
      </c>
      <c r="F94" s="171">
        <f>F34+(14/0.017)*(F20*F51+F35*F50)</f>
        <v>-0.010793038351056612</v>
      </c>
    </row>
    <row r="95" spans="1:6" ht="12.75">
      <c r="A95" s="171" t="s">
        <v>188</v>
      </c>
      <c r="B95" s="172">
        <f>B35</f>
        <v>-0.003064728</v>
      </c>
      <c r="C95" s="172">
        <f>C35</f>
        <v>-0.004589465</v>
      </c>
      <c r="D95" s="172">
        <f>D35</f>
        <v>-0.005869126</v>
      </c>
      <c r="E95" s="172">
        <f>E35</f>
        <v>-0.002851424</v>
      </c>
      <c r="F95" s="172">
        <f>F35</f>
        <v>0.009985499</v>
      </c>
    </row>
    <row r="98" ht="12.75">
      <c r="A98" s="171" t="s">
        <v>156</v>
      </c>
    </row>
    <row r="100" spans="2:11" ht="12.75">
      <c r="B100" s="171" t="s">
        <v>84</v>
      </c>
      <c r="C100" s="171" t="s">
        <v>85</v>
      </c>
      <c r="D100" s="171" t="s">
        <v>86</v>
      </c>
      <c r="E100" s="171" t="s">
        <v>87</v>
      </c>
      <c r="F100" s="171" t="s">
        <v>88</v>
      </c>
      <c r="G100" s="171" t="s">
        <v>158</v>
      </c>
      <c r="H100" s="171" t="s">
        <v>159</v>
      </c>
      <c r="I100" s="171" t="s">
        <v>154</v>
      </c>
      <c r="K100" s="171" t="s">
        <v>189</v>
      </c>
    </row>
    <row r="101" spans="1:9" ht="12.75">
      <c r="A101" s="171" t="s">
        <v>157</v>
      </c>
      <c r="B101" s="171">
        <f>B61*10000/B62</f>
        <v>0</v>
      </c>
      <c r="C101" s="171">
        <f>C61*10000/C62</f>
        <v>0</v>
      </c>
      <c r="D101" s="171">
        <f>D61*10000/D62</f>
        <v>0</v>
      </c>
      <c r="E101" s="171">
        <f>E61*10000/E62</f>
        <v>0</v>
      </c>
      <c r="F101" s="171">
        <f>F61*10000/F62</f>
        <v>0</v>
      </c>
      <c r="G101" s="171">
        <f>AVERAGE(C101:E101)</f>
        <v>0</v>
      </c>
      <c r="H101" s="171">
        <f>STDEV(C101:E101)</f>
        <v>0</v>
      </c>
      <c r="I101" s="171">
        <f>(B101*B4+C101*C4+D101*D4+E101*E4+F101*F4)/SUM(B4:F4)</f>
        <v>0</v>
      </c>
    </row>
    <row r="102" spans="1:9" ht="12.75">
      <c r="A102" s="171" t="s">
        <v>160</v>
      </c>
      <c r="B102" s="171">
        <f>B62*10000/B62</f>
        <v>10000</v>
      </c>
      <c r="C102" s="171">
        <f>C62*10000/C62</f>
        <v>10000</v>
      </c>
      <c r="D102" s="171">
        <f>D62*10000/D62</f>
        <v>10000</v>
      </c>
      <c r="E102" s="171">
        <f>E62*10000/E62</f>
        <v>10000</v>
      </c>
      <c r="F102" s="171">
        <f>F62*10000/F62</f>
        <v>10000</v>
      </c>
      <c r="G102" s="171">
        <f>AVERAGE(C102:E102)</f>
        <v>10000</v>
      </c>
      <c r="H102" s="171">
        <f>STDEV(C102:E102)</f>
        <v>0</v>
      </c>
      <c r="I102" s="171">
        <f>(B102*B4+C102*C4+D102*D4+E102*E4+F102*F4)/SUM(B4:F4)</f>
        <v>10000.000000000002</v>
      </c>
    </row>
    <row r="103" spans="1:11" ht="12.75">
      <c r="A103" s="171" t="s">
        <v>161</v>
      </c>
      <c r="B103" s="171">
        <f>B63*10000/B62</f>
        <v>1.4907627903371878</v>
      </c>
      <c r="C103" s="171">
        <f>C63*10000/C62</f>
        <v>-0.03712678070721154</v>
      </c>
      <c r="D103" s="171">
        <f>D63*10000/D62</f>
        <v>0.3400977476366148</v>
      </c>
      <c r="E103" s="171">
        <f>E63*10000/E62</f>
        <v>-0.18127422500844828</v>
      </c>
      <c r="F103" s="171">
        <f>F63*10000/F62</f>
        <v>-0.311498634135035</v>
      </c>
      <c r="G103" s="171">
        <f>AVERAGE(C103:E103)</f>
        <v>0.04056558064031834</v>
      </c>
      <c r="H103" s="171">
        <f>STDEV(C103:E103)</f>
        <v>0.26922901166807317</v>
      </c>
      <c r="I103" s="171">
        <f>(B103*B4+C103*C4+D103*D4+E103*E4+F103*F4)/SUM(B4:F4)</f>
        <v>0.20317899256248625</v>
      </c>
      <c r="K103" s="171">
        <f>(LN(H103)+LN(H123))/2-LN(K114*K115^3)</f>
        <v>-4.530766446500332</v>
      </c>
    </row>
    <row r="104" spans="1:11" ht="12.75">
      <c r="A104" s="171" t="s">
        <v>162</v>
      </c>
      <c r="B104" s="171">
        <f>B64*10000/B62</f>
        <v>0.36457309863695186</v>
      </c>
      <c r="C104" s="171">
        <f>C64*10000/C62</f>
        <v>-0.4656723091840991</v>
      </c>
      <c r="D104" s="171">
        <f>D64*10000/D62</f>
        <v>0.5896135101678738</v>
      </c>
      <c r="E104" s="171">
        <f>E64*10000/E62</f>
        <v>0.7353703052692112</v>
      </c>
      <c r="F104" s="171">
        <f>F64*10000/F62</f>
        <v>-1.291582549084235</v>
      </c>
      <c r="G104" s="171">
        <f>AVERAGE(C104:E104)</f>
        <v>0.2864371687509953</v>
      </c>
      <c r="H104" s="171">
        <f>STDEV(C104:E104)</f>
        <v>0.6554103759702036</v>
      </c>
      <c r="I104" s="171">
        <f>(B104*B4+C104*C4+D104*D4+E104*E4+F104*F4)/SUM(B4:F4)</f>
        <v>0.08693821213822998</v>
      </c>
      <c r="K104" s="171">
        <f>(LN(H104)+LN(H124))/2-LN(K114*K115^4)</f>
        <v>-3.1731666909787424</v>
      </c>
    </row>
    <row r="105" spans="1:11" ht="12.75">
      <c r="A105" s="171" t="s">
        <v>163</v>
      </c>
      <c r="B105" s="171">
        <f>B65*10000/B62</f>
        <v>-0.10329723775227391</v>
      </c>
      <c r="C105" s="171">
        <f>C65*10000/C62</f>
        <v>0.4854876290732787</v>
      </c>
      <c r="D105" s="171">
        <f>D65*10000/D62</f>
        <v>0.1559789954649729</v>
      </c>
      <c r="E105" s="171">
        <f>E65*10000/E62</f>
        <v>-0.04054807968697989</v>
      </c>
      <c r="F105" s="171">
        <f>F65*10000/F62</f>
        <v>-1.1943996361962737</v>
      </c>
      <c r="G105" s="171">
        <f>AVERAGE(C105:E105)</f>
        <v>0.20030618161709057</v>
      </c>
      <c r="H105" s="171">
        <f>STDEV(C105:E105)</f>
        <v>0.2658045641008639</v>
      </c>
      <c r="I105" s="171">
        <f>(B105*B4+C105*C4+D105*D4+E105*E4+F105*F4)/SUM(B4:F4)</f>
        <v>-0.029827944234603915</v>
      </c>
      <c r="K105" s="171">
        <f>(LN(H105)+LN(H125))/2-LN(K114*K115^5)</f>
        <v>-3.5770002680467865</v>
      </c>
    </row>
    <row r="106" spans="1:11" ht="12.75">
      <c r="A106" s="171" t="s">
        <v>164</v>
      </c>
      <c r="B106" s="171">
        <f>B66*10000/B62</f>
        <v>3.4479947604091747</v>
      </c>
      <c r="C106" s="171">
        <f>C66*10000/C62</f>
        <v>3.208804415696304</v>
      </c>
      <c r="D106" s="171">
        <f>D66*10000/D62</f>
        <v>3.4664165773329167</v>
      </c>
      <c r="E106" s="171">
        <f>E66*10000/E62</f>
        <v>3.5425545160961995</v>
      </c>
      <c r="F106" s="171">
        <f>F66*10000/F62</f>
        <v>14.277290499978399</v>
      </c>
      <c r="G106" s="171">
        <f>AVERAGE(C106:E106)</f>
        <v>3.4059251697084734</v>
      </c>
      <c r="H106" s="171">
        <f>STDEV(C106:E106)</f>
        <v>0.17490480318311752</v>
      </c>
      <c r="I106" s="171">
        <f>(B106*B4+C106*C4+D106*D4+E106*E4+F106*F4)/SUM(B4:F4)</f>
        <v>4.863874714017183</v>
      </c>
      <c r="K106" s="171">
        <f>(LN(H106)+LN(H126))/2-LN(K114*K115^6)</f>
        <v>-3.9467759287560797</v>
      </c>
    </row>
    <row r="107" spans="1:11" ht="12.75">
      <c r="A107" s="171" t="s">
        <v>165</v>
      </c>
      <c r="B107" s="171">
        <f>B67*10000/B62</f>
        <v>-0.24399032352517416</v>
      </c>
      <c r="C107" s="171">
        <f>C67*10000/C62</f>
        <v>0.2084490377611983</v>
      </c>
      <c r="D107" s="171">
        <f>D67*10000/D62</f>
        <v>-0.007215596658354565</v>
      </c>
      <c r="E107" s="171">
        <f>E67*10000/E62</f>
        <v>-0.13152247996146108</v>
      </c>
      <c r="F107" s="171">
        <f>F67*10000/F62</f>
        <v>-0.06546652630215943</v>
      </c>
      <c r="G107" s="171">
        <f>AVERAGE(C107:E107)</f>
        <v>0.023236987047127556</v>
      </c>
      <c r="H107" s="171">
        <f>STDEV(C107:E107)</f>
        <v>0.17201941200462426</v>
      </c>
      <c r="I107" s="171">
        <f>(B107*B4+C107*C4+D107*D4+E107*E4+F107*F4)/SUM(B4:F4)</f>
        <v>-0.027227306476394403</v>
      </c>
      <c r="K107" s="171">
        <f>(LN(H107)+LN(H127))/2-LN(K114*K115^7)</f>
        <v>-3.8380181902411494</v>
      </c>
    </row>
    <row r="108" spans="1:9" ht="12.75">
      <c r="A108" s="171" t="s">
        <v>166</v>
      </c>
      <c r="B108" s="171">
        <f>B68*10000/B62</f>
        <v>-0.08274847420173542</v>
      </c>
      <c r="C108" s="171">
        <f>C68*10000/C62</f>
        <v>-0.06457177649724294</v>
      </c>
      <c r="D108" s="171">
        <f>D68*10000/D62</f>
        <v>0.027359905869161993</v>
      </c>
      <c r="E108" s="171">
        <f>E68*10000/E62</f>
        <v>0.18936662317810932</v>
      </c>
      <c r="F108" s="171">
        <f>F68*10000/F62</f>
        <v>-0.21131094703579567</v>
      </c>
      <c r="G108" s="171">
        <f>AVERAGE(C108:E108)</f>
        <v>0.05071825085000945</v>
      </c>
      <c r="H108" s="171">
        <f>STDEV(C108:E108)</f>
        <v>0.1285705522956285</v>
      </c>
      <c r="I108" s="171">
        <f>(B108*B4+C108*C4+D108*D4+E108*E4+F108*F4)/SUM(B4:F4)</f>
        <v>-0.0035769790666037296</v>
      </c>
    </row>
    <row r="109" spans="1:9" ht="12.75">
      <c r="A109" s="171" t="s">
        <v>167</v>
      </c>
      <c r="B109" s="171">
        <f>B69*10000/B62</f>
        <v>-0.01840668972151988</v>
      </c>
      <c r="C109" s="171">
        <f>C69*10000/C62</f>
        <v>0.04737949081606047</v>
      </c>
      <c r="D109" s="171">
        <f>D69*10000/D62</f>
        <v>0.04518341034699913</v>
      </c>
      <c r="E109" s="171">
        <f>E69*10000/E62</f>
        <v>-0.056508465823972585</v>
      </c>
      <c r="F109" s="171">
        <f>F69*10000/F62</f>
        <v>0.03415714143707931</v>
      </c>
      <c r="G109" s="171">
        <f>AVERAGE(C109:E109)</f>
        <v>0.012018145113029004</v>
      </c>
      <c r="H109" s="171">
        <f>STDEV(C109:E109)</f>
        <v>0.05935594323435554</v>
      </c>
      <c r="I109" s="171">
        <f>(B109*B4+C109*C4+D109*D4+E109*E4+F109*F4)/SUM(B4:F4)</f>
        <v>0.010578952995716028</v>
      </c>
    </row>
    <row r="110" spans="1:11" ht="12.75">
      <c r="A110" s="171" t="s">
        <v>168</v>
      </c>
      <c r="B110" s="171">
        <f>B70*10000/B62</f>
        <v>-0.3227234311428833</v>
      </c>
      <c r="C110" s="171">
        <f>C70*10000/C62</f>
        <v>-0.06405728043623252</v>
      </c>
      <c r="D110" s="171">
        <f>D70*10000/D62</f>
        <v>0.024658401676499058</v>
      </c>
      <c r="E110" s="171">
        <f>E70*10000/E62</f>
        <v>0.00803959266414614</v>
      </c>
      <c r="F110" s="171">
        <f>F70*10000/F62</f>
        <v>-0.35194832729003733</v>
      </c>
      <c r="G110" s="171">
        <f>AVERAGE(C110:E110)</f>
        <v>-0.010453095365195772</v>
      </c>
      <c r="H110" s="171">
        <f>STDEV(C110:E110)</f>
        <v>0.047160393298770684</v>
      </c>
      <c r="I110" s="171">
        <f>(B110*B4+C110*C4+D110*D4+E110*E4+F110*F4)/SUM(B4:F4)</f>
        <v>-0.10120454105112472</v>
      </c>
      <c r="K110" s="171">
        <f>EXP(AVERAGE(K103:K107))</f>
        <v>0.022078621205974678</v>
      </c>
    </row>
    <row r="111" spans="1:9" ht="12.75">
      <c r="A111" s="171" t="s">
        <v>169</v>
      </c>
      <c r="B111" s="171">
        <f>B71*10000/B62</f>
        <v>0.012593163645277686</v>
      </c>
      <c r="C111" s="171">
        <f>C71*10000/C62</f>
        <v>0.02191089361658622</v>
      </c>
      <c r="D111" s="171">
        <f>D71*10000/D62</f>
        <v>0.044441526038805676</v>
      </c>
      <c r="E111" s="171">
        <f>E71*10000/E62</f>
        <v>0.032973088770788715</v>
      </c>
      <c r="F111" s="171">
        <f>F71*10000/F62</f>
        <v>0.027416699206249114</v>
      </c>
      <c r="G111" s="171">
        <f>AVERAGE(C111:E111)</f>
        <v>0.033108502808726875</v>
      </c>
      <c r="H111" s="171">
        <f>STDEV(C111:E111)</f>
        <v>0.011265926595604294</v>
      </c>
      <c r="I111" s="171">
        <f>(B111*B4+C111*C4+D111*D4+E111*E4+F111*F4)/SUM(B4:F4)</f>
        <v>0.02938199465631151</v>
      </c>
    </row>
    <row r="112" spans="1:9" ht="12.75">
      <c r="A112" s="171" t="s">
        <v>170</v>
      </c>
      <c r="B112" s="171">
        <f>B72*10000/B62</f>
        <v>-0.0467787441013808</v>
      </c>
      <c r="C112" s="171">
        <f>C72*10000/C62</f>
        <v>-0.022566863610273723</v>
      </c>
      <c r="D112" s="171">
        <f>D72*10000/D62</f>
        <v>-0.04048521423125861</v>
      </c>
      <c r="E112" s="171">
        <f>E72*10000/E62</f>
        <v>-0.042736455666294304</v>
      </c>
      <c r="F112" s="171">
        <f>F72*10000/F62</f>
        <v>-0.029786132512998574</v>
      </c>
      <c r="G112" s="171">
        <f>AVERAGE(C112:E112)</f>
        <v>-0.03526284450260888</v>
      </c>
      <c r="H112" s="171">
        <f>STDEV(C112:E112)</f>
        <v>0.01105250967489332</v>
      </c>
      <c r="I112" s="171">
        <f>(B112*B4+C112*C4+D112*D4+E112*E4+F112*F4)/SUM(B4:F4)</f>
        <v>-0.03619532183609686</v>
      </c>
    </row>
    <row r="113" spans="1:9" ht="12.75">
      <c r="A113" s="171" t="s">
        <v>171</v>
      </c>
      <c r="B113" s="171">
        <f>B73*10000/B62</f>
        <v>0.006476227077542848</v>
      </c>
      <c r="C113" s="171">
        <f>C73*10000/C62</f>
        <v>-0.016310657705890474</v>
      </c>
      <c r="D113" s="171">
        <f>D73*10000/D62</f>
        <v>-0.013965188446847479</v>
      </c>
      <c r="E113" s="171">
        <f>E73*10000/E62</f>
        <v>-0.017913491567094104</v>
      </c>
      <c r="F113" s="171">
        <f>F73*10000/F62</f>
        <v>-0.019912570478917983</v>
      </c>
      <c r="G113" s="171">
        <f>AVERAGE(C113:E113)</f>
        <v>-0.01606311257327735</v>
      </c>
      <c r="H113" s="171">
        <f>STDEV(C113:E113)</f>
        <v>0.001985757620367529</v>
      </c>
      <c r="I113" s="171">
        <f>(B113*B4+C113*C4+D113*D4+E113*E4+F113*F4)/SUM(B4:F4)</f>
        <v>-0.013318996487208483</v>
      </c>
    </row>
    <row r="114" spans="1:11" ht="12.75">
      <c r="A114" s="171" t="s">
        <v>172</v>
      </c>
      <c r="B114" s="171">
        <f>B74*10000/B62</f>
        <v>-0.2004968098830338</v>
      </c>
      <c r="C114" s="171">
        <f>C74*10000/C62</f>
        <v>-0.18147868602579045</v>
      </c>
      <c r="D114" s="171">
        <f>D74*10000/D62</f>
        <v>-0.18371312550358734</v>
      </c>
      <c r="E114" s="171">
        <f>E74*10000/E62</f>
        <v>-0.1863359754294804</v>
      </c>
      <c r="F114" s="171">
        <f>F74*10000/F62</f>
        <v>-0.1473332958996783</v>
      </c>
      <c r="G114" s="171">
        <f>AVERAGE(C114:E114)</f>
        <v>-0.18384259565295272</v>
      </c>
      <c r="H114" s="171">
        <f>STDEV(C114:E114)</f>
        <v>0.0024312315762776105</v>
      </c>
      <c r="I114" s="171">
        <f>(B114*B4+C114*C4+D114*D4+E114*E4+F114*F4)/SUM(B4:F4)</f>
        <v>-0.18137408585907305</v>
      </c>
      <c r="J114" s="171" t="s">
        <v>190</v>
      </c>
      <c r="K114" s="171">
        <v>285</v>
      </c>
    </row>
    <row r="115" spans="1:11" ht="12.75">
      <c r="A115" s="171" t="s">
        <v>173</v>
      </c>
      <c r="B115" s="171">
        <f>B75*10000/B62</f>
        <v>-0.0012621888674001576</v>
      </c>
      <c r="C115" s="171">
        <f>C75*10000/C62</f>
        <v>-0.002330038947541199</v>
      </c>
      <c r="D115" s="171">
        <f>D75*10000/D62</f>
        <v>0.000304623348949149</v>
      </c>
      <c r="E115" s="171">
        <f>E75*10000/E62</f>
        <v>0.0025523123483027097</v>
      </c>
      <c r="F115" s="171">
        <f>F75*10000/F62</f>
        <v>-0.0015446875486267804</v>
      </c>
      <c r="G115" s="171">
        <f>AVERAGE(C115:E115)</f>
        <v>0.00017563224990355323</v>
      </c>
      <c r="H115" s="171">
        <f>STDEV(C115:E115)</f>
        <v>0.002443730257563612</v>
      </c>
      <c r="I115" s="171">
        <f>(B115*B4+C115*C4+D115*D4+E115*E4+F115*F4)/SUM(B4:F4)</f>
        <v>-0.00026212618067936953</v>
      </c>
      <c r="J115" s="171" t="s">
        <v>191</v>
      </c>
      <c r="K115" s="171">
        <v>0.5536</v>
      </c>
    </row>
    <row r="118" ht="12.75">
      <c r="A118" s="171" t="s">
        <v>156</v>
      </c>
    </row>
    <row r="120" spans="2:9" ht="12.75">
      <c r="B120" s="171" t="s">
        <v>84</v>
      </c>
      <c r="C120" s="171" t="s">
        <v>85</v>
      </c>
      <c r="D120" s="171" t="s">
        <v>86</v>
      </c>
      <c r="E120" s="171" t="s">
        <v>87</v>
      </c>
      <c r="F120" s="171" t="s">
        <v>88</v>
      </c>
      <c r="G120" s="171" t="s">
        <v>158</v>
      </c>
      <c r="H120" s="171" t="s">
        <v>159</v>
      </c>
      <c r="I120" s="171" t="s">
        <v>154</v>
      </c>
    </row>
    <row r="121" spans="1:9" ht="12.75">
      <c r="A121" s="171" t="s">
        <v>174</v>
      </c>
      <c r="B121" s="171">
        <f>B81*10000/B62</f>
        <v>0</v>
      </c>
      <c r="C121" s="171">
        <f>C81*10000/C62</f>
        <v>0</v>
      </c>
      <c r="D121" s="171">
        <f>D81*10000/D62</f>
        <v>0</v>
      </c>
      <c r="E121" s="171">
        <f>E81*10000/E62</f>
        <v>0</v>
      </c>
      <c r="F121" s="171">
        <f>F81*10000/F62</f>
        <v>0</v>
      </c>
      <c r="G121" s="171">
        <f>AVERAGE(C121:E121)</f>
        <v>0</v>
      </c>
      <c r="H121" s="171">
        <f>STDEV(C121:E121)</f>
        <v>0</v>
      </c>
      <c r="I121" s="171">
        <f>(B121*B4+C121*C4+D121*D4+E121*E4+F121*F4)/SUM(B4:F4)</f>
        <v>0</v>
      </c>
    </row>
    <row r="122" spans="1:9" ht="12.75">
      <c r="A122" s="171" t="s">
        <v>175</v>
      </c>
      <c r="B122" s="171">
        <f>B82*10000/B62</f>
        <v>139.13564323534342</v>
      </c>
      <c r="C122" s="171">
        <f>C82*10000/C62</f>
        <v>70.08790003530392</v>
      </c>
      <c r="D122" s="171">
        <f>D82*10000/D62</f>
        <v>-17.16439159598816</v>
      </c>
      <c r="E122" s="171">
        <f>E82*10000/E62</f>
        <v>-69.22393614440263</v>
      </c>
      <c r="F122" s="171">
        <f>F82*10000/F62</f>
        <v>-121.67805642145618</v>
      </c>
      <c r="G122" s="171">
        <f>AVERAGE(C122:E122)</f>
        <v>-5.433475901695625</v>
      </c>
      <c r="H122" s="171">
        <f>STDEV(C122:E122)</f>
        <v>70.39288111883401</v>
      </c>
      <c r="I122" s="171">
        <f>(B122*B4+C122*C4+D122*D4+E122*E4+F122*F4)/SUM(B4:F4)</f>
        <v>-0.054662184298295474</v>
      </c>
    </row>
    <row r="123" spans="1:9" ht="12.75">
      <c r="A123" s="171" t="s">
        <v>176</v>
      </c>
      <c r="B123" s="171">
        <f>B83*10000/B62</f>
        <v>3.610491691884782</v>
      </c>
      <c r="C123" s="171">
        <f>C83*10000/C62</f>
        <v>2.7902751558274277</v>
      </c>
      <c r="D123" s="171">
        <f>D83*10000/D62</f>
        <v>1.1362861874464791</v>
      </c>
      <c r="E123" s="171">
        <f>E83*10000/E62</f>
        <v>0.9656983555820852</v>
      </c>
      <c r="F123" s="171">
        <f>F83*10000/F62</f>
        <v>7.45878178977151</v>
      </c>
      <c r="G123" s="171">
        <f>AVERAGE(C123:E123)</f>
        <v>1.6307532329519974</v>
      </c>
      <c r="H123" s="171">
        <f>STDEV(C123:E123)</f>
        <v>1.007791332229346</v>
      </c>
      <c r="I123" s="171">
        <f>(B123*B4+C123*C4+D123*D4+E123*E4+F123*F4)/SUM(B4:F4)</f>
        <v>2.695351959434007</v>
      </c>
    </row>
    <row r="124" spans="1:9" ht="12.75">
      <c r="A124" s="171" t="s">
        <v>177</v>
      </c>
      <c r="B124" s="171">
        <f>B84*10000/B62</f>
        <v>1.2434743943664444</v>
      </c>
      <c r="C124" s="171">
        <f>C84*10000/C62</f>
        <v>-3.6056402335818802</v>
      </c>
      <c r="D124" s="171">
        <f>D84*10000/D62</f>
        <v>-0.5628961661849936</v>
      </c>
      <c r="E124" s="171">
        <f>E84*10000/E62</f>
        <v>-0.06481887532383253</v>
      </c>
      <c r="F124" s="171">
        <f>F84*10000/F62</f>
        <v>-2.0833459901848306</v>
      </c>
      <c r="G124" s="171">
        <f>AVERAGE(C124:E124)</f>
        <v>-1.4111184250302353</v>
      </c>
      <c r="H124" s="171">
        <f>STDEV(C124:E124)</f>
        <v>1.9167589110460619</v>
      </c>
      <c r="I124" s="171">
        <f>(B124*B4+C124*C4+D124*D4+E124*E4+F124*F4)/SUM(B4:F4)</f>
        <v>-1.1172941638968825</v>
      </c>
    </row>
    <row r="125" spans="1:9" ht="12.75">
      <c r="A125" s="171" t="s">
        <v>178</v>
      </c>
      <c r="B125" s="171">
        <f>B85*10000/B62</f>
        <v>0.4649850459687783</v>
      </c>
      <c r="C125" s="171">
        <f>C85*10000/C62</f>
        <v>1.1262447604772774</v>
      </c>
      <c r="D125" s="171">
        <f>D85*10000/D62</f>
        <v>-0.05926080299614799</v>
      </c>
      <c r="E125" s="171">
        <f>E85*10000/E62</f>
        <v>0.0892209206572927</v>
      </c>
      <c r="F125" s="171">
        <f>F85*10000/F62</f>
        <v>-0.1328755463335311</v>
      </c>
      <c r="G125" s="171">
        <f>AVERAGE(C125:E125)</f>
        <v>0.38540162604614076</v>
      </c>
      <c r="H125" s="171">
        <f>STDEV(C125:E125)</f>
        <v>0.6458700472541574</v>
      </c>
      <c r="I125" s="171">
        <f>(B125*B4+C125*C4+D125*D4+E125*E4+F125*F4)/SUM(B4:F4)</f>
        <v>0.32773702823359163</v>
      </c>
    </row>
    <row r="126" spans="1:9" ht="12.75">
      <c r="A126" s="171" t="s">
        <v>179</v>
      </c>
      <c r="B126" s="171">
        <f>B86*10000/B62</f>
        <v>0.7534105647586069</v>
      </c>
      <c r="C126" s="171">
        <f>C86*10000/C62</f>
        <v>0.5958348477177577</v>
      </c>
      <c r="D126" s="171">
        <f>D86*10000/D62</f>
        <v>0.3094337791277637</v>
      </c>
      <c r="E126" s="171">
        <f>E86*10000/E62</f>
        <v>0.47086754808768755</v>
      </c>
      <c r="F126" s="171">
        <f>F86*10000/F62</f>
        <v>1.6910232028128578</v>
      </c>
      <c r="G126" s="171">
        <f>AVERAGE(C126:E126)</f>
        <v>0.4587120583110697</v>
      </c>
      <c r="H126" s="171">
        <f>STDEV(C126:E126)</f>
        <v>0.1435869422028155</v>
      </c>
      <c r="I126" s="171">
        <f>(B126*B4+C126*C4+D126*D4+E126*E4+F126*F4)/SUM(B4:F4)</f>
        <v>0.6658979805885142</v>
      </c>
    </row>
    <row r="127" spans="1:9" ht="12.75">
      <c r="A127" s="171" t="s">
        <v>180</v>
      </c>
      <c r="B127" s="171">
        <f>B87*10000/B62</f>
        <v>0.10452963918316013</v>
      </c>
      <c r="C127" s="171">
        <f>C87*10000/C62</f>
        <v>0.13812802046042744</v>
      </c>
      <c r="D127" s="171">
        <f>D87*10000/D62</f>
        <v>0.21021992589219635</v>
      </c>
      <c r="E127" s="171">
        <f>E87*10000/E62</f>
        <v>0.10081611411009153</v>
      </c>
      <c r="F127" s="171">
        <f>F87*10000/F62</f>
        <v>0.17941653906699137</v>
      </c>
      <c r="G127" s="171">
        <f>AVERAGE(C127:E127)</f>
        <v>0.14972135348757176</v>
      </c>
      <c r="H127" s="171">
        <f>STDEV(C127:E127)</f>
        <v>0.05561566808123641</v>
      </c>
      <c r="I127" s="171">
        <f>(B127*B4+C127*C4+D127*D4+E127*E4+F127*F4)/SUM(B4:F4)</f>
        <v>0.14715362944313304</v>
      </c>
    </row>
    <row r="128" spans="1:9" ht="12.75">
      <c r="A128" s="171" t="s">
        <v>181</v>
      </c>
      <c r="B128" s="171">
        <f>B88*10000/B62</f>
        <v>0.1339526486493032</v>
      </c>
      <c r="C128" s="171">
        <f>C88*10000/C62</f>
        <v>-0.021597979410594523</v>
      </c>
      <c r="D128" s="171">
        <f>D88*10000/D62</f>
        <v>0.3206948899609696</v>
      </c>
      <c r="E128" s="171">
        <f>E88*10000/E62</f>
        <v>0.3436876117348563</v>
      </c>
      <c r="F128" s="171">
        <f>F88*10000/F62</f>
        <v>-0.26428184964986834</v>
      </c>
      <c r="G128" s="171">
        <f>AVERAGE(C128:E128)</f>
        <v>0.21426150742841044</v>
      </c>
      <c r="H128" s="171">
        <f>STDEV(C128:E128)</f>
        <v>0.2045835757401164</v>
      </c>
      <c r="I128" s="171">
        <f>(B128*B4+C128*C4+D128*D4+E128*E4+F128*F4)/SUM(B4:F4)</f>
        <v>0.13872726811880465</v>
      </c>
    </row>
    <row r="129" spans="1:9" ht="12.75">
      <c r="A129" s="171" t="s">
        <v>182</v>
      </c>
      <c r="B129" s="171">
        <f>B89*10000/B62</f>
        <v>0.02191840329512839</v>
      </c>
      <c r="C129" s="171">
        <f>C89*10000/C62</f>
        <v>0.03820434063764816</v>
      </c>
      <c r="D129" s="171">
        <f>D89*10000/D62</f>
        <v>-0.007452298466225422</v>
      </c>
      <c r="E129" s="171">
        <f>E89*10000/E62</f>
        <v>-0.023289703715899196</v>
      </c>
      <c r="F129" s="171">
        <f>F89*10000/F62</f>
        <v>0.15246133362311998</v>
      </c>
      <c r="G129" s="171">
        <f>AVERAGE(C129:E129)</f>
        <v>0.0024874461518411806</v>
      </c>
      <c r="H129" s="171">
        <f>STDEV(C129:E129)</f>
        <v>0.03192926972298772</v>
      </c>
      <c r="I129" s="171">
        <f>(B129*B4+C129*C4+D129*D4+E129*E4+F129*F4)/SUM(B4:F4)</f>
        <v>0.025327770733253513</v>
      </c>
    </row>
    <row r="130" spans="1:9" ht="12.75">
      <c r="A130" s="171" t="s">
        <v>183</v>
      </c>
      <c r="B130" s="171">
        <f>B90*10000/B62</f>
        <v>-0.0051576443359313716</v>
      </c>
      <c r="C130" s="171">
        <f>C90*10000/C62</f>
        <v>0.12781865484230892</v>
      </c>
      <c r="D130" s="171">
        <f>D90*10000/D62</f>
        <v>0.07171373289802728</v>
      </c>
      <c r="E130" s="171">
        <f>E90*10000/E62</f>
        <v>0.005663719056129946</v>
      </c>
      <c r="F130" s="171">
        <f>F90*10000/F62</f>
        <v>0.22502924411009523</v>
      </c>
      <c r="G130" s="171">
        <f>AVERAGE(C130:E130)</f>
        <v>0.06839870226548872</v>
      </c>
      <c r="H130" s="171">
        <f>STDEV(C130:E130)</f>
        <v>0.061144902938040376</v>
      </c>
      <c r="I130" s="171">
        <f>(B130*B4+C130*C4+D130*D4+E130*E4+F130*F4)/SUM(B4:F4)</f>
        <v>0.07868753401884271</v>
      </c>
    </row>
    <row r="131" spans="1:9" ht="12.75">
      <c r="A131" s="171" t="s">
        <v>184</v>
      </c>
      <c r="B131" s="171">
        <f>B91*10000/B62</f>
        <v>0.03777646967669703</v>
      </c>
      <c r="C131" s="171">
        <f>C91*10000/C62</f>
        <v>0.025645665076435217</v>
      </c>
      <c r="D131" s="171">
        <f>D91*10000/D62</f>
        <v>0.0895986912802641</v>
      </c>
      <c r="E131" s="171">
        <f>E91*10000/E62</f>
        <v>0.05624791744591905</v>
      </c>
      <c r="F131" s="171">
        <f>F91*10000/F62</f>
        <v>0.04986478630244495</v>
      </c>
      <c r="G131" s="171">
        <f>AVERAGE(C131:E131)</f>
        <v>0.057164091267539456</v>
      </c>
      <c r="H131" s="171">
        <f>STDEV(C131:E131)</f>
        <v>0.03198635523173081</v>
      </c>
      <c r="I131" s="171">
        <f>(B131*B4+C131*C4+D131*D4+E131*E4+F131*F4)/SUM(B4:F4)</f>
        <v>0.05338461951595205</v>
      </c>
    </row>
    <row r="132" spans="1:9" ht="12.75">
      <c r="A132" s="171" t="s">
        <v>185</v>
      </c>
      <c r="B132" s="171">
        <f>B92*10000/B62</f>
        <v>0.020468283419118643</v>
      </c>
      <c r="C132" s="171">
        <f>C92*10000/C62</f>
        <v>0.005819410901028614</v>
      </c>
      <c r="D132" s="171">
        <f>D92*10000/D62</f>
        <v>0.07227683930346285</v>
      </c>
      <c r="E132" s="171">
        <f>E92*10000/E62</f>
        <v>0.04118347927761112</v>
      </c>
      <c r="F132" s="171">
        <f>F92*10000/F62</f>
        <v>-0.005432037010952019</v>
      </c>
      <c r="G132" s="171">
        <f>AVERAGE(C132:E132)</f>
        <v>0.039759909827367525</v>
      </c>
      <c r="H132" s="171">
        <f>STDEV(C132:E132)</f>
        <v>0.03325157680397906</v>
      </c>
      <c r="I132" s="171">
        <f>(B132*B4+C132*C4+D132*D4+E132*E4+F132*F4)/SUM(B4:F4)</f>
        <v>0.03093356327289556</v>
      </c>
    </row>
    <row r="133" spans="1:9" ht="12.75">
      <c r="A133" s="171" t="s">
        <v>186</v>
      </c>
      <c r="B133" s="171">
        <f>B93*10000/B62</f>
        <v>-0.06680713077972177</v>
      </c>
      <c r="C133" s="171">
        <f>C93*10000/C62</f>
        <v>-0.06277893920963834</v>
      </c>
      <c r="D133" s="171">
        <f>D93*10000/D62</f>
        <v>-0.04929429040509355</v>
      </c>
      <c r="E133" s="171">
        <f>E93*10000/E62</f>
        <v>-0.05492213450656278</v>
      </c>
      <c r="F133" s="171">
        <f>F93*10000/F62</f>
        <v>-0.05585900818439857</v>
      </c>
      <c r="G133" s="171">
        <f>AVERAGE(C133:E133)</f>
        <v>-0.05566512137376489</v>
      </c>
      <c r="H133" s="171">
        <f>STDEV(C133:E133)</f>
        <v>0.006772958028742205</v>
      </c>
      <c r="I133" s="171">
        <f>(B133*B4+C133*C4+D133*D4+E133*E4+F133*F4)/SUM(B4:F4)</f>
        <v>-0.05730213134622826</v>
      </c>
    </row>
    <row r="134" spans="1:9" ht="12.75">
      <c r="A134" s="171" t="s">
        <v>187</v>
      </c>
      <c r="B134" s="171">
        <f>B94*10000/B62</f>
        <v>-0.01980828794732879</v>
      </c>
      <c r="C134" s="171">
        <f>C94*10000/C62</f>
        <v>0.0017884186557390299</v>
      </c>
      <c r="D134" s="171">
        <f>D94*10000/D62</f>
        <v>0.011580289760971281</v>
      </c>
      <c r="E134" s="171">
        <f>E94*10000/E62</f>
        <v>0.017568536384863186</v>
      </c>
      <c r="F134" s="171">
        <f>F94*10000/F62</f>
        <v>-0.010794586577320877</v>
      </c>
      <c r="G134" s="171">
        <f>AVERAGE(C134:E134)</f>
        <v>0.010312414933857832</v>
      </c>
      <c r="H134" s="171">
        <f>STDEV(C134:E134)</f>
        <v>0.007966094326530133</v>
      </c>
      <c r="I134" s="171">
        <f>(B134*B4+C134*C4+D134*D4+E134*E4+F134*F4)/SUM(B4:F4)</f>
        <v>0.0031388368984890044</v>
      </c>
    </row>
    <row r="135" spans="1:9" ht="12.75">
      <c r="A135" s="171" t="s">
        <v>188</v>
      </c>
      <c r="B135" s="171">
        <f>B95*10000/B62</f>
        <v>-0.0030648806562970344</v>
      </c>
      <c r="C135" s="171">
        <f>C95*10000/C62</f>
        <v>-0.0045896244474695124</v>
      </c>
      <c r="D135" s="171">
        <f>D95*10000/D62</f>
        <v>-0.00586923291260236</v>
      </c>
      <c r="E135" s="171">
        <f>E95*10000/E62</f>
        <v>-0.00285146349140266</v>
      </c>
      <c r="F135" s="171">
        <f>F95*10000/F62</f>
        <v>0.009986931387369594</v>
      </c>
      <c r="G135" s="171">
        <f>AVERAGE(C135:E135)</f>
        <v>-0.004436773617158178</v>
      </c>
      <c r="H135" s="171">
        <f>STDEV(C135:E135)</f>
        <v>0.0015146800329202004</v>
      </c>
      <c r="I135" s="171">
        <f>(B135*B4+C135*C4+D135*D4+E135*E4+F135*F4)/SUM(B4:F4)</f>
        <v>-0.002312167122488409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DAPNIA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Nice user</dc:creator>
  <cp:keywords/>
  <dc:description/>
  <cp:lastModifiedBy>hagen</cp:lastModifiedBy>
  <cp:lastPrinted>2003-07-03T13:57:32Z</cp:lastPrinted>
  <dcterms:created xsi:type="dcterms:W3CDTF">1999-06-17T15:15:05Z</dcterms:created>
  <dcterms:modified xsi:type="dcterms:W3CDTF">2003-10-17T18:07:37Z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-1915878542</vt:i4>
  </property>
  <property fmtid="{D5CDD505-2E9C-101B-9397-08002B2CF9AE}" pid="3" name="_EmailSubject">
    <vt:lpwstr>WFM result of aperture 108, 109 and 110</vt:lpwstr>
  </property>
  <property fmtid="{D5CDD505-2E9C-101B-9397-08002B2CF9AE}" pid="4" name="_AuthorEmail">
    <vt:lpwstr>SIMONF@DAPNIA.CEA.FR</vt:lpwstr>
  </property>
  <property fmtid="{D5CDD505-2E9C-101B-9397-08002B2CF9AE}" pid="5" name="_AuthorEmailDisplayName">
    <vt:lpwstr>SIMON Fabrice          DAPNIA</vt:lpwstr>
  </property>
  <property fmtid="{D5CDD505-2E9C-101B-9397-08002B2CF9AE}" pid="6" name="_PreviousAdHocReviewCycleID">
    <vt:i4>1421584721</vt:i4>
  </property>
  <property fmtid="{D5CDD505-2E9C-101B-9397-08002B2CF9AE}" pid="7" name="_ReviewingToolsShownOnce">
    <vt:lpwstr/>
  </property>
</Properties>
</file>