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11_pos1ap2" sheetId="2" r:id="rId2"/>
    <sheet name="HCMQAP111_pos2ap2" sheetId="3" r:id="rId3"/>
    <sheet name="HCMQAP111_pos3ap2" sheetId="4" r:id="rId4"/>
    <sheet name="HCMQAP111_pos4ap2" sheetId="5" r:id="rId5"/>
    <sheet name="HCMQAP111_pos5ap2" sheetId="6" r:id="rId6"/>
    <sheet name="Lmag_hcmqap" sheetId="7" r:id="rId7"/>
    <sheet name="Result_HCMQAP" sheetId="8" r:id="rId8"/>
  </sheets>
  <definedNames>
    <definedName name="_xlnm.Print_Area" localSheetId="1">'HCMQAP111_pos1ap2'!$A$1:$N$28</definedName>
    <definedName name="_xlnm.Print_Area" localSheetId="2">'HCMQAP111_pos2ap2'!$A$1:$N$28</definedName>
    <definedName name="_xlnm.Print_Area" localSheetId="3">'HCMQAP111_pos3ap2'!$A$1:$N$28</definedName>
    <definedName name="_xlnm.Print_Area" localSheetId="4">'HCMQAP111_pos4ap2'!$A$1:$N$28</definedName>
    <definedName name="_xlnm.Print_Area" localSheetId="5">'HCMQAP111_pos5ap2'!$A$1:$N$28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<sst xmlns="http://schemas.openxmlformats.org/spreadsheetml/2006/main" count="510" uniqueCount="192">
  <si>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</si>
  <si>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</si>
  <si>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</si>
  <si>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</si>
  <si>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</si>
  <si>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</si>
  <si>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</si>
  <si>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</si>
  <si>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</si>
  <si>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</si>
  <si>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</si>
  <si>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</si>
  <si>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</si>
  <si>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</si>
  <si>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</si>
  <si>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</si>
  <si>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</si>
  <si>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</si>
  <si>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</si>
  <si>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</si>
  <si>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</si>
  <si>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</si>
  <si>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</si>
  <si>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</si>
  <si>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</si>
  <si>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</si>
  <si>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</si>
  <si>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</si>
  <si>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</si>
  <si>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</si>
  <si>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</si>
  <si>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</si>
  <si>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</si>
  <si>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</si>
  <si>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</si>
  <si>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</si>
  <si>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</si>
  <si>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</si>
  <si>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</si>
  <si>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</si>
  <si>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</si>
  <si>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</si>
  <si>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</si>
  <si>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</si>
  <si>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</si>
  <si>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</si>
  <si>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</si>
  <si>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</si>
  <si>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</si>
  <si>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</si>
  <si>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</si>
  <si>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</si>
  <si>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</si>
  <si>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</si>
  <si>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</si>
  <si>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</si>
  <si>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</si>
  <si>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</si>
  <si>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</si>
  <si>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</si>
  <si>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</si>
  <si>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</si>
  <si>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</si>
  <si>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</si>
  <si>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</si>
  <si>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</si>
  <si>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</si>
  <si>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</si>
  <si>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HCMQAP111_pos1ap2</t>
  </si>
  <si>
    <t>20/10/2003</t>
  </si>
  <si>
    <t>±12.5</t>
  </si>
  <si>
    <t>THCMQAP111_pos1ap2.xls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</si>
  <si>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</si>
  <si>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HCMQAP111_pos2ap2</t>
  </si>
  <si>
    <t>THCMQAP111_pos2ap2.xls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</si>
  <si>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</si>
  <si>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HCMQAP111_pos3ap2</t>
  </si>
  <si>
    <t>THCMQAP111_pos3ap2.xls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</si>
  <si>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</si>
  <si>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HCMQAP111_pos4ap2</t>
  </si>
  <si>
    <t>THCMQAP111_pos4ap2.xls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</si>
  <si>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</si>
  <si>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t>HCMQAP111_pos5ap2</t>
  </si>
  <si>
    <t>THCMQAP111_pos5ap2.xls</t>
  </si>
  <si>
    <t>Sommaire : Valeurs intégrales calculées avec les fichiers: HCMQAP111_pos1ap2+HCMQAP111_pos2ap2+HCMQAP111_pos3ap2+HCMQAP111_pos4ap2+HCMQAP111_pos5ap2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</si>
  <si>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</si>
  <si>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</si>
  <si>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</si>
  <si>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</si>
  <si>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</si>
  <si>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</si>
  <si>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</si>
  <si>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</si>
  <si>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</si>
  <si>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</si>
  <si>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</si>
  <si>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</si>
  <si>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</si>
  <si>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</si>
  <si>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</si>
  <si>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</si>
  <si>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</si>
  <si>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</si>
  <si>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</si>
  <si>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</si>
  <si>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</si>
  <si>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</si>
  <si>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</si>
  <si>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</si>
  <si>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</si>
  <si>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</si>
  <si>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</si>
  <si>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</si>
  <si>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</si>
  <si>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</si>
  <si>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</si>
  <si>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</si>
  <si>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</si>
  <si>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</si>
  <si>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</si>
  <si>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</si>
  <si>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</si>
  <si>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</si>
  <si>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</si>
  <si>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</si>
  <si>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</si>
  <si>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</si>
  <si>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</si>
  <si>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</si>
  <si>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</si>
  <si>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Mon 20/10/2003       08:40:18</t>
  </si>
  <si>
    <t>LISSNER</t>
  </si>
  <si>
    <t>HCMQAP111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</si>
  <si>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</si>
  <si>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</si>
  <si>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</si>
  <si>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</si>
  <si>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</si>
  <si>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</si>
  <si>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</si>
  <si>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</si>
  <si>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b3*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</si>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</sst>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5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3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3275461"/>
        <c:axId val="29479150"/>
      </c:lineChart>
      <c:catAx>
        <c:axId val="3275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2754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2422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2422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2422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2422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82</v>
      </c>
      <c r="H6" s="25">
        <v>2422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3.50053542E-05</v>
      </c>
      <c r="L2" s="55">
        <v>7.222113338396863E-07</v>
      </c>
      <c r="M2" s="55">
        <v>0.00013076998000000002</v>
      </c>
      <c r="N2" s="56">
        <v>1.1664425230693937E-07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-3.2669747800000005E-05</v>
      </c>
      <c r="L3" s="55">
        <v>2.6424372401461285E-07</v>
      </c>
      <c r="M3" s="55">
        <v>1.5390720000000003E-05</v>
      </c>
      <c r="N3" s="56">
        <v>2.9667661114413226E-07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-0.0022575745849332703</v>
      </c>
      <c r="L4" s="55">
        <v>1.3118561836653433E-05</v>
      </c>
      <c r="M4" s="55">
        <v>6.38173971409888E-08</v>
      </c>
      <c r="N4" s="56">
        <v>-2.9054221</v>
      </c>
    </row>
    <row r="5" spans="1:14" ht="15" customHeight="1" thickBot="1">
      <c r="A5" t="s">
        <v>18</v>
      </c>
      <c r="B5" s="59">
        <v>37914.33950231481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3.5793684999999997</v>
      </c>
      <c r="E8" s="78">
        <v>0.018736314157321233</v>
      </c>
      <c r="F8" s="78">
        <v>3.7837916999999996</v>
      </c>
      <c r="G8" s="78">
        <v>0.030177283569963048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0.064757216</v>
      </c>
      <c r="E9" s="80">
        <v>0.06776587914602815</v>
      </c>
      <c r="F9" s="80">
        <v>1.5870132</v>
      </c>
      <c r="G9" s="80">
        <v>0.04257902193873999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-0.9539295299999999</v>
      </c>
      <c r="E10" s="80">
        <v>0.01796679441742233</v>
      </c>
      <c r="F10" s="80">
        <v>-1.1286328099999998</v>
      </c>
      <c r="G10" s="80">
        <v>0.007795295819952038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3.5805224000000004</v>
      </c>
      <c r="E11" s="78">
        <v>0.013574807907955564</v>
      </c>
      <c r="F11" s="78">
        <v>0.12093825889999998</v>
      </c>
      <c r="G11" s="78">
        <v>0.013300759775130804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-0.36144172</v>
      </c>
      <c r="E12" s="80">
        <v>0.007598137043618707</v>
      </c>
      <c r="F12" s="80">
        <v>0.078390561</v>
      </c>
      <c r="G12" s="80">
        <v>0.0013496457091606545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16.940308</v>
      </c>
      <c r="D13" s="83">
        <v>0.29423459</v>
      </c>
      <c r="E13" s="80">
        <v>0.002978296321621574</v>
      </c>
      <c r="F13" s="80">
        <v>-0.03849293499999999</v>
      </c>
      <c r="G13" s="80">
        <v>0.00980620903389686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0.085544878</v>
      </c>
      <c r="E14" s="80">
        <v>0.006146265224176757</v>
      </c>
      <c r="F14" s="86">
        <v>0.52530402</v>
      </c>
      <c r="G14" s="80">
        <v>0.001589071775468499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-0.39521072</v>
      </c>
      <c r="E15" s="78">
        <v>0.002423252971638917</v>
      </c>
      <c r="F15" s="78">
        <v>0.057868308</v>
      </c>
      <c r="G15" s="78">
        <v>0.004481164648969729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-0.12936894999999998</v>
      </c>
      <c r="E16" s="80">
        <v>0.0015519716766097835</v>
      </c>
      <c r="F16" s="80">
        <v>-0.044585082000000005</v>
      </c>
      <c r="G16" s="80">
        <v>0.0017472193439793087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0.19699999690055847</v>
      </c>
      <c r="D17" s="83">
        <v>0.14501216</v>
      </c>
      <c r="E17" s="80">
        <v>0.0007510641593103128</v>
      </c>
      <c r="F17" s="80">
        <v>-0.100176559</v>
      </c>
      <c r="G17" s="80">
        <v>0.0019716772631934287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45.7760009765625</v>
      </c>
      <c r="D18" s="83">
        <v>0.0394278</v>
      </c>
      <c r="E18" s="80">
        <v>0.0018595533397565136</v>
      </c>
      <c r="F18" s="86">
        <v>0.18029036</v>
      </c>
      <c r="G18" s="80">
        <v>0.0018908869311497658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-0.012000000104308128</v>
      </c>
      <c r="D19" s="87">
        <v>-0.17602403999999996</v>
      </c>
      <c r="E19" s="80">
        <v>0.0014013454061759974</v>
      </c>
      <c r="F19" s="80">
        <v>-0.006442872409</v>
      </c>
      <c r="G19" s="80">
        <v>0.002982277269575557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0.26937590000000006</v>
      </c>
      <c r="D20" s="89">
        <v>-0.00051888818</v>
      </c>
      <c r="E20" s="90">
        <v>0.0012805374144507179</v>
      </c>
      <c r="F20" s="90">
        <v>0.000412291999</v>
      </c>
      <c r="G20" s="90">
        <v>0.0010370923219247855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0.9831274999999999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-0.16646856464401785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-2.2576126999999997</v>
      </c>
      <c r="I25" s="102" t="s">
        <v>49</v>
      </c>
      <c r="J25" s="103"/>
      <c r="K25" s="102"/>
      <c r="L25" s="105">
        <v>3.582564265908921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5.20854667712416</v>
      </c>
      <c r="I26" s="107" t="s">
        <v>53</v>
      </c>
      <c r="J26" s="108"/>
      <c r="K26" s="107"/>
      <c r="L26" s="110">
        <v>0.39942490442347395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HCMQAP111_pos1ap2res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-3.344008139999999E-05</v>
      </c>
      <c r="L2" s="55">
        <v>3.316819177629087E-07</v>
      </c>
      <c r="M2" s="55">
        <v>0.00015528036</v>
      </c>
      <c r="N2" s="56">
        <v>1.508010126060899E-07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-2.993181459999999E-05</v>
      </c>
      <c r="L3" s="55">
        <v>1.0655680477434437E-07</v>
      </c>
      <c r="M3" s="55">
        <v>1.384204E-05</v>
      </c>
      <c r="N3" s="56">
        <v>3.1596656057249824E-07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-0.003761795933757976</v>
      </c>
      <c r="L4" s="55">
        <v>-8.213307857829103E-06</v>
      </c>
      <c r="M4" s="55">
        <v>5.497217784348622E-08</v>
      </c>
      <c r="N4" s="56">
        <v>1.09167203</v>
      </c>
    </row>
    <row r="5" spans="1:14" ht="15" customHeight="1" thickBot="1">
      <c r="A5" t="s">
        <v>18</v>
      </c>
      <c r="B5" s="59">
        <v>37914.344039351854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4.1212649</v>
      </c>
      <c r="E8" s="78">
        <v>0.00782152862576876</v>
      </c>
      <c r="F8" s="78">
        <v>4.2105518</v>
      </c>
      <c r="G8" s="78">
        <v>0.007861184653737419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-0.5136239</v>
      </c>
      <c r="E9" s="80">
        <v>0.02797655498407521</v>
      </c>
      <c r="F9" s="86">
        <v>3.1896435</v>
      </c>
      <c r="G9" s="80">
        <v>0.025703216341547895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-1.3420017999999998</v>
      </c>
      <c r="E10" s="80">
        <v>0.007498854343180544</v>
      </c>
      <c r="F10" s="80">
        <v>0.58440272</v>
      </c>
      <c r="G10" s="80">
        <v>0.009451559894880675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3.0467248</v>
      </c>
      <c r="E11" s="78">
        <v>0.006392002820701801</v>
      </c>
      <c r="F11" s="78">
        <v>-0.62031521</v>
      </c>
      <c r="G11" s="78">
        <v>0.00859708687715588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-0.27641094</v>
      </c>
      <c r="E12" s="80">
        <v>0.0027366359223328254</v>
      </c>
      <c r="F12" s="86">
        <v>-0.7409152999999999</v>
      </c>
      <c r="G12" s="80">
        <v>0.005184107482590295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17.007447</v>
      </c>
      <c r="D13" s="83">
        <v>-0.036746366</v>
      </c>
      <c r="E13" s="80">
        <v>0.0021272449433043547</v>
      </c>
      <c r="F13" s="80">
        <v>-0.23665998000000005</v>
      </c>
      <c r="G13" s="80">
        <v>0.002466184698191001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0.05787440800000001</v>
      </c>
      <c r="E14" s="80">
        <v>0.0021812543384542617</v>
      </c>
      <c r="F14" s="80">
        <v>0.1152455</v>
      </c>
      <c r="G14" s="80">
        <v>0.0031200497350203993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-0.25893293999999994</v>
      </c>
      <c r="E15" s="78">
        <v>0.0011670889886447034</v>
      </c>
      <c r="F15" s="78">
        <v>-0.05997639600000001</v>
      </c>
      <c r="G15" s="78">
        <v>0.002327327250128939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-0.057405507999999994</v>
      </c>
      <c r="E16" s="80">
        <v>0.0016230272267269445</v>
      </c>
      <c r="F16" s="115">
        <v>-0.14930587</v>
      </c>
      <c r="G16" s="80">
        <v>0.001845630832968014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-0.07599999755620956</v>
      </c>
      <c r="D17" s="83">
        <v>0.075715951</v>
      </c>
      <c r="E17" s="80">
        <v>0.0009291237733125114</v>
      </c>
      <c r="F17" s="80">
        <v>-0.049273419</v>
      </c>
      <c r="G17" s="80">
        <v>0.0017790983621131632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161.7429962158203</v>
      </c>
      <c r="D18" s="83">
        <v>0.0093148002</v>
      </c>
      <c r="E18" s="80">
        <v>0.0009855575528296846</v>
      </c>
      <c r="F18" s="80">
        <v>0.077524731</v>
      </c>
      <c r="G18" s="80">
        <v>0.001256090862857266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-0.33899998664855957</v>
      </c>
      <c r="D19" s="83">
        <v>-0.14554558</v>
      </c>
      <c r="E19" s="80">
        <v>0.0005990914442738726</v>
      </c>
      <c r="F19" s="80">
        <v>0.0011448465799999998</v>
      </c>
      <c r="G19" s="80">
        <v>0.0010545015174273718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-0.1526192</v>
      </c>
      <c r="D20" s="89">
        <v>0.008419976</v>
      </c>
      <c r="E20" s="90">
        <v>0.0009446072562290162</v>
      </c>
      <c r="F20" s="90">
        <v>0.00278273388</v>
      </c>
      <c r="G20" s="90">
        <v>0.0008241904402359309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0.7014034999999998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0.06254825276372793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-3.7618049</v>
      </c>
      <c r="I25" s="102" t="s">
        <v>49</v>
      </c>
      <c r="J25" s="103"/>
      <c r="K25" s="102"/>
      <c r="L25" s="105">
        <v>3.1092318933608643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5.891822369730375</v>
      </c>
      <c r="I26" s="107" t="s">
        <v>53</v>
      </c>
      <c r="J26" s="108"/>
      <c r="K26" s="107"/>
      <c r="L26" s="110">
        <v>0.26578832836336586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-1.4911766E-05</v>
      </c>
      <c r="L2" s="55">
        <v>1.1085175607079473E-07</v>
      </c>
      <c r="M2" s="55">
        <v>0.00016010433</v>
      </c>
      <c r="N2" s="56">
        <v>2.3530283593077807E-07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-2.9011036000000002E-05</v>
      </c>
      <c r="L3" s="55">
        <v>8.071382040180151E-08</v>
      </c>
      <c r="M3" s="55">
        <v>1.199609E-05</v>
      </c>
      <c r="N3" s="56">
        <v>3.203284242773248E-07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-0.0037608613967871902</v>
      </c>
      <c r="L4" s="55">
        <v>-3.883516174183456E-05</v>
      </c>
      <c r="M4" s="55">
        <v>2.909198162161869E-08</v>
      </c>
      <c r="N4" s="56">
        <v>5.1628839</v>
      </c>
    </row>
    <row r="5" spans="1:14" ht="15" customHeight="1" thickBot="1">
      <c r="A5" t="s">
        <v>18</v>
      </c>
      <c r="B5" s="59">
        <v>37914.34861111111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3.5075876999999998</v>
      </c>
      <c r="E8" s="78">
        <v>0.0108071239588437</v>
      </c>
      <c r="F8" s="116">
        <v>5.053856000000001</v>
      </c>
      <c r="G8" s="78">
        <v>0.010049462055031808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0.26763597</v>
      </c>
      <c r="E9" s="80">
        <v>0.02310727903939798</v>
      </c>
      <c r="F9" s="86">
        <v>4.1091326</v>
      </c>
      <c r="G9" s="80">
        <v>0.05065536004058884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-1.2296318</v>
      </c>
      <c r="E10" s="80">
        <v>0.00509318708279379</v>
      </c>
      <c r="F10" s="80">
        <v>1.0083301599999999</v>
      </c>
      <c r="G10" s="80">
        <v>0.006675092666742652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3.2907542</v>
      </c>
      <c r="E11" s="78">
        <v>0.008776524520595675</v>
      </c>
      <c r="F11" s="78">
        <v>-0.22618221</v>
      </c>
      <c r="G11" s="78">
        <v>0.010835819296869083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-0.15049012</v>
      </c>
      <c r="E12" s="80">
        <v>0.004545660293356836</v>
      </c>
      <c r="F12" s="80">
        <v>-0.38393999</v>
      </c>
      <c r="G12" s="80">
        <v>0.004185745858672349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17.053223</v>
      </c>
      <c r="D13" s="83">
        <v>-0.065232026</v>
      </c>
      <c r="E13" s="80">
        <v>0.003605735758129676</v>
      </c>
      <c r="F13" s="80">
        <v>0.098034984</v>
      </c>
      <c r="G13" s="80">
        <v>0.003454150357305545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-0.034734111</v>
      </c>
      <c r="E14" s="80">
        <v>0.0019835674484811306</v>
      </c>
      <c r="F14" s="80">
        <v>0.14915530999999999</v>
      </c>
      <c r="G14" s="80">
        <v>0.0048986357703343355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-0.26729359</v>
      </c>
      <c r="E15" s="78">
        <v>0.0013392447440251688</v>
      </c>
      <c r="F15" s="78">
        <v>-0.009818962740000001</v>
      </c>
      <c r="G15" s="78">
        <v>0.0029712721016492607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-0.032871539000000005</v>
      </c>
      <c r="E16" s="80">
        <v>0.0007632848056614229</v>
      </c>
      <c r="F16" s="80">
        <v>-0.10679849599999999</v>
      </c>
      <c r="G16" s="80">
        <v>0.001942758247509016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0.34700000286102295</v>
      </c>
      <c r="D17" s="83">
        <v>0.043162849999999996</v>
      </c>
      <c r="E17" s="80">
        <v>0.001764462018089407</v>
      </c>
      <c r="F17" s="80">
        <v>-0.014254963139999998</v>
      </c>
      <c r="G17" s="80">
        <v>0.0027477571542296165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-9.663999557495117</v>
      </c>
      <c r="D18" s="83">
        <v>0.0030772107999999998</v>
      </c>
      <c r="E18" s="80">
        <v>0.0007183197311358362</v>
      </c>
      <c r="F18" s="80">
        <v>0.08518275700000001</v>
      </c>
      <c r="G18" s="80">
        <v>0.0023163531337092704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-0.08699999749660492</v>
      </c>
      <c r="D19" s="87">
        <v>-0.15723587</v>
      </c>
      <c r="E19" s="80">
        <v>0.0012830296027768603</v>
      </c>
      <c r="F19" s="80">
        <v>-0.00165202353</v>
      </c>
      <c r="G19" s="80">
        <v>0.0013407149957728518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-0.07484299999999999</v>
      </c>
      <c r="D20" s="89">
        <v>0.004158947200000001</v>
      </c>
      <c r="E20" s="90">
        <v>0.0011173579471257004</v>
      </c>
      <c r="F20" s="90">
        <v>0.0021585912999999997</v>
      </c>
      <c r="G20" s="90">
        <v>0.0005984466874727111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0.7229335000000001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0.2958117074475027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-3.7610619</v>
      </c>
      <c r="I25" s="102" t="s">
        <v>49</v>
      </c>
      <c r="J25" s="103"/>
      <c r="K25" s="102"/>
      <c r="L25" s="105">
        <v>3.298518091043025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6.151799081726198</v>
      </c>
      <c r="I26" s="107" t="s">
        <v>53</v>
      </c>
      <c r="J26" s="108"/>
      <c r="K26" s="107"/>
      <c r="L26" s="110">
        <v>0.2674738777607593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-2.70864796E-05</v>
      </c>
      <c r="L2" s="55">
        <v>1.1725847986583349E-07</v>
      </c>
      <c r="M2" s="55">
        <v>0.00014267567999999998</v>
      </c>
      <c r="N2" s="56">
        <v>1.5739017950285172E-07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-2.9472156399999998E-05</v>
      </c>
      <c r="L3" s="55">
        <v>1.7354953658210915E-07</v>
      </c>
      <c r="M3" s="55">
        <v>1.0760700000000004E-05</v>
      </c>
      <c r="N3" s="56">
        <v>2.9029513774780657E-07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-0.003759491263696809</v>
      </c>
      <c r="L4" s="55">
        <v>-6.505014299269953E-05</v>
      </c>
      <c r="M4" s="55">
        <v>7.627385477148027E-08</v>
      </c>
      <c r="N4" s="56">
        <v>8.6505923</v>
      </c>
    </row>
    <row r="5" spans="1:14" ht="15" customHeight="1" thickBot="1">
      <c r="A5" t="s">
        <v>18</v>
      </c>
      <c r="B5" s="59">
        <v>37914.353159722225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2.5208987</v>
      </c>
      <c r="E8" s="78">
        <v>0.016152754305681447</v>
      </c>
      <c r="F8" s="78">
        <v>4.434233</v>
      </c>
      <c r="G8" s="78">
        <v>0.011502524666477176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0.075241713</v>
      </c>
      <c r="E9" s="80">
        <v>0.0204799354052086</v>
      </c>
      <c r="F9" s="86">
        <v>3.0945564</v>
      </c>
      <c r="G9" s="80">
        <v>0.00515091950423729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-0.9015757900000001</v>
      </c>
      <c r="E10" s="80">
        <v>0.003613303230463443</v>
      </c>
      <c r="F10" s="80">
        <v>0.8718933099999999</v>
      </c>
      <c r="G10" s="80">
        <v>0.008907589040947805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3.8599516</v>
      </c>
      <c r="E11" s="78">
        <v>0.0044459860254189385</v>
      </c>
      <c r="F11" s="78">
        <v>-0.31582068</v>
      </c>
      <c r="G11" s="78">
        <v>0.00839209140813954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-0.30542992</v>
      </c>
      <c r="E12" s="80">
        <v>0.004505354753245098</v>
      </c>
      <c r="F12" s="80">
        <v>-0.36868870000000004</v>
      </c>
      <c r="G12" s="80">
        <v>0.002908442188003244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17.105103</v>
      </c>
      <c r="D13" s="83">
        <v>-0.18829827</v>
      </c>
      <c r="E13" s="80">
        <v>0.004131524128164339</v>
      </c>
      <c r="F13" s="80">
        <v>0.12056755999999999</v>
      </c>
      <c r="G13" s="80">
        <v>0.0017011400381514263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-0.106644467</v>
      </c>
      <c r="E14" s="80">
        <v>0.0021865572546069458</v>
      </c>
      <c r="F14" s="80">
        <v>0.0110342387</v>
      </c>
      <c r="G14" s="80">
        <v>0.0008470221604625918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-0.16041745000000002</v>
      </c>
      <c r="E15" s="78">
        <v>0.0024909638582281254</v>
      </c>
      <c r="F15" s="78">
        <v>-0.01411334517</v>
      </c>
      <c r="G15" s="78">
        <v>0.0019034105601411079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-0.0089383752</v>
      </c>
      <c r="E16" s="80">
        <v>0.0017442316150278491</v>
      </c>
      <c r="F16" s="80">
        <v>-0.08973700700000001</v>
      </c>
      <c r="G16" s="80">
        <v>0.0022975083631912746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-0.16099999845027924</v>
      </c>
      <c r="D17" s="83">
        <v>0.032145022</v>
      </c>
      <c r="E17" s="80">
        <v>0.0019322751611677844</v>
      </c>
      <c r="F17" s="80">
        <v>0.005945589730000001</v>
      </c>
      <c r="G17" s="80">
        <v>0.001398611211910682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151.5709991455078</v>
      </c>
      <c r="D18" s="83">
        <v>-0.009827539400000002</v>
      </c>
      <c r="E18" s="80">
        <v>0.0016153308031547047</v>
      </c>
      <c r="F18" s="80">
        <v>0.068579339</v>
      </c>
      <c r="G18" s="80">
        <v>0.001970087133076599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-0.41200000047683716</v>
      </c>
      <c r="D19" s="87">
        <v>-0.15448546000000002</v>
      </c>
      <c r="E19" s="80">
        <v>0.0020331264351741312</v>
      </c>
      <c r="F19" s="80">
        <v>-0.0075607992</v>
      </c>
      <c r="G19" s="80">
        <v>0.0010069553025001498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-0.1335876</v>
      </c>
      <c r="D20" s="89">
        <v>0.010131725900000001</v>
      </c>
      <c r="E20" s="90">
        <v>0.0008518366594677773</v>
      </c>
      <c r="F20" s="90">
        <v>0.0040084096</v>
      </c>
      <c r="G20" s="90">
        <v>0.0007364000470165913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0.642854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0.4956428477299711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-3.7600540000000002</v>
      </c>
      <c r="I25" s="102" t="s">
        <v>49</v>
      </c>
      <c r="J25" s="103"/>
      <c r="K25" s="102"/>
      <c r="L25" s="105">
        <v>3.8728502496557007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5.100720787687823</v>
      </c>
      <c r="I26" s="107" t="s">
        <v>53</v>
      </c>
      <c r="J26" s="108"/>
      <c r="K26" s="107"/>
      <c r="L26" s="110">
        <v>0.16103709130628902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4.8606157E-05</v>
      </c>
      <c r="L2" s="55">
        <v>7.353711101331217E-08</v>
      </c>
      <c r="M2" s="55">
        <v>9.523281800000001E-05</v>
      </c>
      <c r="N2" s="56">
        <v>8.482463797147753E-08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-3.1033411E-05</v>
      </c>
      <c r="L3" s="55">
        <v>7.331056475099654E-08</v>
      </c>
      <c r="M3" s="55">
        <v>9.717902000000001E-06</v>
      </c>
      <c r="N3" s="56">
        <v>1.253703167659061E-07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-0.002093966591939933</v>
      </c>
      <c r="L4" s="55">
        <v>-4.4198453914845326E-05</v>
      </c>
      <c r="M4" s="55">
        <v>8.431073128111223E-08</v>
      </c>
      <c r="N4" s="56">
        <v>10.552195999999999</v>
      </c>
    </row>
    <row r="5" spans="1:14" ht="15" customHeight="1" thickBot="1">
      <c r="A5" t="s">
        <v>18</v>
      </c>
      <c r="B5" s="59">
        <v>37914.357777777775</v>
      </c>
      <c r="D5" s="60"/>
      <c r="E5" s="61" t="s">
        <v>81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117">
        <v>-6.1342783</v>
      </c>
      <c r="E8" s="78">
        <v>0.019759854155853008</v>
      </c>
      <c r="F8" s="116">
        <v>11.015903</v>
      </c>
      <c r="G8" s="78">
        <v>0.027274840347816014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-1.13779889</v>
      </c>
      <c r="E9" s="80">
        <v>0.0283874000861176</v>
      </c>
      <c r="F9" s="80">
        <v>-0.27099441</v>
      </c>
      <c r="G9" s="80">
        <v>0.06648329354943913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-1.76771165</v>
      </c>
      <c r="E10" s="80">
        <v>0.010794563501060015</v>
      </c>
      <c r="F10" s="86">
        <v>-6.662385900000001</v>
      </c>
      <c r="G10" s="80">
        <v>0.015270070305438845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7">
        <v>14.546153</v>
      </c>
      <c r="E11" s="78">
        <v>0.00660747954823694</v>
      </c>
      <c r="F11" s="116">
        <v>2.3303200999999993</v>
      </c>
      <c r="G11" s="78">
        <v>0.015899387608998866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7">
        <v>-0.8234303599999999</v>
      </c>
      <c r="E12" s="80">
        <v>0.006227085353974946</v>
      </c>
      <c r="F12" s="80">
        <v>0.25796767</v>
      </c>
      <c r="G12" s="80">
        <v>0.006068214521225769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17.178345</v>
      </c>
      <c r="D13" s="83">
        <v>0.024738879999999998</v>
      </c>
      <c r="E13" s="80">
        <v>0.009110934640090447</v>
      </c>
      <c r="F13" s="86">
        <v>-0.54830359</v>
      </c>
      <c r="G13" s="80">
        <v>0.005543735825182374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0.33251412</v>
      </c>
      <c r="E14" s="80">
        <v>0.0032055599879898086</v>
      </c>
      <c r="F14" s="80">
        <v>0.24594622</v>
      </c>
      <c r="G14" s="80">
        <v>0.0030370823228222615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-0.47463148000000005</v>
      </c>
      <c r="E15" s="78">
        <v>0.004177847364801233</v>
      </c>
      <c r="F15" s="78">
        <v>0.23252589</v>
      </c>
      <c r="G15" s="78">
        <v>0.002897047439617467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-0.032460476</v>
      </c>
      <c r="E16" s="80">
        <v>0.004237468286096561</v>
      </c>
      <c r="F16" s="80">
        <v>-0.0218582498</v>
      </c>
      <c r="G16" s="80">
        <v>0.0029295618300272577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0.30399999022483826</v>
      </c>
      <c r="D17" s="83">
        <v>0.0177383716</v>
      </c>
      <c r="E17" s="80">
        <v>0.0030635578264431953</v>
      </c>
      <c r="F17" s="80">
        <v>-0.07219688500000002</v>
      </c>
      <c r="G17" s="80">
        <v>0.0020160991180317167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-7.120999813079834</v>
      </c>
      <c r="D18" s="83">
        <v>0.031202932000000006</v>
      </c>
      <c r="E18" s="80">
        <v>0.0014374814982550648</v>
      </c>
      <c r="F18" s="80">
        <v>0.067505668</v>
      </c>
      <c r="G18" s="80">
        <v>0.0030842470334353053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-0.05000000074505806</v>
      </c>
      <c r="D19" s="83">
        <v>-0.11920884999999999</v>
      </c>
      <c r="E19" s="80">
        <v>0.003239833841881452</v>
      </c>
      <c r="F19" s="80">
        <v>-0.0166103178</v>
      </c>
      <c r="G19" s="80">
        <v>0.004081631691150168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0.3781075</v>
      </c>
      <c r="D20" s="89">
        <v>-0.004554188870000001</v>
      </c>
      <c r="E20" s="90">
        <v>0.0009905887461978717</v>
      </c>
      <c r="F20" s="90">
        <v>0.0084549409</v>
      </c>
      <c r="G20" s="90">
        <v>0.0009699880217626138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0.7811196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0.6045968060759042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-2.094433</v>
      </c>
      <c r="I25" s="102" t="s">
        <v>49</v>
      </c>
      <c r="J25" s="103"/>
      <c r="K25" s="102"/>
      <c r="L25" s="105">
        <v>14.731631235809326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12.608706879266402</v>
      </c>
      <c r="I26" s="107" t="s">
        <v>53</v>
      </c>
      <c r="J26" s="108"/>
      <c r="K26" s="107"/>
      <c r="L26" s="110">
        <v>0.5285294044112234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HCMQAP111_pos5ap2res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2" t="s">
        <v>121</v>
      </c>
      <c r="B1" s="134" t="s">
        <v>68</v>
      </c>
      <c r="C1" s="124" t="s">
        <v>73</v>
      </c>
      <c r="D1" s="124" t="s">
        <v>76</v>
      </c>
      <c r="E1" s="124" t="s">
        <v>79</v>
      </c>
      <c r="F1" s="131" t="s">
        <v>82</v>
      </c>
      <c r="G1" s="166" t="s">
        <v>122</v>
      </c>
    </row>
    <row r="2" spans="1:7" ht="13.5" thickBot="1">
      <c r="A2" s="143" t="s">
        <v>91</v>
      </c>
      <c r="B2" s="135">
        <v>-2.2576126999999997</v>
      </c>
      <c r="C2" s="126">
        <v>-3.7618049</v>
      </c>
      <c r="D2" s="126">
        <v>-3.7610619</v>
      </c>
      <c r="E2" s="126">
        <v>-3.7600540000000002</v>
      </c>
      <c r="F2" s="132">
        <v>-2.094433</v>
      </c>
      <c r="G2" s="167">
        <v>3.1174537833368463</v>
      </c>
    </row>
    <row r="3" spans="1:7" ht="14.25" thickBot="1" thickTop="1">
      <c r="A3" s="151" t="s">
        <v>90</v>
      </c>
      <c r="B3" s="152" t="s">
        <v>85</v>
      </c>
      <c r="C3" s="153" t="s">
        <v>86</v>
      </c>
      <c r="D3" s="153" t="s">
        <v>87</v>
      </c>
      <c r="E3" s="153" t="s">
        <v>88</v>
      </c>
      <c r="F3" s="154" t="s">
        <v>89</v>
      </c>
      <c r="G3" s="161" t="s">
        <v>123</v>
      </c>
    </row>
    <row r="4" spans="1:7" ht="12.75">
      <c r="A4" s="148" t="s">
        <v>92</v>
      </c>
      <c r="B4" s="149">
        <v>3.5793684999999997</v>
      </c>
      <c r="C4" s="150">
        <v>4.1212649</v>
      </c>
      <c r="D4" s="150">
        <v>3.5075876999999998</v>
      </c>
      <c r="E4" s="150">
        <v>2.5208987</v>
      </c>
      <c r="F4" s="155">
        <v>-6.1342783</v>
      </c>
      <c r="G4" s="162">
        <v>2.136707940871027</v>
      </c>
    </row>
    <row r="5" spans="1:7" ht="12.75">
      <c r="A5" s="143" t="s">
        <v>94</v>
      </c>
      <c r="B5" s="137">
        <v>0.064757216</v>
      </c>
      <c r="C5" s="120">
        <v>-0.5136239</v>
      </c>
      <c r="D5" s="120">
        <v>0.26763597</v>
      </c>
      <c r="E5" s="120">
        <v>0.075241713</v>
      </c>
      <c r="F5" s="156">
        <v>-1.13779889</v>
      </c>
      <c r="G5" s="163">
        <v>-0.18416997435390678</v>
      </c>
    </row>
    <row r="6" spans="1:7" ht="12.75">
      <c r="A6" s="143" t="s">
        <v>96</v>
      </c>
      <c r="B6" s="137">
        <v>-0.9539295299999999</v>
      </c>
      <c r="C6" s="120">
        <v>-1.3420017999999998</v>
      </c>
      <c r="D6" s="120">
        <v>-1.2296318</v>
      </c>
      <c r="E6" s="120">
        <v>-0.9015757900000001</v>
      </c>
      <c r="F6" s="156">
        <v>-1.76771165</v>
      </c>
      <c r="G6" s="163">
        <v>-1.2100442269976965</v>
      </c>
    </row>
    <row r="7" spans="1:7" ht="12.75">
      <c r="A7" s="143" t="s">
        <v>98</v>
      </c>
      <c r="B7" s="136">
        <v>3.5805224000000004</v>
      </c>
      <c r="C7" s="118">
        <v>3.0467248</v>
      </c>
      <c r="D7" s="118">
        <v>3.2907542</v>
      </c>
      <c r="E7" s="118">
        <v>3.8599516</v>
      </c>
      <c r="F7" s="157">
        <v>14.546153</v>
      </c>
      <c r="G7" s="163">
        <v>4.918521359670734</v>
      </c>
    </row>
    <row r="8" spans="1:7" ht="12.75">
      <c r="A8" s="143" t="s">
        <v>100</v>
      </c>
      <c r="B8" s="137">
        <v>-0.36144172</v>
      </c>
      <c r="C8" s="120">
        <v>-0.27641094</v>
      </c>
      <c r="D8" s="120">
        <v>-0.15049012</v>
      </c>
      <c r="E8" s="120">
        <v>-0.30542992</v>
      </c>
      <c r="F8" s="158">
        <v>-0.8234303599999999</v>
      </c>
      <c r="G8" s="163">
        <v>-0.33865469517618974</v>
      </c>
    </row>
    <row r="9" spans="1:7" ht="12.75">
      <c r="A9" s="143" t="s">
        <v>102</v>
      </c>
      <c r="B9" s="137">
        <v>0.29423459</v>
      </c>
      <c r="C9" s="120">
        <v>-0.036746366</v>
      </c>
      <c r="D9" s="120">
        <v>-0.065232026</v>
      </c>
      <c r="E9" s="120">
        <v>-0.18829827</v>
      </c>
      <c r="F9" s="156">
        <v>0.024738879999999998</v>
      </c>
      <c r="G9" s="163">
        <v>-0.024016958195123086</v>
      </c>
    </row>
    <row r="10" spans="1:7" ht="12.75">
      <c r="A10" s="143" t="s">
        <v>104</v>
      </c>
      <c r="B10" s="137">
        <v>0.085544878</v>
      </c>
      <c r="C10" s="120">
        <v>0.05787440800000001</v>
      </c>
      <c r="D10" s="120">
        <v>-0.034734111</v>
      </c>
      <c r="E10" s="120">
        <v>-0.106644467</v>
      </c>
      <c r="F10" s="156">
        <v>0.33251412</v>
      </c>
      <c r="G10" s="163">
        <v>0.036817596267444574</v>
      </c>
    </row>
    <row r="11" spans="1:7" ht="12.75">
      <c r="A11" s="143" t="s">
        <v>106</v>
      </c>
      <c r="B11" s="136">
        <v>-0.39521072</v>
      </c>
      <c r="C11" s="118">
        <v>-0.25893293999999994</v>
      </c>
      <c r="D11" s="118">
        <v>-0.26729359</v>
      </c>
      <c r="E11" s="118">
        <v>-0.16041745000000002</v>
      </c>
      <c r="F11" s="159">
        <v>-0.47463148000000005</v>
      </c>
      <c r="G11" s="163">
        <v>-0.28582458361314117</v>
      </c>
    </row>
    <row r="12" spans="1:7" ht="12.75">
      <c r="A12" s="143" t="s">
        <v>108</v>
      </c>
      <c r="B12" s="137">
        <v>-0.12936894999999998</v>
      </c>
      <c r="C12" s="120">
        <v>-0.057405507999999994</v>
      </c>
      <c r="D12" s="120">
        <v>-0.032871539000000005</v>
      </c>
      <c r="E12" s="120">
        <v>-0.0089383752</v>
      </c>
      <c r="F12" s="156">
        <v>-0.032460476</v>
      </c>
      <c r="G12" s="163">
        <v>-0.04689746308498244</v>
      </c>
    </row>
    <row r="13" spans="1:7" ht="12.75">
      <c r="A13" s="143" t="s">
        <v>110</v>
      </c>
      <c r="B13" s="137">
        <v>0.14501216</v>
      </c>
      <c r="C13" s="120">
        <v>0.075715951</v>
      </c>
      <c r="D13" s="120">
        <v>0.043162849999999996</v>
      </c>
      <c r="E13" s="120">
        <v>0.032145022</v>
      </c>
      <c r="F13" s="156">
        <v>0.0177383716</v>
      </c>
      <c r="G13" s="163">
        <v>0.05964623778230018</v>
      </c>
    </row>
    <row r="14" spans="1:7" ht="12.75">
      <c r="A14" s="143" t="s">
        <v>112</v>
      </c>
      <c r="B14" s="137">
        <v>0.0394278</v>
      </c>
      <c r="C14" s="120">
        <v>0.0093148002</v>
      </c>
      <c r="D14" s="120">
        <v>0.0030772107999999998</v>
      </c>
      <c r="E14" s="120">
        <v>-0.009827539400000002</v>
      </c>
      <c r="F14" s="156">
        <v>0.031202932000000006</v>
      </c>
      <c r="G14" s="163">
        <v>0.010491043584424556</v>
      </c>
    </row>
    <row r="15" spans="1:7" ht="12.75">
      <c r="A15" s="143" t="s">
        <v>114</v>
      </c>
      <c r="B15" s="138">
        <v>-0.17602403999999996</v>
      </c>
      <c r="C15" s="120">
        <v>-0.14554558</v>
      </c>
      <c r="D15" s="121">
        <v>-0.15723587</v>
      </c>
      <c r="E15" s="121">
        <v>-0.15448546000000002</v>
      </c>
      <c r="F15" s="156">
        <v>-0.11920884999999999</v>
      </c>
      <c r="G15" s="163">
        <v>-0.15138060227656344</v>
      </c>
    </row>
    <row r="16" spans="1:7" ht="12.75">
      <c r="A16" s="143" t="s">
        <v>116</v>
      </c>
      <c r="B16" s="137">
        <v>-0.00051888818</v>
      </c>
      <c r="C16" s="120">
        <v>0.008419976</v>
      </c>
      <c r="D16" s="120">
        <v>0.004158947200000001</v>
      </c>
      <c r="E16" s="120">
        <v>0.010131725900000001</v>
      </c>
      <c r="F16" s="156">
        <v>-0.004554188870000001</v>
      </c>
      <c r="G16" s="163">
        <v>0.004777900184647282</v>
      </c>
    </row>
    <row r="17" spans="1:7" ht="12.75">
      <c r="A17" s="143" t="s">
        <v>93</v>
      </c>
      <c r="B17" s="136">
        <v>3.7837916999999996</v>
      </c>
      <c r="C17" s="118">
        <v>4.2105518</v>
      </c>
      <c r="D17" s="119">
        <v>5.053856000000001</v>
      </c>
      <c r="E17" s="118">
        <v>4.434233</v>
      </c>
      <c r="F17" s="157">
        <v>11.015903</v>
      </c>
      <c r="G17" s="164">
        <v>5.31721651819886</v>
      </c>
    </row>
    <row r="18" spans="1:7" ht="12.75">
      <c r="A18" s="143" t="s">
        <v>95</v>
      </c>
      <c r="B18" s="137">
        <v>1.5870132</v>
      </c>
      <c r="C18" s="121">
        <v>3.1896435</v>
      </c>
      <c r="D18" s="121">
        <v>4.1091326</v>
      </c>
      <c r="E18" s="121">
        <v>3.0945564</v>
      </c>
      <c r="F18" s="156">
        <v>-0.27099441</v>
      </c>
      <c r="G18" s="164">
        <v>2.692970228095775</v>
      </c>
    </row>
    <row r="19" spans="1:7" ht="12.75">
      <c r="A19" s="143" t="s">
        <v>97</v>
      </c>
      <c r="B19" s="137">
        <v>-1.1286328099999998</v>
      </c>
      <c r="C19" s="120">
        <v>0.58440272</v>
      </c>
      <c r="D19" s="120">
        <v>1.0083301599999999</v>
      </c>
      <c r="E19" s="120">
        <v>0.8718933099999999</v>
      </c>
      <c r="F19" s="158">
        <v>-6.662385900000001</v>
      </c>
      <c r="G19" s="163">
        <v>-0.4626021784109621</v>
      </c>
    </row>
    <row r="20" spans="1:7" ht="12.75">
      <c r="A20" s="143" t="s">
        <v>99</v>
      </c>
      <c r="B20" s="136">
        <v>0.12093825889999998</v>
      </c>
      <c r="C20" s="118">
        <v>-0.62031521</v>
      </c>
      <c r="D20" s="118">
        <v>-0.22618221</v>
      </c>
      <c r="E20" s="118">
        <v>-0.31582068</v>
      </c>
      <c r="F20" s="157">
        <v>2.3303200999999993</v>
      </c>
      <c r="G20" s="163">
        <v>0.050018538068743464</v>
      </c>
    </row>
    <row r="21" spans="1:7" ht="12.75">
      <c r="A21" s="143" t="s">
        <v>101</v>
      </c>
      <c r="B21" s="137">
        <v>0.078390561</v>
      </c>
      <c r="C21" s="121">
        <v>-0.7409152999999999</v>
      </c>
      <c r="D21" s="120">
        <v>-0.38393999</v>
      </c>
      <c r="E21" s="120">
        <v>-0.36868870000000004</v>
      </c>
      <c r="F21" s="156">
        <v>0.25796767</v>
      </c>
      <c r="G21" s="163">
        <v>-0.31341408812326627</v>
      </c>
    </row>
    <row r="22" spans="1:7" ht="12.75">
      <c r="A22" s="143" t="s">
        <v>103</v>
      </c>
      <c r="B22" s="137">
        <v>-0.03849293499999999</v>
      </c>
      <c r="C22" s="120">
        <v>-0.23665998000000005</v>
      </c>
      <c r="D22" s="120">
        <v>0.098034984</v>
      </c>
      <c r="E22" s="120">
        <v>0.12056755999999999</v>
      </c>
      <c r="F22" s="158">
        <v>-0.54830359</v>
      </c>
      <c r="G22" s="163">
        <v>-0.08337080637754464</v>
      </c>
    </row>
    <row r="23" spans="1:7" ht="12.75">
      <c r="A23" s="143" t="s">
        <v>105</v>
      </c>
      <c r="B23" s="138">
        <v>0.52530402</v>
      </c>
      <c r="C23" s="120">
        <v>0.1152455</v>
      </c>
      <c r="D23" s="120">
        <v>0.14915530999999999</v>
      </c>
      <c r="E23" s="120">
        <v>0.0110342387</v>
      </c>
      <c r="F23" s="156">
        <v>0.24594622</v>
      </c>
      <c r="G23" s="163">
        <v>0.17505977258690275</v>
      </c>
    </row>
    <row r="24" spans="1:7" ht="12.75">
      <c r="A24" s="143" t="s">
        <v>107</v>
      </c>
      <c r="B24" s="136">
        <v>0.057868308</v>
      </c>
      <c r="C24" s="118">
        <v>-0.05997639600000001</v>
      </c>
      <c r="D24" s="118">
        <v>-0.009818962740000001</v>
      </c>
      <c r="E24" s="118">
        <v>-0.01411334517</v>
      </c>
      <c r="F24" s="159">
        <v>0.23252589</v>
      </c>
      <c r="G24" s="163">
        <v>0.019318107107090275</v>
      </c>
    </row>
    <row r="25" spans="1:7" ht="12.75">
      <c r="A25" s="143" t="s">
        <v>109</v>
      </c>
      <c r="B25" s="137">
        <v>-0.044585082000000005</v>
      </c>
      <c r="C25" s="122">
        <v>-0.14930587</v>
      </c>
      <c r="D25" s="120">
        <v>-0.10679849599999999</v>
      </c>
      <c r="E25" s="120">
        <v>-0.08973700700000001</v>
      </c>
      <c r="F25" s="156">
        <v>-0.0218582498</v>
      </c>
      <c r="G25" s="163">
        <v>-0.0925609777816376</v>
      </c>
    </row>
    <row r="26" spans="1:7" ht="12.75">
      <c r="A26" s="143" t="s">
        <v>111</v>
      </c>
      <c r="B26" s="137">
        <v>-0.100176559</v>
      </c>
      <c r="C26" s="120">
        <v>-0.049273419</v>
      </c>
      <c r="D26" s="120">
        <v>-0.014254963139999998</v>
      </c>
      <c r="E26" s="120">
        <v>0.005945589730000001</v>
      </c>
      <c r="F26" s="156">
        <v>-0.07219688500000002</v>
      </c>
      <c r="G26" s="163">
        <v>-0.03799090069179043</v>
      </c>
    </row>
    <row r="27" spans="1:7" ht="12.75">
      <c r="A27" s="143" t="s">
        <v>113</v>
      </c>
      <c r="B27" s="138">
        <v>0.18029036</v>
      </c>
      <c r="C27" s="120">
        <v>0.077524731</v>
      </c>
      <c r="D27" s="120">
        <v>0.08518275700000001</v>
      </c>
      <c r="E27" s="120">
        <v>0.068579339</v>
      </c>
      <c r="F27" s="156">
        <v>0.067505668</v>
      </c>
      <c r="G27" s="163">
        <v>0.09071234389474146</v>
      </c>
    </row>
    <row r="28" spans="1:7" ht="12.75">
      <c r="A28" s="143" t="s">
        <v>115</v>
      </c>
      <c r="B28" s="137">
        <v>-0.006442872409</v>
      </c>
      <c r="C28" s="120">
        <v>0.0011448465799999998</v>
      </c>
      <c r="D28" s="120">
        <v>-0.00165202353</v>
      </c>
      <c r="E28" s="120">
        <v>-0.0075607992</v>
      </c>
      <c r="F28" s="156">
        <v>-0.0166103178</v>
      </c>
      <c r="G28" s="163">
        <v>-0.005095654977783064</v>
      </c>
    </row>
    <row r="29" spans="1:7" ht="13.5" thickBot="1">
      <c r="A29" s="144" t="s">
        <v>117</v>
      </c>
      <c r="B29" s="139">
        <v>0.000412291999</v>
      </c>
      <c r="C29" s="123">
        <v>0.00278273388</v>
      </c>
      <c r="D29" s="123">
        <v>0.0021585912999999997</v>
      </c>
      <c r="E29" s="123">
        <v>0.0040084096</v>
      </c>
      <c r="F29" s="160">
        <v>0.0084549409</v>
      </c>
      <c r="G29" s="165">
        <v>0.0033449151860005816</v>
      </c>
    </row>
    <row r="30" spans="1:7" ht="13.5" thickTop="1">
      <c r="A30" s="145" t="s">
        <v>118</v>
      </c>
      <c r="B30" s="140">
        <v>-0.16646856464401785</v>
      </c>
      <c r="C30" s="129">
        <v>0.06254825276372793</v>
      </c>
      <c r="D30" s="129">
        <v>0.2958117074475027</v>
      </c>
      <c r="E30" s="129">
        <v>0.4956428477299711</v>
      </c>
      <c r="F30" s="125">
        <v>0.6045968060759042</v>
      </c>
      <c r="G30" s="166" t="s">
        <v>129</v>
      </c>
    </row>
    <row r="31" spans="1:7" ht="13.5" thickBot="1">
      <c r="A31" s="146" t="s">
        <v>119</v>
      </c>
      <c r="B31" s="135">
        <v>16.940308</v>
      </c>
      <c r="C31" s="126">
        <v>17.007447</v>
      </c>
      <c r="D31" s="126">
        <v>17.053223</v>
      </c>
      <c r="E31" s="126">
        <v>17.105103</v>
      </c>
      <c r="F31" s="127">
        <v>17.178345</v>
      </c>
      <c r="G31" s="168">
        <v>-210.08</v>
      </c>
    </row>
    <row r="32" spans="1:7" ht="15.75" thickBot="1" thickTop="1">
      <c r="A32" s="147" t="s">
        <v>120</v>
      </c>
      <c r="B32" s="141">
        <v>0.09249999839812517</v>
      </c>
      <c r="C32" s="130">
        <v>-0.20749999210238457</v>
      </c>
      <c r="D32" s="130">
        <v>0.13000000268220901</v>
      </c>
      <c r="E32" s="130">
        <v>-0.2864999994635582</v>
      </c>
      <c r="F32" s="128">
        <v>0.1269999947398901</v>
      </c>
      <c r="G32" s="133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2" bestFit="1" customWidth="1"/>
    <col min="2" max="2" width="15.66015625" style="172" bestFit="1" customWidth="1"/>
    <col min="3" max="3" width="14.83203125" style="172" bestFit="1" customWidth="1"/>
    <col min="4" max="4" width="16" style="172" bestFit="1" customWidth="1"/>
    <col min="5" max="5" width="21.33203125" style="172" bestFit="1" customWidth="1"/>
    <col min="6" max="7" width="14.83203125" style="172" bestFit="1" customWidth="1"/>
    <col min="8" max="8" width="14.16015625" style="172" bestFit="1" customWidth="1"/>
    <col min="9" max="9" width="14.83203125" style="172" bestFit="1" customWidth="1"/>
    <col min="10" max="10" width="6.33203125" style="172" bestFit="1" customWidth="1"/>
    <col min="11" max="11" width="15" style="172" bestFit="1" customWidth="1"/>
    <col min="12" max="16384" width="10.66015625" style="172" customWidth="1"/>
  </cols>
  <sheetData>
    <row r="1" spans="1:5" ht="12.75">
      <c r="A1" s="172" t="s">
        <v>130</v>
      </c>
      <c r="B1" s="172" t="s">
        <v>131</v>
      </c>
      <c r="C1" s="172" t="s">
        <v>132</v>
      </c>
      <c r="D1" s="172" t="s">
        <v>133</v>
      </c>
      <c r="E1" s="172" t="s">
        <v>134</v>
      </c>
    </row>
    <row r="3" spans="1:7" ht="12.75">
      <c r="A3" s="172" t="s">
        <v>135</v>
      </c>
      <c r="B3" s="172" t="s">
        <v>85</v>
      </c>
      <c r="C3" s="172" t="s">
        <v>86</v>
      </c>
      <c r="D3" s="172" t="s">
        <v>87</v>
      </c>
      <c r="E3" s="172" t="s">
        <v>88</v>
      </c>
      <c r="F3" s="172" t="s">
        <v>89</v>
      </c>
      <c r="G3" s="172" t="s">
        <v>136</v>
      </c>
    </row>
    <row r="4" spans="1:7" ht="12.75">
      <c r="A4" s="172" t="s">
        <v>137</v>
      </c>
      <c r="B4" s="172">
        <v>0.002256</v>
      </c>
      <c r="C4" s="172">
        <v>0.00376</v>
      </c>
      <c r="D4" s="172">
        <v>0.003759</v>
      </c>
      <c r="E4" s="172">
        <v>0.003758</v>
      </c>
      <c r="F4" s="172">
        <v>0.002093</v>
      </c>
      <c r="G4" s="172">
        <v>0.011718</v>
      </c>
    </row>
    <row r="5" spans="1:7" ht="12.75">
      <c r="A5" s="172" t="s">
        <v>138</v>
      </c>
      <c r="B5" s="172">
        <v>7.443487</v>
      </c>
      <c r="C5" s="172">
        <v>3.377664</v>
      </c>
      <c r="D5" s="172">
        <v>-0.55264</v>
      </c>
      <c r="E5" s="172">
        <v>-4.112645</v>
      </c>
      <c r="F5" s="172">
        <v>-5.839579</v>
      </c>
      <c r="G5" s="172">
        <v>-4.507646</v>
      </c>
    </row>
    <row r="6" spans="1:7" ht="12.75">
      <c r="A6" s="172" t="s">
        <v>139</v>
      </c>
      <c r="B6" s="173">
        <v>-147.9039</v>
      </c>
      <c r="C6" s="173">
        <v>91.72851</v>
      </c>
      <c r="D6" s="173">
        <v>39.1585</v>
      </c>
      <c r="E6" s="173">
        <v>68.19273</v>
      </c>
      <c r="F6" s="173">
        <v>-237.0368</v>
      </c>
      <c r="G6" s="173">
        <v>875.1145</v>
      </c>
    </row>
    <row r="7" spans="1:7" ht="12.75">
      <c r="A7" s="172" t="s">
        <v>140</v>
      </c>
      <c r="B7" s="173">
        <v>10000</v>
      </c>
      <c r="C7" s="173">
        <v>10000</v>
      </c>
      <c r="D7" s="173">
        <v>10000</v>
      </c>
      <c r="E7" s="173">
        <v>10000</v>
      </c>
      <c r="F7" s="173">
        <v>10000</v>
      </c>
      <c r="G7" s="173">
        <v>10000</v>
      </c>
    </row>
    <row r="8" spans="1:7" ht="12.75">
      <c r="A8" s="172" t="s">
        <v>141</v>
      </c>
      <c r="B8" s="173">
        <v>3.43516</v>
      </c>
      <c r="C8" s="173">
        <v>4.117163</v>
      </c>
      <c r="D8" s="173">
        <v>3.528245</v>
      </c>
      <c r="E8" s="173">
        <v>2.627173</v>
      </c>
      <c r="F8" s="173">
        <v>-6.007655</v>
      </c>
      <c r="G8" s="173">
        <v>5.298078</v>
      </c>
    </row>
    <row r="9" spans="1:7" ht="12.75">
      <c r="A9" s="172" t="s">
        <v>94</v>
      </c>
      <c r="B9" s="173">
        <v>0.01835515</v>
      </c>
      <c r="C9" s="173">
        <v>-0.5017121</v>
      </c>
      <c r="D9" s="173">
        <v>0.3009613</v>
      </c>
      <c r="E9" s="173">
        <v>0.1738112</v>
      </c>
      <c r="F9" s="173">
        <v>-1.225829</v>
      </c>
      <c r="G9" s="173">
        <v>0.1682519</v>
      </c>
    </row>
    <row r="10" spans="1:7" ht="12.75">
      <c r="A10" s="172" t="s">
        <v>96</v>
      </c>
      <c r="B10" s="173">
        <v>-0.6492557</v>
      </c>
      <c r="C10" s="173">
        <v>-1.496142</v>
      </c>
      <c r="D10" s="173">
        <v>-1.301028</v>
      </c>
      <c r="E10" s="173">
        <v>-1.046982</v>
      </c>
      <c r="F10" s="173">
        <v>-0.3591106</v>
      </c>
      <c r="G10" s="173">
        <v>0.406696</v>
      </c>
    </row>
    <row r="11" spans="1:7" ht="12.75">
      <c r="A11" s="172" t="s">
        <v>98</v>
      </c>
      <c r="B11" s="173">
        <v>3.533749</v>
      </c>
      <c r="C11" s="173">
        <v>3.062647</v>
      </c>
      <c r="D11" s="173">
        <v>3.291565</v>
      </c>
      <c r="E11" s="173">
        <v>3.852727</v>
      </c>
      <c r="F11" s="173">
        <v>14.51234</v>
      </c>
      <c r="G11" s="173">
        <v>4.909552</v>
      </c>
    </row>
    <row r="12" spans="1:7" ht="12.75">
      <c r="A12" s="172" t="s">
        <v>100</v>
      </c>
      <c r="B12" s="173">
        <v>-0.3400812</v>
      </c>
      <c r="C12" s="173">
        <v>-0.2613809</v>
      </c>
      <c r="D12" s="173">
        <v>-0.1494568</v>
      </c>
      <c r="E12" s="173">
        <v>-0.3006943</v>
      </c>
      <c r="F12" s="173">
        <v>-0.8034054</v>
      </c>
      <c r="G12" s="173">
        <v>-0.3145065</v>
      </c>
    </row>
    <row r="13" spans="1:7" ht="12.75">
      <c r="A13" s="172" t="s">
        <v>102</v>
      </c>
      <c r="B13" s="173">
        <v>0.2446622</v>
      </c>
      <c r="C13" s="173">
        <v>-0.03169388</v>
      </c>
      <c r="D13" s="173">
        <v>-0.061522</v>
      </c>
      <c r="E13" s="173">
        <v>-0.1762392</v>
      </c>
      <c r="F13" s="173">
        <v>0.05067042</v>
      </c>
      <c r="G13" s="173">
        <v>0.02268731</v>
      </c>
    </row>
    <row r="14" spans="1:7" ht="12.75">
      <c r="A14" s="172" t="s">
        <v>104</v>
      </c>
      <c r="B14" s="173">
        <v>-0.008940448</v>
      </c>
      <c r="C14" s="173">
        <v>0.07458099</v>
      </c>
      <c r="D14" s="173">
        <v>-0.02280955</v>
      </c>
      <c r="E14" s="173">
        <v>-0.09450364</v>
      </c>
      <c r="F14" s="173">
        <v>0.248065</v>
      </c>
      <c r="G14" s="173">
        <v>-0.1793469</v>
      </c>
    </row>
    <row r="15" spans="1:7" ht="12.75">
      <c r="A15" s="172" t="s">
        <v>106</v>
      </c>
      <c r="B15" s="173">
        <v>-0.4098578</v>
      </c>
      <c r="C15" s="173">
        <v>-0.2556517</v>
      </c>
      <c r="D15" s="173">
        <v>-0.2673223</v>
      </c>
      <c r="E15" s="173">
        <v>-0.1652834</v>
      </c>
      <c r="F15" s="173">
        <v>-0.4666527</v>
      </c>
      <c r="G15" s="173">
        <v>-0.2872609</v>
      </c>
    </row>
    <row r="16" spans="1:7" ht="12.75">
      <c r="A16" s="172" t="s">
        <v>108</v>
      </c>
      <c r="B16" s="173">
        <v>-0.09335569</v>
      </c>
      <c r="C16" s="173">
        <v>-0.06130456</v>
      </c>
      <c r="D16" s="173">
        <v>-0.03612012</v>
      </c>
      <c r="E16" s="173">
        <v>-0.01607906</v>
      </c>
      <c r="F16" s="173">
        <v>-0.02942866</v>
      </c>
      <c r="G16" s="173">
        <v>-0.09542226</v>
      </c>
    </row>
    <row r="17" spans="1:7" ht="12.75">
      <c r="A17" s="172" t="s">
        <v>110</v>
      </c>
      <c r="B17" s="173">
        <v>0.1276619</v>
      </c>
      <c r="C17" s="173">
        <v>0.07926501</v>
      </c>
      <c r="D17" s="173">
        <v>0.0440856</v>
      </c>
      <c r="E17" s="173">
        <v>0.03809997</v>
      </c>
      <c r="F17" s="173">
        <v>0.01944861</v>
      </c>
      <c r="G17" s="173">
        <v>-0.05988372</v>
      </c>
    </row>
    <row r="18" spans="1:7" ht="12.75">
      <c r="A18" s="172" t="s">
        <v>112</v>
      </c>
      <c r="B18" s="173">
        <v>0.01204052</v>
      </c>
      <c r="C18" s="173">
        <v>0.01106465</v>
      </c>
      <c r="D18" s="173">
        <v>0.006481761</v>
      </c>
      <c r="E18" s="173">
        <v>-0.001198312</v>
      </c>
      <c r="F18" s="173">
        <v>0.02544569</v>
      </c>
      <c r="G18" s="173">
        <v>-0.09053618</v>
      </c>
    </row>
    <row r="19" spans="1:7" ht="12.75">
      <c r="A19" s="172" t="s">
        <v>114</v>
      </c>
      <c r="B19" s="173">
        <v>-0.1745376</v>
      </c>
      <c r="C19" s="173">
        <v>-0.1454005</v>
      </c>
      <c r="D19" s="173">
        <v>-0.1573232</v>
      </c>
      <c r="E19" s="173">
        <v>-0.1546156</v>
      </c>
      <c r="F19" s="173">
        <v>-0.1201672</v>
      </c>
      <c r="G19" s="173">
        <v>-0.1513101</v>
      </c>
    </row>
    <row r="20" spans="1:7" ht="12.75">
      <c r="A20" s="172" t="s">
        <v>116</v>
      </c>
      <c r="B20" s="173">
        <v>-0.0004638517</v>
      </c>
      <c r="C20" s="173">
        <v>0.008309952</v>
      </c>
      <c r="D20" s="173">
        <v>0.004212263</v>
      </c>
      <c r="E20" s="173">
        <v>0.01029715</v>
      </c>
      <c r="F20" s="173">
        <v>-0.003749638</v>
      </c>
      <c r="G20" s="173">
        <v>0.003330327</v>
      </c>
    </row>
    <row r="21" spans="1:7" ht="12.75">
      <c r="A21" s="172" t="s">
        <v>142</v>
      </c>
      <c r="B21" s="173">
        <v>-1017.589</v>
      </c>
      <c r="C21" s="173">
        <v>-849.9618</v>
      </c>
      <c r="D21" s="173">
        <v>-863.0521</v>
      </c>
      <c r="E21" s="173">
        <v>-816.6759</v>
      </c>
      <c r="F21" s="173">
        <v>-893.3034</v>
      </c>
      <c r="G21" s="173">
        <v>-5.203822</v>
      </c>
    </row>
    <row r="22" spans="1:7" ht="12.75">
      <c r="A22" s="172" t="s">
        <v>143</v>
      </c>
      <c r="B22" s="173">
        <v>148.8807</v>
      </c>
      <c r="C22" s="173">
        <v>67.5543</v>
      </c>
      <c r="D22" s="173">
        <v>-11.0528</v>
      </c>
      <c r="E22" s="173">
        <v>-82.25476</v>
      </c>
      <c r="F22" s="173">
        <v>-116.7969</v>
      </c>
      <c r="G22" s="173">
        <v>0</v>
      </c>
    </row>
    <row r="23" spans="1:7" ht="12.75">
      <c r="A23" s="172" t="s">
        <v>93</v>
      </c>
      <c r="B23" s="173">
        <v>3.937752</v>
      </c>
      <c r="C23" s="173">
        <v>4.169555</v>
      </c>
      <c r="D23" s="173">
        <v>4.991793</v>
      </c>
      <c r="E23" s="173">
        <v>4.326562</v>
      </c>
      <c r="F23" s="173">
        <v>11.08442</v>
      </c>
      <c r="G23" s="173">
        <v>-2.162096</v>
      </c>
    </row>
    <row r="24" spans="1:7" ht="12.75">
      <c r="A24" s="172" t="s">
        <v>144</v>
      </c>
      <c r="B24" s="173">
        <v>1.48605</v>
      </c>
      <c r="C24" s="173">
        <v>3.178356</v>
      </c>
      <c r="D24" s="173">
        <v>4.098354</v>
      </c>
      <c r="E24" s="173">
        <v>3.090559</v>
      </c>
      <c r="F24" s="173">
        <v>-0.8119578</v>
      </c>
      <c r="G24" s="173">
        <v>-2.599662</v>
      </c>
    </row>
    <row r="25" spans="1:7" ht="12.75">
      <c r="A25" s="172" t="s">
        <v>97</v>
      </c>
      <c r="B25" s="173">
        <v>-0.8987766</v>
      </c>
      <c r="C25" s="173">
        <v>0.5472943</v>
      </c>
      <c r="D25" s="173">
        <v>0.9954066</v>
      </c>
      <c r="E25" s="173">
        <v>0.7911609</v>
      </c>
      <c r="F25" s="173">
        <v>-6.257366</v>
      </c>
      <c r="G25" s="173">
        <v>-1.066559</v>
      </c>
    </row>
    <row r="26" spans="1:7" ht="12.75">
      <c r="A26" s="172" t="s">
        <v>99</v>
      </c>
      <c r="B26" s="173">
        <v>0.2581708</v>
      </c>
      <c r="C26" s="173">
        <v>-0.5150585</v>
      </c>
      <c r="D26" s="173">
        <v>-0.2267552</v>
      </c>
      <c r="E26" s="173">
        <v>-0.3842394</v>
      </c>
      <c r="F26" s="173">
        <v>1.84185</v>
      </c>
      <c r="G26" s="173">
        <v>0.01362851</v>
      </c>
    </row>
    <row r="27" spans="1:7" ht="12.75">
      <c r="A27" s="172" t="s">
        <v>101</v>
      </c>
      <c r="B27" s="173">
        <v>0.08596272</v>
      </c>
      <c r="C27" s="173">
        <v>-0.7314037</v>
      </c>
      <c r="D27" s="173">
        <v>-0.3856734</v>
      </c>
      <c r="E27" s="173">
        <v>-0.3593868</v>
      </c>
      <c r="F27" s="173">
        <v>0.211304</v>
      </c>
      <c r="G27" s="173">
        <v>0.3278466</v>
      </c>
    </row>
    <row r="28" spans="1:7" ht="12.75">
      <c r="A28" s="172" t="s">
        <v>103</v>
      </c>
      <c r="B28" s="173">
        <v>0.04190078</v>
      </c>
      <c r="C28" s="173">
        <v>-0.2480668</v>
      </c>
      <c r="D28" s="173">
        <v>0.09290503</v>
      </c>
      <c r="E28" s="173">
        <v>0.1301894</v>
      </c>
      <c r="F28" s="173">
        <v>-0.5030758</v>
      </c>
      <c r="G28" s="173">
        <v>0.06737289</v>
      </c>
    </row>
    <row r="29" spans="1:7" ht="12.75">
      <c r="A29" s="172" t="s">
        <v>105</v>
      </c>
      <c r="B29" s="173">
        <v>0.4810357</v>
      </c>
      <c r="C29" s="173">
        <v>0.1279545</v>
      </c>
      <c r="D29" s="173">
        <v>0.152965</v>
      </c>
      <c r="E29" s="173">
        <v>0.0244515</v>
      </c>
      <c r="F29" s="173">
        <v>0.2719148</v>
      </c>
      <c r="G29" s="173">
        <v>0.02164319</v>
      </c>
    </row>
    <row r="30" spans="1:7" ht="12.75">
      <c r="A30" s="172" t="s">
        <v>107</v>
      </c>
      <c r="B30" s="173">
        <v>0.007075822</v>
      </c>
      <c r="C30" s="173">
        <v>-0.05318214</v>
      </c>
      <c r="D30" s="173">
        <v>-0.002925796</v>
      </c>
      <c r="E30" s="173">
        <v>0.0008423996</v>
      </c>
      <c r="F30" s="173">
        <v>0.2541863</v>
      </c>
      <c r="G30" s="173">
        <v>0.02172725</v>
      </c>
    </row>
    <row r="31" spans="1:7" ht="12.75">
      <c r="A31" s="172" t="s">
        <v>109</v>
      </c>
      <c r="B31" s="173">
        <v>-0.04776272</v>
      </c>
      <c r="C31" s="173">
        <v>-0.1489284</v>
      </c>
      <c r="D31" s="173">
        <v>-0.1066833</v>
      </c>
      <c r="E31" s="173">
        <v>-0.09205933</v>
      </c>
      <c r="F31" s="173">
        <v>-0.03644183</v>
      </c>
      <c r="G31" s="173">
        <v>0.04470967</v>
      </c>
    </row>
    <row r="32" spans="1:7" ht="12.75">
      <c r="A32" s="172" t="s">
        <v>111</v>
      </c>
      <c r="B32" s="173">
        <v>-0.05113596</v>
      </c>
      <c r="C32" s="173">
        <v>-0.05505964</v>
      </c>
      <c r="D32" s="173">
        <v>-0.01936606</v>
      </c>
      <c r="E32" s="173">
        <v>-0.002273501</v>
      </c>
      <c r="F32" s="173">
        <v>-0.05589246</v>
      </c>
      <c r="G32" s="173">
        <v>0.03331151</v>
      </c>
    </row>
    <row r="33" spans="1:7" ht="12.75">
      <c r="A33" s="172" t="s">
        <v>113</v>
      </c>
      <c r="B33" s="173">
        <v>0.1717856</v>
      </c>
      <c r="C33" s="173">
        <v>0.07949919</v>
      </c>
      <c r="D33" s="173">
        <v>0.08592429</v>
      </c>
      <c r="E33" s="173">
        <v>0.07263293</v>
      </c>
      <c r="F33" s="173">
        <v>0.0631963</v>
      </c>
      <c r="G33" s="173">
        <v>0.009060634</v>
      </c>
    </row>
    <row r="34" spans="1:7" ht="12.75">
      <c r="A34" s="172" t="s">
        <v>115</v>
      </c>
      <c r="B34" s="173">
        <v>-0.02472416</v>
      </c>
      <c r="C34" s="173">
        <v>-0.005773624</v>
      </c>
      <c r="D34" s="173">
        <v>-0.0004560627</v>
      </c>
      <c r="E34" s="173">
        <v>0.001282619</v>
      </c>
      <c r="F34" s="173">
        <v>-0.006684825</v>
      </c>
      <c r="G34" s="173">
        <v>-0.005691344</v>
      </c>
    </row>
    <row r="35" spans="1:7" ht="12.75">
      <c r="A35" s="172" t="s">
        <v>117</v>
      </c>
      <c r="B35" s="173">
        <v>0.0003589036</v>
      </c>
      <c r="C35" s="173">
        <v>0.003209037</v>
      </c>
      <c r="D35" s="173">
        <v>0.002127067</v>
      </c>
      <c r="E35" s="173">
        <v>0.003372652</v>
      </c>
      <c r="F35" s="173">
        <v>0.008826276</v>
      </c>
      <c r="G35" s="173">
        <v>-0.004918954</v>
      </c>
    </row>
    <row r="36" spans="1:6" ht="12.75">
      <c r="A36" s="172" t="s">
        <v>145</v>
      </c>
      <c r="B36" s="173">
        <v>17.17835</v>
      </c>
      <c r="C36" s="173">
        <v>17.17835</v>
      </c>
      <c r="D36" s="173">
        <v>17.1936</v>
      </c>
      <c r="E36" s="173">
        <v>17.19971</v>
      </c>
      <c r="F36" s="173">
        <v>17.21497</v>
      </c>
    </row>
    <row r="37" spans="1:6" ht="12.75">
      <c r="A37" s="172" t="s">
        <v>146</v>
      </c>
      <c r="B37" s="173">
        <v>0.03814697</v>
      </c>
      <c r="C37" s="173">
        <v>0.002034505</v>
      </c>
      <c r="D37" s="173">
        <v>-0.01525879</v>
      </c>
      <c r="E37" s="173">
        <v>-0.02288818</v>
      </c>
      <c r="F37" s="173">
        <v>-0.02797445</v>
      </c>
    </row>
    <row r="38" spans="1:7" ht="12.75">
      <c r="A38" s="172" t="s">
        <v>147</v>
      </c>
      <c r="B38" s="173">
        <v>0.0002771301</v>
      </c>
      <c r="C38" s="173">
        <v>-0.0001461706</v>
      </c>
      <c r="D38" s="173">
        <v>-6.819101E-05</v>
      </c>
      <c r="E38" s="173">
        <v>-0.0001273389</v>
      </c>
      <c r="F38" s="173">
        <v>0.0003851731</v>
      </c>
      <c r="G38" s="173">
        <v>0</v>
      </c>
    </row>
    <row r="39" spans="1:7" ht="12.75">
      <c r="A39" s="172" t="s">
        <v>148</v>
      </c>
      <c r="B39" s="173">
        <v>0.001725775</v>
      </c>
      <c r="C39" s="173">
        <v>0.001445922</v>
      </c>
      <c r="D39" s="173">
        <v>0.001467113</v>
      </c>
      <c r="E39" s="173">
        <v>0.001387302</v>
      </c>
      <c r="F39" s="173">
        <v>0.0015231139999999999</v>
      </c>
      <c r="G39" s="173">
        <v>0.0007438698</v>
      </c>
    </row>
    <row r="40" spans="2:5" ht="12.75">
      <c r="B40" s="172" t="s">
        <v>149</v>
      </c>
      <c r="C40" s="172">
        <v>0.003759</v>
      </c>
      <c r="D40" s="172" t="s">
        <v>150</v>
      </c>
      <c r="E40" s="172">
        <v>3.117454</v>
      </c>
    </row>
    <row r="42" ht="12.75">
      <c r="A42" s="172" t="s">
        <v>151</v>
      </c>
    </row>
    <row r="50" spans="1:7" ht="12.75">
      <c r="A50" s="172" t="s">
        <v>152</v>
      </c>
      <c r="B50" s="172">
        <f>-0.017/(B7*B7+B22*B22)*(B21*B22+B6*B7)</f>
        <v>0.00027713009447940157</v>
      </c>
      <c r="C50" s="172">
        <f>-0.017/(C7*C7+C22*C22)*(C21*C22+C6*C7)</f>
        <v>-0.00014617063872854864</v>
      </c>
      <c r="D50" s="172">
        <f>-0.017/(D7*D7+D22*D22)*(D21*D22+D6*D7)</f>
        <v>-6.819102087750639E-05</v>
      </c>
      <c r="E50" s="172">
        <f>-0.017/(E7*E7+E22*E22)*(E21*E22+E6*E7)</f>
        <v>-0.00012733885707550278</v>
      </c>
      <c r="F50" s="172">
        <f>-0.017/(F7*F7+F22*F22)*(F21*F22+F6*F7)</f>
        <v>0.0003851730550171433</v>
      </c>
      <c r="G50" s="172">
        <f>(B50*B$4+C50*C$4+D50*D$4+E50*E$4+F50*F$4)/SUM(B$4:F$4)</f>
        <v>9.40110222121989E-06</v>
      </c>
    </row>
    <row r="51" spans="1:7" ht="12.75">
      <c r="A51" s="172" t="s">
        <v>153</v>
      </c>
      <c r="B51" s="172">
        <f>-0.017/(B7*B7+B22*B22)*(B21*B7-B6*B22)</f>
        <v>0.001725775367754284</v>
      </c>
      <c r="C51" s="172">
        <f>-0.017/(C7*C7+C22*C22)*(C21*C7-C6*C22)</f>
        <v>0.0014459225055179863</v>
      </c>
      <c r="D51" s="172">
        <f>-0.017/(D7*D7+D22*D22)*(D21*D7-D6*D22)</f>
        <v>0.001467113199828445</v>
      </c>
      <c r="E51" s="172">
        <f>-0.017/(E7*E7+E22*E22)*(E21*E7-E6*E22)</f>
        <v>0.001387301607287258</v>
      </c>
      <c r="F51" s="172">
        <f>-0.017/(F7*F7+F22*F22)*(F21*F7-F6*F22)</f>
        <v>0.0015231144818789535</v>
      </c>
      <c r="G51" s="172">
        <f>(B51*B$4+C51*C$4+D51*D$4+E51*E$4+F51*F$4)/SUM(B$4:F$4)</f>
        <v>0.0014876650722715078</v>
      </c>
    </row>
    <row r="58" ht="12.75">
      <c r="A58" s="172" t="s">
        <v>155</v>
      </c>
    </row>
    <row r="60" spans="2:6" ht="12.75">
      <c r="B60" s="172" t="s">
        <v>85</v>
      </c>
      <c r="C60" s="172" t="s">
        <v>86</v>
      </c>
      <c r="D60" s="172" t="s">
        <v>87</v>
      </c>
      <c r="E60" s="172" t="s">
        <v>88</v>
      </c>
      <c r="F60" s="172" t="s">
        <v>89</v>
      </c>
    </row>
    <row r="61" spans="1:6" ht="12.75">
      <c r="A61" s="172" t="s">
        <v>157</v>
      </c>
      <c r="B61" s="172">
        <f>B6+(1/0.017)*(B7*B50-B22*B51)</f>
        <v>0</v>
      </c>
      <c r="C61" s="172">
        <f>C6+(1/0.017)*(C7*C50-C22*C51)</f>
        <v>0</v>
      </c>
      <c r="D61" s="172">
        <f>D6+(1/0.017)*(D7*D50-D22*D51)</f>
        <v>0</v>
      </c>
      <c r="E61" s="172">
        <f>E6+(1/0.017)*(E7*E50-E22*E51)</f>
        <v>0</v>
      </c>
      <c r="F61" s="172">
        <f>F6+(1/0.017)*(F7*F50-F22*F51)</f>
        <v>0</v>
      </c>
    </row>
    <row r="62" spans="1:6" ht="12.75">
      <c r="A62" s="172" t="s">
        <v>160</v>
      </c>
      <c r="B62" s="172">
        <f>B7+(2/0.017)*(B8*B50-B23*B51)</f>
        <v>9999.31250715405</v>
      </c>
      <c r="C62" s="172">
        <f>C7+(2/0.017)*(C8*C50-C23*C51)</f>
        <v>9999.219922146123</v>
      </c>
      <c r="D62" s="172">
        <f>D7+(2/0.017)*(D8*D50-D23*D51)</f>
        <v>9999.110103525933</v>
      </c>
      <c r="E62" s="172">
        <f>E7+(2/0.017)*(E8*E50-E23*E51)</f>
        <v>9999.254495573672</v>
      </c>
      <c r="F62" s="172">
        <f>F7+(2/0.017)*(F8*F50-F23*F51)</f>
        <v>9997.741549711169</v>
      </c>
    </row>
    <row r="63" spans="1:6" ht="12.75">
      <c r="A63" s="172" t="s">
        <v>161</v>
      </c>
      <c r="B63" s="172">
        <f>B8+(3/0.017)*(B9*B50-B24*B51)</f>
        <v>2.9834832257416055</v>
      </c>
      <c r="C63" s="172">
        <f>C8+(3/0.017)*(C9*C50-C24*C51)</f>
        <v>3.31910637185295</v>
      </c>
      <c r="D63" s="172">
        <f>D8+(3/0.017)*(D9*D50-D24*D51)</f>
        <v>2.46354992189506</v>
      </c>
      <c r="E63" s="172">
        <f>E8+(3/0.017)*(E9*E50-E24*E51)</f>
        <v>1.8666429315874664</v>
      </c>
      <c r="F63" s="172">
        <f>F8+(3/0.017)*(F9*F50-F24*F51)</f>
        <v>-5.872734697118359</v>
      </c>
    </row>
    <row r="64" spans="1:6" ht="12.75">
      <c r="A64" s="172" t="s">
        <v>162</v>
      </c>
      <c r="B64" s="172">
        <f>B9+(4/0.017)*(B10*B50-B25*B51)</f>
        <v>0.3409806144498012</v>
      </c>
      <c r="C64" s="172">
        <f>C9+(4/0.017)*(C10*C50-C25*C51)</f>
        <v>-0.6364540091160245</v>
      </c>
      <c r="D64" s="172">
        <f>D9+(4/0.017)*(D10*D50-D25*D51)</f>
        <v>-0.02178122577556063</v>
      </c>
      <c r="E64" s="172">
        <f>E9+(4/0.017)*(E10*E50-E25*E51)</f>
        <v>-0.05307286986687282</v>
      </c>
      <c r="F64" s="172">
        <f>F9+(4/0.017)*(F10*F50-F25*F51)</f>
        <v>0.9841392461472798</v>
      </c>
    </row>
    <row r="65" spans="1:6" ht="12.75">
      <c r="A65" s="172" t="s">
        <v>163</v>
      </c>
      <c r="B65" s="172">
        <f>B10+(5/0.017)*(B11*B50-B26*B51)</f>
        <v>-0.4922664685520373</v>
      </c>
      <c r="C65" s="172">
        <f>C10+(5/0.017)*(C11*C50-C26*C51)</f>
        <v>-1.4087697621710995</v>
      </c>
      <c r="D65" s="172">
        <f>D10+(5/0.017)*(D11*D50-D26*D51)</f>
        <v>-1.2691984795838032</v>
      </c>
      <c r="E65" s="172">
        <f>E10+(5/0.017)*(E11*E50-E26*E51)</f>
        <v>-1.034495504588482</v>
      </c>
      <c r="F65" s="172">
        <f>F10+(5/0.017)*(F11*F50-F26*F51)</f>
        <v>0.4598346719996291</v>
      </c>
    </row>
    <row r="66" spans="1:6" ht="12.75">
      <c r="A66" s="172" t="s">
        <v>164</v>
      </c>
      <c r="B66" s="172">
        <f>B11+(6/0.017)*(B12*B50-B27*B51)</f>
        <v>3.448125795361943</v>
      </c>
      <c r="C66" s="172">
        <f>C11+(6/0.017)*(C12*C50-C27*C51)</f>
        <v>3.4493855706659655</v>
      </c>
      <c r="D66" s="172">
        <f>D11+(6/0.017)*(D12*D50-D27*D51)</f>
        <v>3.4948655227288707</v>
      </c>
      <c r="E66" s="172">
        <f>E11+(6/0.017)*(E12*E50-E27*E51)</f>
        <v>4.042209807212568</v>
      </c>
      <c r="F66" s="172">
        <f>F11+(6/0.017)*(F12*F50-F27*F51)</f>
        <v>14.289531660653804</v>
      </c>
    </row>
    <row r="67" spans="1:6" ht="12.75">
      <c r="A67" s="172" t="s">
        <v>165</v>
      </c>
      <c r="B67" s="172">
        <f>B12+(7/0.017)*(B13*B50-B28*B51)</f>
        <v>-0.34193746634618066</v>
      </c>
      <c r="C67" s="172">
        <f>C12+(7/0.017)*(C13*C50-C28*C51)</f>
        <v>-0.11177933613373497</v>
      </c>
      <c r="D67" s="172">
        <f>D12+(7/0.017)*(D13*D50-D28*D51)</f>
        <v>-0.203853778529366</v>
      </c>
      <c r="E67" s="172">
        <f>E12+(7/0.017)*(E13*E50-E28*E51)</f>
        <v>-0.36582306817664945</v>
      </c>
      <c r="F67" s="172">
        <f>F12+(7/0.017)*(F13*F50-F28*F51)</f>
        <v>-0.4798576106745476</v>
      </c>
    </row>
    <row r="68" spans="1:6" ht="12.75">
      <c r="A68" s="172" t="s">
        <v>166</v>
      </c>
      <c r="B68" s="172">
        <f>B13+(8/0.017)*(B14*B50-B29*B51)</f>
        <v>-0.14716708436205533</v>
      </c>
      <c r="C68" s="172">
        <f>C13+(8/0.017)*(C14*C50-C29*C51)</f>
        <v>-0.12388862926005115</v>
      </c>
      <c r="D68" s="172">
        <f>D13+(8/0.017)*(D14*D50-D29*D51)</f>
        <v>-0.16639803017011837</v>
      </c>
      <c r="E68" s="172">
        <f>E13+(8/0.017)*(E14*E50-E29*E51)</f>
        <v>-0.18653925634988688</v>
      </c>
      <c r="F68" s="172">
        <f>F13+(8/0.017)*(F14*F50-F29*F51)</f>
        <v>-0.0992634227408902</v>
      </c>
    </row>
    <row r="69" spans="1:6" ht="12.75">
      <c r="A69" s="172" t="s">
        <v>167</v>
      </c>
      <c r="B69" s="172">
        <f>B14+(9/0.017)*(B15*B50-B30*B51)</f>
        <v>-0.0755379121977648</v>
      </c>
      <c r="C69" s="172">
        <f>C14+(9/0.017)*(C15*C50-C30*C51)</f>
        <v>0.1350747681522252</v>
      </c>
      <c r="D69" s="172">
        <f>D14+(9/0.017)*(D15*D50-D30*D51)</f>
        <v>-0.010886427044273261</v>
      </c>
      <c r="E69" s="172">
        <f>E14+(9/0.017)*(E15*E50-E30*E51)</f>
        <v>-0.08397981456620852</v>
      </c>
      <c r="F69" s="172">
        <f>F14+(9/0.017)*(F15*F50-F30*F51)</f>
        <v>-0.05205687802623757</v>
      </c>
    </row>
    <row r="70" spans="1:6" ht="12.75">
      <c r="A70" s="172" t="s">
        <v>168</v>
      </c>
      <c r="B70" s="172">
        <f>B15+(10/0.017)*(B16*B50-B31*B51)</f>
        <v>-0.3765895326570264</v>
      </c>
      <c r="C70" s="172">
        <f>C15+(10/0.017)*(C16*C50-C31*C51)</f>
        <v>-0.12371061061002497</v>
      </c>
      <c r="D70" s="172">
        <f>D15+(10/0.017)*(D16*D50-D31*D51)</f>
        <v>-0.17380492030101413</v>
      </c>
      <c r="E70" s="172">
        <f>E15+(10/0.017)*(E16*E50-E31*E51)</f>
        <v>-0.08895307905997851</v>
      </c>
      <c r="F70" s="172">
        <f>F15+(10/0.017)*(F16*F50-F31*F51)</f>
        <v>-0.4406703752106411</v>
      </c>
    </row>
    <row r="71" spans="1:6" ht="12.75">
      <c r="A71" s="172" t="s">
        <v>169</v>
      </c>
      <c r="B71" s="172">
        <f>B16+(11/0.017)*(B17*B50-B32*B51)</f>
        <v>-0.013361014681660552</v>
      </c>
      <c r="C71" s="172">
        <f>C16+(11/0.017)*(C17*C50-C32*C51)</f>
        <v>-0.017287894688639477</v>
      </c>
      <c r="D71" s="172">
        <f>D16+(11/0.017)*(D17*D50-D32*D51)</f>
        <v>-0.01968096929227089</v>
      </c>
      <c r="E71" s="172">
        <f>E16+(11/0.017)*(E17*E50-E32*E51)</f>
        <v>-0.01717749091013878</v>
      </c>
      <c r="F71" s="172">
        <f>F16+(11/0.017)*(F17*F50-F32*F51)</f>
        <v>0.030503025506891063</v>
      </c>
    </row>
    <row r="72" spans="1:6" ht="12.75">
      <c r="A72" s="172" t="s">
        <v>170</v>
      </c>
      <c r="B72" s="172">
        <f>B17+(12/0.017)*(B18*B50-B33*B51)</f>
        <v>-0.07925097051979471</v>
      </c>
      <c r="C72" s="172">
        <f>C17+(12/0.017)*(C18*C50-C33*C51)</f>
        <v>-0.0030175746700646794</v>
      </c>
      <c r="D72" s="172">
        <f>D17+(12/0.017)*(D18*D50-D33*D51)</f>
        <v>-0.04521039384321972</v>
      </c>
      <c r="E72" s="172">
        <f>E17+(12/0.017)*(E18*E50-E33*E51)</f>
        <v>-0.03291969271798803</v>
      </c>
      <c r="F72" s="172">
        <f>F17+(12/0.017)*(F18*F50-F33*F51)</f>
        <v>-0.04157788805424545</v>
      </c>
    </row>
    <row r="73" spans="1:6" ht="12.75">
      <c r="A73" s="172" t="s">
        <v>171</v>
      </c>
      <c r="B73" s="172">
        <f>B18+(13/0.017)*(B19*B50-B34*B51)</f>
        <v>0.00768072127039417</v>
      </c>
      <c r="C73" s="172">
        <f>C18+(13/0.017)*(C19*C50-C34*C51)</f>
        <v>0.033701088757284614</v>
      </c>
      <c r="D73" s="172">
        <f>D18+(13/0.017)*(D19*D50-D34*D51)</f>
        <v>0.01519720969981539</v>
      </c>
      <c r="E73" s="172">
        <f>E18+(13/0.017)*(E19*E50-E34*E51)</f>
        <v>0.012496954298086886</v>
      </c>
      <c r="F73" s="172">
        <f>F18+(13/0.017)*(F19*F50-F34*F51)</f>
        <v>-0.0021628028833461516</v>
      </c>
    </row>
    <row r="74" spans="1:6" ht="12.75">
      <c r="A74" s="172" t="s">
        <v>172</v>
      </c>
      <c r="B74" s="172">
        <f>B19+(14/0.017)*(B20*B50-B35*B51)</f>
        <v>-0.1751535458593019</v>
      </c>
      <c r="C74" s="172">
        <f>C19+(14/0.017)*(C20*C50-C35*C51)</f>
        <v>-0.15022200925610404</v>
      </c>
      <c r="D74" s="172">
        <f>D19+(14/0.017)*(D20*D50-D35*D51)</f>
        <v>-0.16012969483618333</v>
      </c>
      <c r="E74" s="172">
        <f>E19+(14/0.017)*(E20*E50-E35*E51)</f>
        <v>-0.1595486341138693</v>
      </c>
      <c r="F74" s="172">
        <f>F19+(14/0.017)*(F20*F50-F35*F51)</f>
        <v>-0.13242764920497682</v>
      </c>
    </row>
    <row r="75" spans="1:6" ht="12.75">
      <c r="A75" s="172" t="s">
        <v>173</v>
      </c>
      <c r="B75" s="173">
        <f>B20</f>
        <v>-0.0004638517</v>
      </c>
      <c r="C75" s="173">
        <f>C20</f>
        <v>0.008309952</v>
      </c>
      <c r="D75" s="173">
        <f>D20</f>
        <v>0.004212263</v>
      </c>
      <c r="E75" s="173">
        <f>E20</f>
        <v>0.01029715</v>
      </c>
      <c r="F75" s="173">
        <f>F20</f>
        <v>-0.003749638</v>
      </c>
    </row>
    <row r="78" ht="12.75">
      <c r="A78" s="172" t="s">
        <v>155</v>
      </c>
    </row>
    <row r="80" spans="2:6" ht="12.75">
      <c r="B80" s="172" t="s">
        <v>85</v>
      </c>
      <c r="C80" s="172" t="s">
        <v>86</v>
      </c>
      <c r="D80" s="172" t="s">
        <v>87</v>
      </c>
      <c r="E80" s="172" t="s">
        <v>88</v>
      </c>
      <c r="F80" s="172" t="s">
        <v>89</v>
      </c>
    </row>
    <row r="81" spans="1:6" ht="12.75">
      <c r="A81" s="172" t="s">
        <v>174</v>
      </c>
      <c r="B81" s="172">
        <f>B21+(1/0.017)*(B7*B51+B22*B50)</f>
        <v>0</v>
      </c>
      <c r="C81" s="172">
        <f>C21+(1/0.017)*(C7*C51+C22*C50)</f>
        <v>0</v>
      </c>
      <c r="D81" s="172">
        <f>D21+(1/0.017)*(D7*D51+D22*D50)</f>
        <v>0</v>
      </c>
      <c r="E81" s="172">
        <f>E21+(1/0.017)*(E7*E51+E22*E50)</f>
        <v>0</v>
      </c>
      <c r="F81" s="172">
        <f>F21+(1/0.017)*(F7*F51+F22*F50)</f>
        <v>0</v>
      </c>
    </row>
    <row r="82" spans="1:6" ht="12.75">
      <c r="A82" s="172" t="s">
        <v>175</v>
      </c>
      <c r="B82" s="172">
        <f>B22+(2/0.017)*(B8*B51+B23*B50)</f>
        <v>149.70653342306954</v>
      </c>
      <c r="C82" s="172">
        <f>C22+(2/0.017)*(C8*C51+C23*C50)</f>
        <v>68.18296260270849</v>
      </c>
      <c r="D82" s="172">
        <f>D22+(2/0.017)*(D8*D51+D23*D50)</f>
        <v>-10.483865958700056</v>
      </c>
      <c r="E82" s="172">
        <f>E22+(2/0.017)*(E8*E51+E23*E50)</f>
        <v>-81.89079036877938</v>
      </c>
      <c r="F82" s="172">
        <f>F22+(2/0.017)*(F8*F51+F23*F50)</f>
        <v>-117.37112663742816</v>
      </c>
    </row>
    <row r="83" spans="1:6" ht="12.75">
      <c r="A83" s="172" t="s">
        <v>176</v>
      </c>
      <c r="B83" s="172">
        <f>B23+(3/0.017)*(B9*B51+B24*B50)</f>
        <v>4.016017772231038</v>
      </c>
      <c r="C83" s="172">
        <f>C23+(3/0.017)*(C9*C51+C24*C50)</f>
        <v>3.959551621769281</v>
      </c>
      <c r="D83" s="172">
        <f>D23+(3/0.017)*(D9*D51+D24*D50)</f>
        <v>5.020394179886492</v>
      </c>
      <c r="E83" s="172">
        <f>E23+(3/0.017)*(E9*E51+E24*E50)</f>
        <v>4.299664407001197</v>
      </c>
      <c r="F83" s="172">
        <f>F23+(3/0.017)*(F9*F51+F24*F50)</f>
        <v>10.699745499662672</v>
      </c>
    </row>
    <row r="84" spans="1:6" ht="12.75">
      <c r="A84" s="172" t="s">
        <v>177</v>
      </c>
      <c r="B84" s="172">
        <f>B24+(4/0.017)*(B10*B51+B25*B50)</f>
        <v>1.163803520351073</v>
      </c>
      <c r="C84" s="172">
        <f>C24+(4/0.017)*(C10*C51+C25*C50)</f>
        <v>2.650519824316662</v>
      </c>
      <c r="D84" s="172">
        <f>D24+(4/0.017)*(D10*D51+D25*D50)</f>
        <v>3.6332638483791504</v>
      </c>
      <c r="E84" s="172">
        <f>E24+(4/0.017)*(E10*E51+E25*E50)</f>
        <v>2.725094215018905</v>
      </c>
      <c r="F84" s="172">
        <f>F24+(4/0.017)*(F10*F51+F25*F50)</f>
        <v>-1.5077543491850922</v>
      </c>
    </row>
    <row r="85" spans="1:6" ht="12.75">
      <c r="A85" s="172" t="s">
        <v>178</v>
      </c>
      <c r="B85" s="172">
        <f>B25+(5/0.017)*(B11*B51+B26*B50)</f>
        <v>0.9159304230065165</v>
      </c>
      <c r="C85" s="172">
        <f>C25+(5/0.017)*(C11*C51+C26*C50)</f>
        <v>1.8718933157896211</v>
      </c>
      <c r="D85" s="172">
        <f>D25+(5/0.017)*(D11*D51+D26*D50)</f>
        <v>2.420277520050176</v>
      </c>
      <c r="E85" s="172">
        <f>E25+(5/0.017)*(E11*E51+E26*E50)</f>
        <v>2.3775794192877626</v>
      </c>
      <c r="F85" s="172">
        <f>F25+(5/0.017)*(F11*F51+F26*F50)</f>
        <v>0.45245347392192325</v>
      </c>
    </row>
    <row r="86" spans="1:6" ht="12.75">
      <c r="A86" s="172" t="s">
        <v>179</v>
      </c>
      <c r="B86" s="172">
        <f>B26+(6/0.017)*(B12*B51+B27*B50)</f>
        <v>0.05943636425376056</v>
      </c>
      <c r="C86" s="172">
        <f>C26+(6/0.017)*(C12*C51+C27*C50)</f>
        <v>-0.6107150105265138</v>
      </c>
      <c r="D86" s="172">
        <f>D26+(6/0.017)*(D12*D51+D27*D50)</f>
        <v>-0.29486246395746624</v>
      </c>
      <c r="E86" s="172">
        <f>E26+(6/0.017)*(E12*E51+E27*E50)</f>
        <v>-0.5153181463525041</v>
      </c>
      <c r="F86" s="172">
        <f>F26+(6/0.017)*(F12*F51+F27*F50)</f>
        <v>1.4386888968203255</v>
      </c>
    </row>
    <row r="87" spans="1:6" ht="12.75">
      <c r="A87" s="172" t="s">
        <v>180</v>
      </c>
      <c r="B87" s="172">
        <f>B27+(7/0.017)*(B13*B51+B28*B50)</f>
        <v>0.26460435277088995</v>
      </c>
      <c r="C87" s="172">
        <f>C27+(7/0.017)*(C13*C51+C28*C50)</f>
        <v>-0.7353429754371102</v>
      </c>
      <c r="D87" s="172">
        <f>D27+(7/0.017)*(D13*D51+D28*D50)</f>
        <v>-0.42544782293184746</v>
      </c>
      <c r="E87" s="172">
        <f>E27+(7/0.017)*(E13*E51+E28*E50)</f>
        <v>-0.466888309634386</v>
      </c>
      <c r="F87" s="172">
        <f>F27+(7/0.017)*(F13*F51+F28*F50)</f>
        <v>0.1632945443526982</v>
      </c>
    </row>
    <row r="88" spans="1:6" ht="12.75">
      <c r="A88" s="172" t="s">
        <v>181</v>
      </c>
      <c r="B88" s="172">
        <f>B28+(8/0.017)*(B14*B51+B29*B50)</f>
        <v>0.09737384543711858</v>
      </c>
      <c r="C88" s="172">
        <f>C28+(8/0.017)*(C14*C51+C29*C50)</f>
        <v>-0.20612085132629657</v>
      </c>
      <c r="D88" s="172">
        <f>D28+(8/0.017)*(D14*D51+D29*D50)</f>
        <v>0.07224854463732956</v>
      </c>
      <c r="E88" s="172">
        <f>E28+(8/0.017)*(E14*E51+E29*E50)</f>
        <v>0.06702766930339855</v>
      </c>
      <c r="F88" s="172">
        <f>F28+(8/0.017)*(F14*F51+F29*F50)</f>
        <v>-0.27598608321521023</v>
      </c>
    </row>
    <row r="89" spans="1:6" ht="12.75">
      <c r="A89" s="172" t="s">
        <v>182</v>
      </c>
      <c r="B89" s="172">
        <f>B29+(9/0.017)*(B15*B51+B30*B50)</f>
        <v>0.10760898525157409</v>
      </c>
      <c r="C89" s="172">
        <f>C29+(9/0.017)*(C15*C51+C30*C50)</f>
        <v>-0.06362843606356663</v>
      </c>
      <c r="D89" s="172">
        <f>D29+(9/0.017)*(D15*D51+D30*D50)</f>
        <v>-0.054560473958907174</v>
      </c>
      <c r="E89" s="172">
        <f>E29+(9/0.017)*(E15*E51+E30*E50)</f>
        <v>-0.09699831000714758</v>
      </c>
      <c r="F89" s="172">
        <f>F29+(9/0.017)*(F15*F51+F30*F50)</f>
        <v>-0.05254037323357025</v>
      </c>
    </row>
    <row r="90" spans="1:6" ht="12.75">
      <c r="A90" s="172" t="s">
        <v>183</v>
      </c>
      <c r="B90" s="172">
        <f>B30+(10/0.017)*(B16*B51+B31*B50)</f>
        <v>-0.09548149408699892</v>
      </c>
      <c r="C90" s="172">
        <f>C30+(10/0.017)*(C16*C51+C31*C50)</f>
        <v>-0.09251901273062174</v>
      </c>
      <c r="D90" s="172">
        <f>D30+(10/0.017)*(D16*D51+D31*D50)</f>
        <v>-0.029818420525768316</v>
      </c>
      <c r="E90" s="172">
        <f>E30+(10/0.017)*(E16*E51+E31*E50)</f>
        <v>-0.005383350939018656</v>
      </c>
      <c r="F90" s="172">
        <f>F30+(10/0.017)*(F16*F51+F31*F50)</f>
        <v>0.219562988694231</v>
      </c>
    </row>
    <row r="91" spans="1:6" ht="12.75">
      <c r="A91" s="172" t="s">
        <v>184</v>
      </c>
      <c r="B91" s="172">
        <f>B31+(11/0.017)*(B17*B51+B32*B50)</f>
        <v>0.08562486464357486</v>
      </c>
      <c r="C91" s="172">
        <f>C31+(11/0.017)*(C17*C51+C32*C50)</f>
        <v>-0.06956070525489447</v>
      </c>
      <c r="D91" s="172">
        <f>D31+(11/0.017)*(D17*D51+D32*D50)</f>
        <v>-0.06397796306320874</v>
      </c>
      <c r="E91" s="172">
        <f>E31+(11/0.017)*(E17*E51+E32*E50)</f>
        <v>-0.0576709652345612</v>
      </c>
      <c r="F91" s="172">
        <f>F31+(11/0.017)*(F17*F51+F32*F50)</f>
        <v>-0.031204412958781416</v>
      </c>
    </row>
    <row r="92" spans="1:6" ht="12.75">
      <c r="A92" s="172" t="s">
        <v>185</v>
      </c>
      <c r="B92" s="172">
        <f>B32+(12/0.017)*(B18*B51+B33*B50)</f>
        <v>-0.002863353607656355</v>
      </c>
      <c r="C92" s="172">
        <f>C32+(12/0.017)*(C18*C51+C33*C50)</f>
        <v>-0.05196916065648658</v>
      </c>
      <c r="D92" s="172">
        <f>D32+(12/0.017)*(D18*D51+D33*D50)</f>
        <v>-0.016789439716735313</v>
      </c>
      <c r="E92" s="172">
        <f>E32+(12/0.017)*(E18*E51+E33*E50)</f>
        <v>-0.009975675910030546</v>
      </c>
      <c r="F92" s="172">
        <f>F32+(12/0.017)*(F18*F51+F33*F50)</f>
        <v>-0.011352546439635978</v>
      </c>
    </row>
    <row r="93" spans="1:6" ht="12.75">
      <c r="A93" s="172" t="s">
        <v>186</v>
      </c>
      <c r="B93" s="172">
        <f>B33+(13/0.017)*(B19*B51+B34*B50)</f>
        <v>-0.06379313500633885</v>
      </c>
      <c r="C93" s="172">
        <f>C33+(13/0.017)*(C19*C51+C34*C50)</f>
        <v>-0.08062557308377782</v>
      </c>
      <c r="D93" s="172">
        <f>D33+(13/0.017)*(D19*D51+D34*D50)</f>
        <v>-0.09055441421858777</v>
      </c>
      <c r="E93" s="172">
        <f>E33+(13/0.017)*(E19*E51+E34*E50)</f>
        <v>-0.09152020936351128</v>
      </c>
      <c r="F93" s="172">
        <f>F33+(13/0.017)*(F19*F51+F34*F50)</f>
        <v>-0.07873557184979672</v>
      </c>
    </row>
    <row r="94" spans="1:6" ht="12.75">
      <c r="A94" s="172" t="s">
        <v>187</v>
      </c>
      <c r="B94" s="172">
        <f>B34+(14/0.017)*(B20*B51+B35*B50)</f>
        <v>-0.025301487758472664</v>
      </c>
      <c r="C94" s="172">
        <f>C34+(14/0.017)*(C20*C51+C35*C50)</f>
        <v>0.0037352415764781884</v>
      </c>
      <c r="D94" s="172">
        <f>D34+(14/0.017)*(D20*D51+D35*D50)</f>
        <v>0.004513788882083384</v>
      </c>
      <c r="E94" s="172">
        <f>E34+(14/0.017)*(E20*E51+E35*E50)</f>
        <v>0.012693263901340242</v>
      </c>
      <c r="F94" s="172">
        <f>F34+(14/0.017)*(F20*F51+F35*F50)</f>
        <v>-0.008588400263272237</v>
      </c>
    </row>
    <row r="95" spans="1:6" ht="12.75">
      <c r="A95" s="172" t="s">
        <v>188</v>
      </c>
      <c r="B95" s="173">
        <f>B35</f>
        <v>0.0003589036</v>
      </c>
      <c r="C95" s="173">
        <f>C35</f>
        <v>0.003209037</v>
      </c>
      <c r="D95" s="173">
        <f>D35</f>
        <v>0.002127067</v>
      </c>
      <c r="E95" s="173">
        <f>E35</f>
        <v>0.003372652</v>
      </c>
      <c r="F95" s="173">
        <f>F35</f>
        <v>0.008826276</v>
      </c>
    </row>
    <row r="98" ht="12.75">
      <c r="A98" s="172" t="s">
        <v>156</v>
      </c>
    </row>
    <row r="100" spans="2:11" ht="12.75">
      <c r="B100" s="172" t="s">
        <v>85</v>
      </c>
      <c r="C100" s="172" t="s">
        <v>86</v>
      </c>
      <c r="D100" s="172" t="s">
        <v>87</v>
      </c>
      <c r="E100" s="172" t="s">
        <v>88</v>
      </c>
      <c r="F100" s="172" t="s">
        <v>89</v>
      </c>
      <c r="G100" s="172" t="s">
        <v>158</v>
      </c>
      <c r="H100" s="172" t="s">
        <v>159</v>
      </c>
      <c r="I100" s="172" t="s">
        <v>154</v>
      </c>
      <c r="K100" s="172" t="s">
        <v>189</v>
      </c>
    </row>
    <row r="101" spans="1:9" ht="12.75">
      <c r="A101" s="172" t="s">
        <v>157</v>
      </c>
      <c r="B101" s="172">
        <f>B61*10000/B62</f>
        <v>0</v>
      </c>
      <c r="C101" s="172">
        <f>C61*10000/C62</f>
        <v>0</v>
      </c>
      <c r="D101" s="172">
        <f>D61*10000/D62</f>
        <v>0</v>
      </c>
      <c r="E101" s="172">
        <f>E61*10000/E62</f>
        <v>0</v>
      </c>
      <c r="F101" s="172">
        <f>F61*10000/F62</f>
        <v>0</v>
      </c>
      <c r="G101" s="172">
        <f>AVERAGE(C101:E101)</f>
        <v>0</v>
      </c>
      <c r="H101" s="172">
        <f>STDEV(C101:E101)</f>
        <v>0</v>
      </c>
      <c r="I101" s="172">
        <f>(B101*B4+C101*C4+D101*D4+E101*E4+F101*F4)/SUM(B4:F4)</f>
        <v>0</v>
      </c>
    </row>
    <row r="102" spans="1:9" ht="12.75">
      <c r="A102" s="172" t="s">
        <v>160</v>
      </c>
      <c r="B102" s="172">
        <f>B62*10000/B62</f>
        <v>10000</v>
      </c>
      <c r="C102" s="172">
        <f>C62*10000/C62</f>
        <v>10000</v>
      </c>
      <c r="D102" s="172">
        <f>D62*10000/D62</f>
        <v>10000</v>
      </c>
      <c r="E102" s="172">
        <f>E62*10000/E62</f>
        <v>10000</v>
      </c>
      <c r="F102" s="172">
        <f>F62*10000/F62</f>
        <v>10000</v>
      </c>
      <c r="G102" s="172">
        <f>AVERAGE(C102:E102)</f>
        <v>10000</v>
      </c>
      <c r="H102" s="172">
        <f>STDEV(C102:E102)</f>
        <v>0</v>
      </c>
      <c r="I102" s="172">
        <f>(B102*B4+C102*C4+D102*D4+E102*E4+F102*F4)/SUM(B4:F4)</f>
        <v>9999.999999999998</v>
      </c>
    </row>
    <row r="103" spans="1:11" ht="12.75">
      <c r="A103" s="172" t="s">
        <v>161</v>
      </c>
      <c r="B103" s="172">
        <f>B63*10000/B62</f>
        <v>2.983688352181272</v>
      </c>
      <c r="C103" s="172">
        <f>C63*10000/C62</f>
        <v>3.3193653081895342</v>
      </c>
      <c r="D103" s="172">
        <f>D63*10000/D62</f>
        <v>2.463769171844954</v>
      </c>
      <c r="E103" s="172">
        <f>E63*10000/E62</f>
        <v>1.8667821010193966</v>
      </c>
      <c r="F103" s="172">
        <f>F63*10000/F62</f>
        <v>-5.874061324667889</v>
      </c>
      <c r="G103" s="172">
        <f>AVERAGE(C103:E103)</f>
        <v>2.5499721936846282</v>
      </c>
      <c r="H103" s="172">
        <f>STDEV(C103:E103)</f>
        <v>0.730118287792388</v>
      </c>
      <c r="I103" s="172">
        <f>(B103*B4+C103*C4+D103*D4+E103*E4+F103*F4)/SUM(B4:F4)</f>
        <v>1.484338895518993</v>
      </c>
      <c r="K103" s="172">
        <f>(LN(H103)+LN(H123))/2-LN(K114*K115^3)</f>
        <v>-4.342294671363623</v>
      </c>
    </row>
    <row r="104" spans="1:11" ht="12.75">
      <c r="A104" s="172" t="s">
        <v>162</v>
      </c>
      <c r="B104" s="172">
        <f>B64*10000/B62</f>
        <v>0.3410040582348488</v>
      </c>
      <c r="C104" s="172">
        <f>C64*10000/C62</f>
        <v>-0.6365036613570381</v>
      </c>
      <c r="D104" s="172">
        <f>D64*10000/D62</f>
        <v>-0.02178316425166679</v>
      </c>
      <c r="E104" s="172">
        <f>E64*10000/E62</f>
        <v>-0.0530768267678019</v>
      </c>
      <c r="F104" s="172">
        <f>F64*10000/F62</f>
        <v>0.9843615593120741</v>
      </c>
      <c r="G104" s="172">
        <f>AVERAGE(C104:E104)</f>
        <v>-0.2371212174588356</v>
      </c>
      <c r="H104" s="172">
        <f>STDEV(C104:E104)</f>
        <v>0.3462290797997679</v>
      </c>
      <c r="I104" s="172">
        <f>(B104*B4+C104*C4+D104*D4+E104*E4+F104*F4)/SUM(B4:F4)</f>
        <v>0.009917733450666308</v>
      </c>
      <c r="K104" s="172">
        <f>(LN(H104)+LN(H124))/2-LN(K114*K115^4)</f>
        <v>-4.119035584165079</v>
      </c>
    </row>
    <row r="105" spans="1:11" ht="12.75">
      <c r="A105" s="172" t="s">
        <v>163</v>
      </c>
      <c r="B105" s="172">
        <f>B65*10000/B62</f>
        <v>-0.49230031384642015</v>
      </c>
      <c r="C105" s="172">
        <f>C65*10000/C62</f>
        <v>-1.4088796657537026</v>
      </c>
      <c r="D105" s="172">
        <f>D65*10000/D62</f>
        <v>-1.2693114351608676</v>
      </c>
      <c r="E105" s="172">
        <f>E65*10000/E62</f>
        <v>-1.034572632436166</v>
      </c>
      <c r="F105" s="172">
        <f>F65*10000/F62</f>
        <v>0.45993854683402324</v>
      </c>
      <c r="G105" s="172">
        <f>AVERAGE(C105:E105)</f>
        <v>-1.237587911116912</v>
      </c>
      <c r="H105" s="172">
        <f>STDEV(C105:E105)</f>
        <v>0.1891592590413429</v>
      </c>
      <c r="I105" s="172">
        <f>(B105*B4+C105*C4+D105*D4+E105*E4+F105*F4)/SUM(B4:F4)</f>
        <v>-0.9026386349809707</v>
      </c>
      <c r="K105" s="172">
        <f>(LN(H105)+LN(H125))/2-LN(K114*K115^5)</f>
        <v>-4.122127568420021</v>
      </c>
    </row>
    <row r="106" spans="1:11" ht="12.75">
      <c r="A106" s="172" t="s">
        <v>164</v>
      </c>
      <c r="B106" s="172">
        <f>B66*10000/B62</f>
        <v>3.448362867842131</v>
      </c>
      <c r="C106" s="172">
        <f>C66*10000/C62</f>
        <v>3.4496546705871705</v>
      </c>
      <c r="D106" s="172">
        <f>D66*10000/D62</f>
        <v>3.495176557258325</v>
      </c>
      <c r="E106" s="172">
        <f>E66*10000/E62</f>
        <v>4.042511178210251</v>
      </c>
      <c r="F106" s="172">
        <f>F66*10000/F62</f>
        <v>14.292759609360601</v>
      </c>
      <c r="G106" s="172">
        <f>AVERAGE(C106:E106)</f>
        <v>3.662447468685249</v>
      </c>
      <c r="H106" s="172">
        <f>STDEV(C106:E106)</f>
        <v>0.32993086853907744</v>
      </c>
      <c r="I106" s="172">
        <f>(B106*B4+C106*C4+D106*D4+E106*E4+F106*F4)/SUM(B4:F4)</f>
        <v>5.055361560226514</v>
      </c>
      <c r="K106" s="172">
        <f>(LN(H106)+LN(H126))/2-LN(K114*K115^6)</f>
        <v>-3.5690945289934284</v>
      </c>
    </row>
    <row r="107" spans="1:11" ht="12.75">
      <c r="A107" s="172" t="s">
        <v>165</v>
      </c>
      <c r="B107" s="172">
        <f>B67*10000/B62</f>
        <v>-0.34196097591863445</v>
      </c>
      <c r="C107" s="172">
        <f>C67*10000/C62</f>
        <v>-0.11178805647245318</v>
      </c>
      <c r="D107" s="172">
        <f>D67*10000/D62</f>
        <v>-0.2038719210197337</v>
      </c>
      <c r="E107" s="172">
        <f>E67*10000/E62</f>
        <v>-0.3658503424816188</v>
      </c>
      <c r="F107" s="172">
        <f>F67*10000/F62</f>
        <v>-0.4799660086116254</v>
      </c>
      <c r="G107" s="172">
        <f>AVERAGE(C107:E107)</f>
        <v>-0.22717010665793524</v>
      </c>
      <c r="H107" s="172">
        <f>STDEV(C107:E107)</f>
        <v>0.12862354132729678</v>
      </c>
      <c r="I107" s="172">
        <f>(B107*B4+C107*C4+D107*D4+E107*E4+F107*F4)/SUM(B4:F4)</f>
        <v>-0.27758710150979765</v>
      </c>
      <c r="K107" s="172">
        <f>(LN(H107)+LN(H127))/2-LN(K114*K115^7)</f>
        <v>-3.429890108881162</v>
      </c>
    </row>
    <row r="108" spans="1:9" ht="12.75">
      <c r="A108" s="172" t="s">
        <v>166</v>
      </c>
      <c r="B108" s="172">
        <f>B68*10000/B62</f>
        <v>-0.14717720268944892</v>
      </c>
      <c r="C108" s="172">
        <f>C68*10000/C62</f>
        <v>-0.12389829429160215</v>
      </c>
      <c r="D108" s="172">
        <f>D68*10000/D62</f>
        <v>-0.16641283919000183</v>
      </c>
      <c r="E108" s="172">
        <f>E68*10000/E62</f>
        <v>-0.18655316397083546</v>
      </c>
      <c r="F108" s="172">
        <f>F68*10000/F62</f>
        <v>-0.09928584595563773</v>
      </c>
      <c r="G108" s="172">
        <f>AVERAGE(C108:E108)</f>
        <v>-0.1589547658174798</v>
      </c>
      <c r="H108" s="172">
        <f>STDEV(C108:E108)</f>
        <v>0.031986330165445304</v>
      </c>
      <c r="I108" s="172">
        <f>(B108*B4+C108*C4+D108*D4+E108*E4+F108*F4)/SUM(B4:F4)</f>
        <v>-0.1492581136635471</v>
      </c>
    </row>
    <row r="109" spans="1:9" ht="12.75">
      <c r="A109" s="172" t="s">
        <v>167</v>
      </c>
      <c r="B109" s="172">
        <f>B69*10000/B62</f>
        <v>-0.07554310573223998</v>
      </c>
      <c r="C109" s="172">
        <f>C69*10000/C62</f>
        <v>0.13508530585777356</v>
      </c>
      <c r="D109" s="172">
        <f>D69*10000/D62</f>
        <v>-0.010887395909796451</v>
      </c>
      <c r="E109" s="172">
        <f>E69*10000/E62</f>
        <v>-0.08398607576533182</v>
      </c>
      <c r="F109" s="172">
        <f>F69*10000/F62</f>
        <v>-0.052068637469170696</v>
      </c>
      <c r="G109" s="172">
        <f>AVERAGE(C109:E109)</f>
        <v>0.01340394472754843</v>
      </c>
      <c r="H109" s="172">
        <f>STDEV(C109:E109)</f>
        <v>0.11153752500407076</v>
      </c>
      <c r="I109" s="172">
        <f>(B109*B4+C109*C4+D109*D4+E109*E4+F109*F4)/SUM(B4:F4)</f>
        <v>-0.008193366740094776</v>
      </c>
    </row>
    <row r="110" spans="1:11" ht="12.75">
      <c r="A110" s="172" t="s">
        <v>168</v>
      </c>
      <c r="B110" s="172">
        <f>B70*10000/B62</f>
        <v>-0.3766154246980418</v>
      </c>
      <c r="C110" s="172">
        <f>C70*10000/C62</f>
        <v>-0.12372026175365196</v>
      </c>
      <c r="D110" s="172">
        <f>D70*10000/D62</f>
        <v>-0.1738203885161003</v>
      </c>
      <c r="E110" s="172">
        <f>E70*10000/E62</f>
        <v>-0.08895971104581347</v>
      </c>
      <c r="F110" s="172">
        <f>F70*10000/F62</f>
        <v>-0.44076992090615896</v>
      </c>
      <c r="G110" s="172">
        <f>AVERAGE(C110:E110)</f>
        <v>-0.12883345377185523</v>
      </c>
      <c r="H110" s="172">
        <f>STDEV(C110:E110)</f>
        <v>0.04266078052075791</v>
      </c>
      <c r="I110" s="172">
        <f>(B110*B4+C110*C4+D110*D4+E110*E4+F110*F4)/SUM(B4:F4)</f>
        <v>-0.2063909805011706</v>
      </c>
      <c r="K110" s="172">
        <f>EXP(AVERAGE(K103:K107))</f>
        <v>0.01991088937052196</v>
      </c>
    </row>
    <row r="111" spans="1:9" ht="12.75">
      <c r="A111" s="172" t="s">
        <v>169</v>
      </c>
      <c r="B111" s="172">
        <f>B71*10000/B62</f>
        <v>-0.013361933305016078</v>
      </c>
      <c r="C111" s="172">
        <f>C71*10000/C62</f>
        <v>-0.01728924338422691</v>
      </c>
      <c r="D111" s="172">
        <f>D71*10000/D62</f>
        <v>-0.019682720850659394</v>
      </c>
      <c r="E111" s="172">
        <f>E71*10000/E62</f>
        <v>-0.017178771595165086</v>
      </c>
      <c r="F111" s="172">
        <f>F71*10000/F62</f>
        <v>0.030509916019755768</v>
      </c>
      <c r="G111" s="172">
        <f>AVERAGE(C111:E111)</f>
        <v>-0.018050245276683797</v>
      </c>
      <c r="H111" s="172">
        <f>STDEV(C111:E111)</f>
        <v>0.0014148439414878263</v>
      </c>
      <c r="I111" s="172">
        <f>(B111*B4+C111*C4+D111*D4+E111*E4+F111*F4)/SUM(B4:F4)</f>
        <v>-0.01086906398078329</v>
      </c>
    </row>
    <row r="112" spans="1:9" ht="12.75">
      <c r="A112" s="172" t="s">
        <v>170</v>
      </c>
      <c r="B112" s="172">
        <f>B72*10000/B62</f>
        <v>-0.07925641934192403</v>
      </c>
      <c r="C112" s="172">
        <f>C72*10000/C62</f>
        <v>-0.003017810082745955</v>
      </c>
      <c r="D112" s="172">
        <f>D72*10000/D62</f>
        <v>-0.04521441745828703</v>
      </c>
      <c r="E112" s="172">
        <f>E72*10000/E62</f>
        <v>-0.03292214707862517</v>
      </c>
      <c r="F112" s="172">
        <f>F72*10000/F62</f>
        <v>-0.041587280334773824</v>
      </c>
      <c r="G112" s="172">
        <f>AVERAGE(C112:E112)</f>
        <v>-0.02705145820655272</v>
      </c>
      <c r="H112" s="172">
        <f>STDEV(C112:E112)</f>
        <v>0.02170223857983085</v>
      </c>
      <c r="I112" s="172">
        <f>(B112*B4+C112*C4+D112*D4+E112*E4+F112*F4)/SUM(B4:F4)</f>
        <v>-0.036533601026133455</v>
      </c>
    </row>
    <row r="113" spans="1:9" ht="12.75">
      <c r="A113" s="172" t="s">
        <v>171</v>
      </c>
      <c r="B113" s="172">
        <f>B73*10000/B62</f>
        <v>0.0076812493507918325</v>
      </c>
      <c r="C113" s="172">
        <f>C73*10000/C62</f>
        <v>0.03370371790967808</v>
      </c>
      <c r="D113" s="172">
        <f>D73*10000/D62</f>
        <v>0.015198562214507947</v>
      </c>
      <c r="E113" s="172">
        <f>E73*10000/E62</f>
        <v>0.012497886021021727</v>
      </c>
      <c r="F113" s="172">
        <f>F73*10000/F62</f>
        <v>-0.002163291451966604</v>
      </c>
      <c r="G113" s="172">
        <f>AVERAGE(C113:E113)</f>
        <v>0.020466722048402584</v>
      </c>
      <c r="H113" s="172">
        <f>STDEV(C113:E113)</f>
        <v>0.011542831435531071</v>
      </c>
      <c r="I113" s="172">
        <f>(B113*B4+C113*C4+D113*D4+E113*E4+F113*F4)/SUM(B4:F4)</f>
        <v>0.015591038007048818</v>
      </c>
    </row>
    <row r="114" spans="1:11" ht="12.75">
      <c r="A114" s="172" t="s">
        <v>172</v>
      </c>
      <c r="B114" s="172">
        <f>B74*10000/B62</f>
        <v>-0.17516558836818785</v>
      </c>
      <c r="C114" s="172">
        <f>C74*10000/C62</f>
        <v>-0.1502337286565671</v>
      </c>
      <c r="D114" s="172">
        <f>D74*10000/D62</f>
        <v>-0.16014394598947126</v>
      </c>
      <c r="E114" s="172">
        <f>E74*10000/E62</f>
        <v>-0.15956052942196441</v>
      </c>
      <c r="F114" s="172">
        <f>F74*10000/F62</f>
        <v>-0.13245756408736392</v>
      </c>
      <c r="G114" s="172">
        <f>AVERAGE(C114:E114)</f>
        <v>-0.1566460680226676</v>
      </c>
      <c r="H114" s="172">
        <f>STDEV(C114:E114)</f>
        <v>0.0055609051270756145</v>
      </c>
      <c r="I114" s="172">
        <f>(B114*B4+C114*C4+D114*D4+E114*E4+F114*F4)/SUM(B4:F4)</f>
        <v>-0.15607933132499305</v>
      </c>
      <c r="J114" s="172" t="s">
        <v>190</v>
      </c>
      <c r="K114" s="172">
        <v>285</v>
      </c>
    </row>
    <row r="115" spans="1:11" ht="12.75">
      <c r="A115" s="172" t="s">
        <v>173</v>
      </c>
      <c r="B115" s="172">
        <f>B75*10000/B62</f>
        <v>-0.0004638835916650623</v>
      </c>
      <c r="C115" s="172">
        <f>C75*10000/C62</f>
        <v>0.008310600291523985</v>
      </c>
      <c r="D115" s="172">
        <f>D75*10000/D62</f>
        <v>0.004212637881159696</v>
      </c>
      <c r="E115" s="172">
        <f>E75*10000/E62</f>
        <v>0.010297917714323798</v>
      </c>
      <c r="F115" s="172">
        <f>F75*10000/F62</f>
        <v>-0.003750485028399565</v>
      </c>
      <c r="G115" s="172">
        <f>AVERAGE(C115:E115)</f>
        <v>0.007607051962335827</v>
      </c>
      <c r="H115" s="172">
        <f>STDEV(C115:E115)</f>
        <v>0.00310304573775605</v>
      </c>
      <c r="I115" s="172">
        <f>(B115*B4+C115*C4+D115*D4+E115*E4+F115*F4)/SUM(B4:F4)</f>
        <v>0.004920417964584771</v>
      </c>
      <c r="J115" s="172" t="s">
        <v>191</v>
      </c>
      <c r="K115" s="172">
        <v>0.5536</v>
      </c>
    </row>
    <row r="118" ht="12.75">
      <c r="A118" s="172" t="s">
        <v>156</v>
      </c>
    </row>
    <row r="120" spans="2:9" ht="12.75">
      <c r="B120" s="172" t="s">
        <v>85</v>
      </c>
      <c r="C120" s="172" t="s">
        <v>86</v>
      </c>
      <c r="D120" s="172" t="s">
        <v>87</v>
      </c>
      <c r="E120" s="172" t="s">
        <v>88</v>
      </c>
      <c r="F120" s="172" t="s">
        <v>89</v>
      </c>
      <c r="G120" s="172" t="s">
        <v>158</v>
      </c>
      <c r="H120" s="172" t="s">
        <v>159</v>
      </c>
      <c r="I120" s="172" t="s">
        <v>154</v>
      </c>
    </row>
    <row r="121" spans="1:9" ht="12.75">
      <c r="A121" s="172" t="s">
        <v>174</v>
      </c>
      <c r="B121" s="172">
        <f>B81*10000/B62</f>
        <v>0</v>
      </c>
      <c r="C121" s="172">
        <f>C81*10000/C62</f>
        <v>0</v>
      </c>
      <c r="D121" s="172">
        <f>D81*10000/D62</f>
        <v>0</v>
      </c>
      <c r="E121" s="172">
        <f>E81*10000/E62</f>
        <v>0</v>
      </c>
      <c r="F121" s="172">
        <f>F81*10000/F62</f>
        <v>0</v>
      </c>
      <c r="G121" s="172">
        <f>AVERAGE(C121:E121)</f>
        <v>0</v>
      </c>
      <c r="H121" s="172">
        <f>STDEV(C121:E121)</f>
        <v>0</v>
      </c>
      <c r="I121" s="172">
        <f>(B121*B4+C121*C4+D121*D4+E121*E4+F121*F4)/SUM(B4:F4)</f>
        <v>0</v>
      </c>
    </row>
    <row r="122" spans="1:9" ht="12.75">
      <c r="A122" s="172" t="s">
        <v>175</v>
      </c>
      <c r="B122" s="172">
        <f>B82*10000/B62</f>
        <v>149.71682634777278</v>
      </c>
      <c r="C122" s="172">
        <f>C82*10000/C62</f>
        <v>68.18828181956262</v>
      </c>
      <c r="D122" s="172">
        <f>D82*10000/D62</f>
        <v>-10.484798997265953</v>
      </c>
      <c r="E122" s="172">
        <f>E82*10000/E62</f>
        <v>-81.8968958186129</v>
      </c>
      <c r="F122" s="172">
        <f>F82*10000/F62</f>
        <v>-117.39764031089499</v>
      </c>
      <c r="G122" s="172">
        <f>AVERAGE(C122:E122)</f>
        <v>-8.06447099877208</v>
      </c>
      <c r="H122" s="172">
        <f>STDEV(C122:E122)</f>
        <v>75.07185642693203</v>
      </c>
      <c r="I122" s="172">
        <f>(B122*B4+C122*C4+D122*D4+E122*E4+F122*F4)/SUM(B4:F4)</f>
        <v>0.08031132691396488</v>
      </c>
    </row>
    <row r="123" spans="1:9" ht="12.75">
      <c r="A123" s="172" t="s">
        <v>176</v>
      </c>
      <c r="B123" s="172">
        <f>B83*10000/B62</f>
        <v>4.016293889562668</v>
      </c>
      <c r="C123" s="172">
        <f>C83*10000/C62</f>
        <v>3.959860521719025</v>
      </c>
      <c r="D123" s="172">
        <f>D83*10000/D62</f>
        <v>5.0208409827552325</v>
      </c>
      <c r="E123" s="172">
        <f>E83*10000/E62</f>
        <v>4.299984972784232</v>
      </c>
      <c r="F123" s="172">
        <f>F83*10000/F62</f>
        <v>10.702162529868342</v>
      </c>
      <c r="G123" s="172">
        <f>AVERAGE(C123:E123)</f>
        <v>4.426895492419496</v>
      </c>
      <c r="H123" s="172">
        <f>STDEV(C123:E123)</f>
        <v>0.5417560287349988</v>
      </c>
      <c r="I123" s="172">
        <f>(B123*B4+C123*C4+D123*D4+E123*E4+F123*F4)/SUM(B4:F4)</f>
        <v>5.208123994203982</v>
      </c>
    </row>
    <row r="124" spans="1:9" ht="12.75">
      <c r="A124" s="172" t="s">
        <v>177</v>
      </c>
      <c r="B124" s="172">
        <f>B84*10000/B62</f>
        <v>1.16388353651156</v>
      </c>
      <c r="C124" s="172">
        <f>C84*10000/C62</f>
        <v>2.6507266016285236</v>
      </c>
      <c r="D124" s="172">
        <f>D84*10000/D62</f>
        <v>3.633587200022902</v>
      </c>
      <c r="E124" s="172">
        <f>E84*10000/E62</f>
        <v>2.7252973871454222</v>
      </c>
      <c r="F124" s="172">
        <f>F84*10000/F62</f>
        <v>-1.5080949449314887</v>
      </c>
      <c r="G124" s="172">
        <f>AVERAGE(C124:E124)</f>
        <v>3.0032037295989493</v>
      </c>
      <c r="H124" s="172">
        <f>STDEV(C124:E124)</f>
        <v>0.5471998632592698</v>
      </c>
      <c r="I124" s="172">
        <f>(B124*B4+C124*C4+D124*D4+E124*E4+F124*F4)/SUM(B4:F4)</f>
        <v>2.133388738418681</v>
      </c>
    </row>
    <row r="125" spans="1:9" ht="12.75">
      <c r="A125" s="172" t="s">
        <v>178</v>
      </c>
      <c r="B125" s="172">
        <f>B85*10000/B62</f>
        <v>0.9159933968972469</v>
      </c>
      <c r="C125" s="172">
        <f>C85*10000/C62</f>
        <v>1.872039349433429</v>
      </c>
      <c r="D125" s="172">
        <f>D85*10000/D62</f>
        <v>2.4204929188615756</v>
      </c>
      <c r="E125" s="172">
        <f>E85*10000/E62</f>
        <v>2.377756682100886</v>
      </c>
      <c r="F125" s="172">
        <f>F85*10000/F62</f>
        <v>0.4525556813728541</v>
      </c>
      <c r="G125" s="172">
        <f>AVERAGE(C125:E125)</f>
        <v>2.2234296501319637</v>
      </c>
      <c r="H125" s="172">
        <f>STDEV(C125:E125)</f>
        <v>0.3050622134120681</v>
      </c>
      <c r="I125" s="172">
        <f>(B125*B4+C125*C4+D125*D4+E125*E4+F125*F4)/SUM(B4:F4)</f>
        <v>1.7974395617380685</v>
      </c>
    </row>
    <row r="126" spans="1:9" ht="12.75">
      <c r="A126" s="172" t="s">
        <v>179</v>
      </c>
      <c r="B126" s="172">
        <f>B86*10000/B62</f>
        <v>0.05944045074222509</v>
      </c>
      <c r="C126" s="172">
        <f>C86*10000/C62</f>
        <v>-0.6107626547686097</v>
      </c>
      <c r="D126" s="172">
        <f>D86*10000/D62</f>
        <v>-0.2948887059994374</v>
      </c>
      <c r="E126" s="172">
        <f>E86*10000/E62</f>
        <v>-0.5153565664126438</v>
      </c>
      <c r="F126" s="172">
        <f>F86*10000/F62</f>
        <v>1.4390138909540913</v>
      </c>
      <c r="G126" s="172">
        <f>AVERAGE(C126:E126)</f>
        <v>-0.47366930906023025</v>
      </c>
      <c r="H126" s="172">
        <f>STDEV(C126:E126)</f>
        <v>0.16201067386728651</v>
      </c>
      <c r="I126" s="172">
        <f>(B126*B4+C126*C4+D126*D4+E126*E4+F126*F4)/SUM(B4:F4)</f>
        <v>-0.14051647726348396</v>
      </c>
    </row>
    <row r="127" spans="1:9" ht="12.75">
      <c r="A127" s="172" t="s">
        <v>180</v>
      </c>
      <c r="B127" s="172">
        <f>B87*10000/B62</f>
        <v>0.26462254538157265</v>
      </c>
      <c r="C127" s="172">
        <f>C87*10000/C62</f>
        <v>-0.7354003423891934</v>
      </c>
      <c r="D127" s="172">
        <f>D87*10000/D62</f>
        <v>-0.42548568675308823</v>
      </c>
      <c r="E127" s="172">
        <f>E87*10000/E62</f>
        <v>-0.4669231189595799</v>
      </c>
      <c r="F127" s="172">
        <f>F87*10000/F62</f>
        <v>0.16333143194466326</v>
      </c>
      <c r="G127" s="172">
        <f>AVERAGE(C127:E127)</f>
        <v>-0.5426030493672872</v>
      </c>
      <c r="H127" s="172">
        <f>STDEV(C127:E127)</f>
        <v>0.16824791928697946</v>
      </c>
      <c r="I127" s="172">
        <f>(B127*B4+C127*C4+D127*D4+E127*E4+F127*F4)/SUM(B4:F4)</f>
        <v>-0.33152194518733635</v>
      </c>
    </row>
    <row r="128" spans="1:9" ht="12.75">
      <c r="A128" s="172" t="s">
        <v>181</v>
      </c>
      <c r="B128" s="172">
        <f>B88*10000/B62</f>
        <v>0.09738054027959626</v>
      </c>
      <c r="C128" s="172">
        <f>C88*10000/C62</f>
        <v>-0.20613693161181823</v>
      </c>
      <c r="D128" s="172">
        <f>D88*10000/D62</f>
        <v>0.072254974582041</v>
      </c>
      <c r="E128" s="172">
        <f>E88*10000/E62</f>
        <v>0.06703266661836581</v>
      </c>
      <c r="F128" s="172">
        <f>F88*10000/F62</f>
        <v>-0.2760484273802651</v>
      </c>
      <c r="G128" s="172">
        <f>AVERAGE(C128:E128)</f>
        <v>-0.022283096803803807</v>
      </c>
      <c r="H128" s="172">
        <f>STDEV(C128:E128)</f>
        <v>0.15924350082601912</v>
      </c>
      <c r="I128" s="172">
        <f>(B128*B4+C128*C4+D128*D4+E128*E4+F128*F4)/SUM(B4:F4)</f>
        <v>-0.03901436784147262</v>
      </c>
    </row>
    <row r="129" spans="1:9" ht="12.75">
      <c r="A129" s="172" t="s">
        <v>182</v>
      </c>
      <c r="B129" s="172">
        <f>B89*10000/B62</f>
        <v>0.10761638380097109</v>
      </c>
      <c r="C129" s="172">
        <f>C89*10000/C62</f>
        <v>-0.06363339996417453</v>
      </c>
      <c r="D129" s="172">
        <f>D89*10000/D62</f>
        <v>-0.054565329708358555</v>
      </c>
      <c r="E129" s="172">
        <f>E89*10000/E62</f>
        <v>-0.09700554181322758</v>
      </c>
      <c r="F129" s="172">
        <f>F89*10000/F62</f>
        <v>-0.05255224189615915</v>
      </c>
      <c r="G129" s="172">
        <f>AVERAGE(C129:E129)</f>
        <v>-0.07173475716192022</v>
      </c>
      <c r="H129" s="172">
        <f>STDEV(C129:E129)</f>
        <v>0.022349874545747866</v>
      </c>
      <c r="I129" s="172">
        <f>(B129*B4+C129*C4+D129*D4+E129*E4+F129*F4)/SUM(B4:F4)</f>
        <v>-0.043269471701446016</v>
      </c>
    </row>
    <row r="130" spans="1:9" ht="12.75">
      <c r="A130" s="172" t="s">
        <v>183</v>
      </c>
      <c r="B130" s="172">
        <f>B90*10000/B62</f>
        <v>-0.09548805882273034</v>
      </c>
      <c r="C130" s="172">
        <f>C90*10000/C62</f>
        <v>-0.09252623049695308</v>
      </c>
      <c r="D130" s="172">
        <f>D90*10000/D62</f>
        <v>-0.02982107429265491</v>
      </c>
      <c r="E130" s="172">
        <f>E90*10000/E62</f>
        <v>-0.005383752300135656</v>
      </c>
      <c r="F130" s="172">
        <f>F90*10000/F62</f>
        <v>0.2196125871053089</v>
      </c>
      <c r="G130" s="172">
        <f>AVERAGE(C130:E130)</f>
        <v>-0.042577019029914544</v>
      </c>
      <c r="H130" s="172">
        <f>STDEV(C130:E130)</f>
        <v>0.044949843950515746</v>
      </c>
      <c r="I130" s="172">
        <f>(B130*B4+C130*C4+D130*D4+E130*E4+F130*F4)/SUM(B4:F4)</f>
        <v>-0.015103039931601907</v>
      </c>
    </row>
    <row r="131" spans="1:9" ht="12.75">
      <c r="A131" s="172" t="s">
        <v>184</v>
      </c>
      <c r="B131" s="172">
        <f>B91*10000/B62</f>
        <v>0.08563075169649331</v>
      </c>
      <c r="C131" s="172">
        <f>C91*10000/C62</f>
        <v>-0.06956613195478625</v>
      </c>
      <c r="D131" s="172">
        <f>D91*10000/D62</f>
        <v>-0.06398365694628019</v>
      </c>
      <c r="E131" s="172">
        <f>E91*10000/E62</f>
        <v>-0.057675264951092264</v>
      </c>
      <c r="F131" s="172">
        <f>F91*10000/F62</f>
        <v>-0.031211461912298483</v>
      </c>
      <c r="G131" s="172">
        <f>AVERAGE(C131:E131)</f>
        <v>-0.06374168461738623</v>
      </c>
      <c r="H131" s="172">
        <f>STDEV(C131:E131)</f>
        <v>0.005949125354272439</v>
      </c>
      <c r="I131" s="172">
        <f>(B131*B4+C131*C4+D131*D4+E131*E4+F131*F4)/SUM(B4:F4)</f>
        <v>-0.037819626408064765</v>
      </c>
    </row>
    <row r="132" spans="1:9" ht="12.75">
      <c r="A132" s="172" t="s">
        <v>185</v>
      </c>
      <c r="B132" s="172">
        <f>B92*10000/B62</f>
        <v>-0.002863550474702892</v>
      </c>
      <c r="C132" s="172">
        <f>C92*10000/C62</f>
        <v>-0.05197321497188601</v>
      </c>
      <c r="D132" s="172">
        <f>D92*10000/D62</f>
        <v>-0.01679093393602591</v>
      </c>
      <c r="E132" s="172">
        <f>E92*10000/E62</f>
        <v>-0.009976419656531831</v>
      </c>
      <c r="F132" s="172">
        <f>F92*10000/F62</f>
        <v>-0.011355110934993062</v>
      </c>
      <c r="G132" s="172">
        <f>AVERAGE(C132:E132)</f>
        <v>-0.026246856188147916</v>
      </c>
      <c r="H132" s="172">
        <f>STDEV(C132:E132)</f>
        <v>0.022538712328315714</v>
      </c>
      <c r="I132" s="172">
        <f>(B132*B4+C132*C4+D132*D4+E132*E4+F132*F4)/SUM(B4:F4)</f>
        <v>-0.020878933257834995</v>
      </c>
    </row>
    <row r="133" spans="1:9" ht="12.75">
      <c r="A133" s="172" t="s">
        <v>186</v>
      </c>
      <c r="B133" s="172">
        <f>B93*10000/B62</f>
        <v>-0.0637975210402693</v>
      </c>
      <c r="C133" s="172">
        <f>C93*10000/C62</f>
        <v>-0.0806318629968419</v>
      </c>
      <c r="D133" s="172">
        <f>D93*10000/D62</f>
        <v>-0.09056247334115869</v>
      </c>
      <c r="E133" s="172">
        <f>E93*10000/E62</f>
        <v>-0.09152703274431524</v>
      </c>
      <c r="F133" s="172">
        <f>F93*10000/F62</f>
        <v>-0.07875335790418724</v>
      </c>
      <c r="G133" s="172">
        <f>AVERAGE(C133:E133)</f>
        <v>-0.08757378969410527</v>
      </c>
      <c r="H133" s="172">
        <f>STDEV(C133:E133)</f>
        <v>0.00603119833973227</v>
      </c>
      <c r="I133" s="172">
        <f>(B133*B4+C133*C4+D133*D4+E133*E4+F133*F4)/SUM(B4:F4)</f>
        <v>-0.08295896049987131</v>
      </c>
    </row>
    <row r="134" spans="1:9" ht="12.75">
      <c r="A134" s="172" t="s">
        <v>187</v>
      </c>
      <c r="B134" s="172">
        <f>B94*10000/B62</f>
        <v>-0.02530322733725004</v>
      </c>
      <c r="C134" s="172">
        <f>C94*10000/C62</f>
        <v>0.0037355329771329767</v>
      </c>
      <c r="D134" s="172">
        <f>D94*10000/D62</f>
        <v>0.004514190598313055</v>
      </c>
      <c r="E134" s="172">
        <f>E94*10000/E62</f>
        <v>0.012694210260334024</v>
      </c>
      <c r="F134" s="172">
        <f>F94*10000/F62</f>
        <v>-0.008590340348936458</v>
      </c>
      <c r="G134" s="172">
        <f>AVERAGE(C134:E134)</f>
        <v>0.006981311278593351</v>
      </c>
      <c r="H134" s="172">
        <f>STDEV(C134:E134)</f>
        <v>0.004962810494511721</v>
      </c>
      <c r="I134" s="172">
        <f>(B134*B4+C134*C4+D134*D4+E134*E4+F134*F4)/SUM(B4:F4)</f>
        <v>0.00023394505236489977</v>
      </c>
    </row>
    <row r="135" spans="1:9" ht="12.75">
      <c r="A135" s="172" t="s">
        <v>188</v>
      </c>
      <c r="B135" s="172">
        <f>B95*10000/B62</f>
        <v>0.0003589282760622001</v>
      </c>
      <c r="C135" s="172">
        <f>C95*10000/C62</f>
        <v>0.0032092873493987993</v>
      </c>
      <c r="D135" s="172">
        <f>D95*10000/D62</f>
        <v>0.0021272563037884177</v>
      </c>
      <c r="E135" s="172">
        <f>E95*10000/E62</f>
        <v>0.003372903451445263</v>
      </c>
      <c r="F135" s="172">
        <f>F95*10000/F62</f>
        <v>0.008828269820852677</v>
      </c>
      <c r="G135" s="172">
        <f>AVERAGE(C135:E135)</f>
        <v>0.0029031490348774935</v>
      </c>
      <c r="H135" s="172">
        <f>STDEV(C135:E135)</f>
        <v>0.000676904502001479</v>
      </c>
      <c r="I135" s="172">
        <f>(B135*B4+C135*C4+D135*D4+E135*E4+F135*F4)/SUM(B4:F4)</f>
        <v>0.003329448289776809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2003-10-20T06:59:53Z</cp:lastPrinted>
  <dcterms:created xsi:type="dcterms:W3CDTF">1999-06-17T15:15:05Z</dcterms:created>
  <dcterms:modified xsi:type="dcterms:W3CDTF">2003-10-21T06:58:57Z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495454893</vt:i4>
  </property>
  <property fmtid="{D5CDD505-2E9C-101B-9397-08002B2CF9AE}" pid="3" name="_EmailSubject">
    <vt:lpwstr>WFM result of aperture 111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