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7"/>
  </bookViews>
  <sheets>
    <sheet name="Sommaire" sheetId="1" r:id="rId1"/>
    <sheet name="HCMQAP113_pos1ap2" sheetId="2" r:id="rId2"/>
    <sheet name="HCMQAP113_pos2ap2" sheetId="3" r:id="rId3"/>
    <sheet name="HCMQAP113_pos3ap2" sheetId="4" r:id="rId4"/>
    <sheet name="HCMQAP113_pos4ap2" sheetId="5" r:id="rId5"/>
    <sheet name="HCMQAP113_pos5ap2" sheetId="6" r:id="rId6"/>
    <sheet name="Lmag_hcmqap" sheetId="7" r:id="rId7"/>
    <sheet name="Result_HCMQAP" sheetId="8" r:id="rId8"/>
  </sheets>
  <definedNames>
    <definedName name="_xlnm.Print_Area" localSheetId="1">'HCMQAP113_pos1ap2'!$A$1:$N$28</definedName>
    <definedName name="_xlnm.Print_Area" localSheetId="2">'HCMQAP113_pos2ap2'!$A$1:$N$28</definedName>
    <definedName name="_xlnm.Print_Area" localSheetId="3">'HCMQAP113_pos3ap2'!$A$1:$N$28</definedName>
    <definedName name="_xlnm.Print_Area" localSheetId="4">'HCMQAP113_pos4ap2'!$A$1:$N$28</definedName>
    <definedName name="_xlnm.Print_Area" localSheetId="5">'HCMQAP113_pos5ap2'!$A$1:$N$28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<sst xmlns="http://schemas.openxmlformats.org/spreadsheetml/2006/main" count="510" uniqueCount="192">
  <si>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</si>
  <si>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</si>
  <si>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</si>
  <si>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</si>
  <si>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</si>
  <si>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</si>
  <si>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</si>
  <si>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</si>
  <si>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</si>
  <si>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</si>
  <si>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</si>
  <si>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</si>
  <si>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</si>
  <si>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</si>
  <si>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</si>
  <si>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hcmqap113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</si>
  <si>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</si>
  <si>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</si>
  <si>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</si>
  <si>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</si>
  <si>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</si>
  <si>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</si>
  <si>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</si>
  <si>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</si>
  <si>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</si>
  <si>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</si>
  <si>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</si>
  <si>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</si>
  <si>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</si>
  <si>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</si>
  <si>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</si>
  <si>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</si>
  <si>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</si>
  <si>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</si>
  <si>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</si>
  <si>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</si>
  <si>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</si>
  <si>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</si>
  <si>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</si>
  <si>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</si>
  <si>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</si>
  <si>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</si>
  <si>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</si>
  <si>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</si>
  <si>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</si>
  <si>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</si>
  <si>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</si>
  <si>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</si>
  <si>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</si>
  <si>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</si>
  <si>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</si>
  <si>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</si>
  <si>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</si>
  <si>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</si>
  <si>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</si>
  <si>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</si>
  <si>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</si>
  <si>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</si>
  <si>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</si>
  <si>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-2.262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</si>
  <si>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</si>
  <si>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</si>
  <si>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</si>
  <si>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</si>
  <si>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</si>
  <si>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</si>
  <si>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</si>
  <si>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</si>
  <si>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HCMQAP113_pos1ap2</t>
  </si>
  <si>
    <t>23/10/2003</t>
  </si>
  <si>
    <t>±12.5</t>
  </si>
  <si>
    <t>THCMQAP113_pos1ap2.xls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</si>
  <si>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-3.764 mT)</t>
    </r>
  </si>
  <si>
    <t>HCMQAP113_pos2ap2</t>
  </si>
  <si>
    <t>THCMQAP113_pos2ap2.xls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</si>
  <si>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-3.761 mT)</t>
    </r>
  </si>
  <si>
    <t>HCMQAP113_pos3ap2</t>
  </si>
  <si>
    <t>THCMQAP113_pos3ap2.xls</t>
  </si>
  <si>
    <t>HCMQAP113_pos4ap2</t>
  </si>
  <si>
    <t>THCMQAP113_pos4ap2.xls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</si>
  <si>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 mT)</t>
    </r>
  </si>
  <si>
    <t>HCMQAP113_pos5ap2</t>
  </si>
  <si>
    <t>THCMQAP113_pos5ap2.xls</t>
  </si>
  <si>
    <t>Sommaire : Valeurs intégrales calculées avec les fichiers: HCMQAP113_pos1ap2+HCMQAP113_pos2ap2+HCMQAP113_pos3ap2+HCMQAP113_pos4ap2+HCMQAP113_pos5ap2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</si>
  <si>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</si>
  <si>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</si>
  <si>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</si>
  <si>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</si>
  <si>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</si>
  <si>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</si>
  <si>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</si>
  <si>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</si>
  <si>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</si>
  <si>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</si>
  <si>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</si>
  <si>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</si>
  <si>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</si>
  <si>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</si>
  <si>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</si>
  <si>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</si>
  <si>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</si>
  <si>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</si>
  <si>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</si>
  <si>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</si>
  <si>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</si>
  <si>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</si>
  <si>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</si>
  <si>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</si>
  <si>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</si>
  <si>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</si>
  <si>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</si>
  <si>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</si>
  <si>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</si>
  <si>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</si>
  <si>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</si>
  <si>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</si>
  <si>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</si>
  <si>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</si>
  <si>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</si>
  <si>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</si>
  <si>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</si>
  <si>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</si>
  <si>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</si>
  <si>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</si>
  <si>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</si>
  <si>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</si>
  <si>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</si>
  <si>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=-3.762</t>
    </r>
  </si>
  <si>
    <t>Gradient (T/m)</t>
  </si>
  <si>
    <t xml:space="preserve"> Thu 23/10/2003       07:52:55</t>
  </si>
  <si>
    <t>LISSNER</t>
  </si>
  <si>
    <t>HCMQAP113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</si>
  <si>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</si>
  <si>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</si>
  <si>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</si>
  <si>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</si>
  <si>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</si>
  <si>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</si>
  <si>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</si>
  <si>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</si>
  <si>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</si>
  <si>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b13*</t>
  </si>
  <si>
    <t>a1</t>
  </si>
  <si>
    <t>a2</t>
  </si>
  <si>
    <t>a4*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</si>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</sst>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13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/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/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/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/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/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/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/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/>
            </c:numRef>
          </c:val>
          <c:smooth val="0"/>
        </c:ser>
        <c:marker val="1"/>
        <c:axId val="19051033"/>
        <c:axId val="37241570"/>
      </c:lineChart>
      <c:catAx>
        <c:axId val="190510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7241570"/>
        <c:crosses val="autoZero"/>
        <c:auto val="1"/>
        <c:lblOffset val="100"/>
        <c:noMultiLvlLbl val="0"/>
      </c:catAx>
      <c:valAx>
        <c:axId val="37241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905103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2437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2437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2437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2437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81</v>
      </c>
      <c r="H6" s="25">
        <v>2437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-1.1838003E-05</v>
      </c>
      <c r="L2" s="55">
        <v>5.139656542182205E-07</v>
      </c>
      <c r="M2" s="55">
        <v>0.00012302992</v>
      </c>
      <c r="N2" s="56">
        <v>1.885210322606333E-07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-3.1642427E-05</v>
      </c>
      <c r="L3" s="55">
        <v>4.3234993067662955E-07</v>
      </c>
      <c r="M3" s="55">
        <v>1.391538E-05</v>
      </c>
      <c r="N3" s="56">
        <v>2.339412952003422E-07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-0.002261533996967231</v>
      </c>
      <c r="L4" s="55">
        <v>1.1765225649398626E-05</v>
      </c>
      <c r="M4" s="55">
        <v>5.248847606523527E-08</v>
      </c>
      <c r="N4" s="56">
        <v>-2.601137</v>
      </c>
    </row>
    <row r="5" spans="1:14" ht="15" customHeight="1" thickBot="1">
      <c r="A5" t="s">
        <v>18</v>
      </c>
      <c r="B5" s="59">
        <v>37917.30645833333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2437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-1.9807498</v>
      </c>
      <c r="E8" s="78">
        <v>0.02720160735801986</v>
      </c>
      <c r="F8" s="78">
        <v>1.5254934</v>
      </c>
      <c r="G8" s="78">
        <v>0.03055872300080404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-0.5026147</v>
      </c>
      <c r="E9" s="80">
        <v>0.03595214182699043</v>
      </c>
      <c r="F9" s="80">
        <v>-0.0390476</v>
      </c>
      <c r="G9" s="80">
        <v>0.029819510192009527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1.5345637</v>
      </c>
      <c r="E10" s="80">
        <v>0.004336781636130146</v>
      </c>
      <c r="F10" s="84">
        <v>-2.3312657000000003</v>
      </c>
      <c r="G10" s="80">
        <v>0.015515305361483468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4.4212655000000005</v>
      </c>
      <c r="E11" s="78">
        <v>0.008237136462200097</v>
      </c>
      <c r="F11" s="78">
        <v>0.8794625</v>
      </c>
      <c r="G11" s="78">
        <v>0.016194927987091347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0.21921879</v>
      </c>
      <c r="E12" s="80">
        <v>0.005587051403145797</v>
      </c>
      <c r="F12" s="80">
        <v>0.0915069598</v>
      </c>
      <c r="G12" s="80">
        <v>0.009295039446732746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17.312623</v>
      </c>
      <c r="D13" s="83">
        <v>0.3530288199999999</v>
      </c>
      <c r="E13" s="80">
        <v>0.005869596947887082</v>
      </c>
      <c r="F13" s="80">
        <v>0.34883967</v>
      </c>
      <c r="G13" s="80">
        <v>0.0046052650896096035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0.17976694</v>
      </c>
      <c r="E14" s="80">
        <v>0.0035574051175541422</v>
      </c>
      <c r="F14" s="84">
        <v>0.45758092</v>
      </c>
      <c r="G14" s="80">
        <v>0.005172516901332706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-0.38393101</v>
      </c>
      <c r="E15" s="78">
        <v>0.0054885718198269</v>
      </c>
      <c r="F15" s="78">
        <v>0.10713276899999999</v>
      </c>
      <c r="G15" s="78">
        <v>0.0011193894735723109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0.06774504599999999</v>
      </c>
      <c r="E16" s="80">
        <v>0.0047334521612957875</v>
      </c>
      <c r="F16" s="80">
        <v>-0.038957450000000005</v>
      </c>
      <c r="G16" s="80">
        <v>0.002086408560356734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0.1340000033378601</v>
      </c>
      <c r="D17" s="87">
        <v>0.1697708</v>
      </c>
      <c r="E17" s="80">
        <v>0.0017778550840815452</v>
      </c>
      <c r="F17" s="80">
        <v>0.070872132</v>
      </c>
      <c r="G17" s="80">
        <v>0.003473225945073894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202.43299865722656</v>
      </c>
      <c r="D18" s="83">
        <v>-0.007699261900000001</v>
      </c>
      <c r="E18" s="80">
        <v>0.001139234516112999</v>
      </c>
      <c r="F18" s="84">
        <v>0.19724509999999998</v>
      </c>
      <c r="G18" s="80">
        <v>0.0017899459173416894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-0.3240000009536743</v>
      </c>
      <c r="D19" s="87">
        <v>-0.18787034</v>
      </c>
      <c r="E19" s="80">
        <v>0.0008659429735212516</v>
      </c>
      <c r="F19" s="80">
        <v>0.009727468</v>
      </c>
      <c r="G19" s="80">
        <v>0.0023109497078071597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-0.08415969999999999</v>
      </c>
      <c r="D20" s="89">
        <v>-0.00408836745</v>
      </c>
      <c r="E20" s="90">
        <v>0.0009633613365275573</v>
      </c>
      <c r="F20" s="90">
        <v>-0.005346423500000001</v>
      </c>
      <c r="G20" s="90">
        <v>0.00042355749680875383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0.9252615000000001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-0.14903429791920653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-2.2615646</v>
      </c>
      <c r="I25" s="102" t="s">
        <v>49</v>
      </c>
      <c r="J25" s="103"/>
      <c r="K25" s="102"/>
      <c r="L25" s="105">
        <v>4.507886745515742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2.5000999747297303</v>
      </c>
      <c r="I26" s="107" t="s">
        <v>53</v>
      </c>
      <c r="J26" s="108"/>
      <c r="K26" s="107"/>
      <c r="L26" s="110">
        <v>0.3985981066603647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HCMQAP113_pos1ap2res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5.3069133E-05</v>
      </c>
      <c r="L2" s="55">
        <v>6.85720488483991E-07</v>
      </c>
      <c r="M2" s="55">
        <v>9.3029696E-05</v>
      </c>
      <c r="N2" s="56">
        <v>2.896688293090227E-07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-2.8456242999999998E-05</v>
      </c>
      <c r="L3" s="55">
        <v>1.2445674327235188E-07</v>
      </c>
      <c r="M3" s="55">
        <v>1.2801423999999998E-05</v>
      </c>
      <c r="N3" s="56">
        <v>1.765800161797209E-07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-0.0037635704313300623</v>
      </c>
      <c r="L4" s="55">
        <v>-8.91919161382365E-06</v>
      </c>
      <c r="M4" s="55">
        <v>5.746739511613778E-08</v>
      </c>
      <c r="N4" s="56">
        <v>1.1849353</v>
      </c>
    </row>
    <row r="5" spans="1:14" ht="15" customHeight="1" thickBot="1">
      <c r="A5" t="s">
        <v>18</v>
      </c>
      <c r="B5" s="59">
        <v>37917.311215277776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2437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1.04304709</v>
      </c>
      <c r="E8" s="78">
        <v>0.01587867794567578</v>
      </c>
      <c r="F8" s="78">
        <v>1.4059751999999999</v>
      </c>
      <c r="G8" s="78">
        <v>0.015397958486764606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0.21266314399999997</v>
      </c>
      <c r="E9" s="80">
        <v>0.04742433472502945</v>
      </c>
      <c r="F9" s="84">
        <v>-3.3887923</v>
      </c>
      <c r="G9" s="80">
        <v>0.03726782838396598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-0.9348558200000001</v>
      </c>
      <c r="E10" s="80">
        <v>0.01320136934766528</v>
      </c>
      <c r="F10" s="80">
        <v>-0.90441825</v>
      </c>
      <c r="G10" s="80">
        <v>0.009080786311212074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4.500507000000001</v>
      </c>
      <c r="E11" s="78">
        <v>0.006836230152541489</v>
      </c>
      <c r="F11" s="78">
        <v>0.48488903000000005</v>
      </c>
      <c r="G11" s="78">
        <v>0.009793063979293927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-0.12940955999999998</v>
      </c>
      <c r="E12" s="80">
        <v>0.004900058298571592</v>
      </c>
      <c r="F12" s="80">
        <v>0.096988314</v>
      </c>
      <c r="G12" s="80">
        <v>0.0062797341600327105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17.501832</v>
      </c>
      <c r="D13" s="83">
        <v>-0.11065905599999999</v>
      </c>
      <c r="E13" s="80">
        <v>0.0018721949480213285</v>
      </c>
      <c r="F13" s="80">
        <v>-0.16590015</v>
      </c>
      <c r="G13" s="80">
        <v>0.004155623840892986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0.026345214</v>
      </c>
      <c r="E14" s="80">
        <v>0.0013356755199950142</v>
      </c>
      <c r="F14" s="80">
        <v>0.061601512000000004</v>
      </c>
      <c r="G14" s="80">
        <v>0.0031777353515618292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-0.098733762</v>
      </c>
      <c r="E15" s="78">
        <v>0.0025195497443641396</v>
      </c>
      <c r="F15" s="78">
        <v>0.062042948</v>
      </c>
      <c r="G15" s="78">
        <v>0.003119939230215158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-0.0146497129</v>
      </c>
      <c r="E16" s="80">
        <v>0.0022961514691972784</v>
      </c>
      <c r="F16" s="80">
        <v>-0.00479744416</v>
      </c>
      <c r="G16" s="80">
        <v>0.0024511902312396366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0.43700000643730164</v>
      </c>
      <c r="D17" s="83">
        <v>0.0107817938</v>
      </c>
      <c r="E17" s="80">
        <v>0.0021093568109892295</v>
      </c>
      <c r="F17" s="80">
        <v>-0.03999881500000001</v>
      </c>
      <c r="G17" s="80">
        <v>0.001725860321228243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-14.241999626159668</v>
      </c>
      <c r="D18" s="83">
        <v>0.048159267000000006</v>
      </c>
      <c r="E18" s="80">
        <v>0.002121375538011965</v>
      </c>
      <c r="F18" s="80">
        <v>0.081849742</v>
      </c>
      <c r="G18" s="80">
        <v>0.0011545212044064845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-0.09600000083446503</v>
      </c>
      <c r="D19" s="87">
        <v>-0.18012968</v>
      </c>
      <c r="E19" s="80">
        <v>0.00026760881825658084</v>
      </c>
      <c r="F19" s="80">
        <v>0.000856879445</v>
      </c>
      <c r="G19" s="80">
        <v>0.0013201789106849686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0.23871889999999998</v>
      </c>
      <c r="D20" s="89">
        <v>-0.0015887506709999998</v>
      </c>
      <c r="E20" s="90">
        <v>0.0009285305014907635</v>
      </c>
      <c r="F20" s="90">
        <v>-0.0016972867160000003</v>
      </c>
      <c r="G20" s="90">
        <v>0.0011267957022811012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0.42077299999999995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0.06789184903185966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-3.763581</v>
      </c>
      <c r="I25" s="102" t="s">
        <v>49</v>
      </c>
      <c r="J25" s="103"/>
      <c r="K25" s="102"/>
      <c r="L25" s="105">
        <v>4.526552841673601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1.7506323129008294</v>
      </c>
      <c r="I26" s="107" t="s">
        <v>53</v>
      </c>
      <c r="J26" s="108"/>
      <c r="K26" s="107"/>
      <c r="L26" s="110">
        <v>0.11660910408370072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HCMQAP113_pos2ap2res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1.5856809999999998E-06</v>
      </c>
      <c r="L2" s="55">
        <v>1.101062076996567E-07</v>
      </c>
      <c r="M2" s="55">
        <v>0.00013240303</v>
      </c>
      <c r="N2" s="56">
        <v>2.0135675205691166E-07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-2.7478693E-05</v>
      </c>
      <c r="L3" s="55">
        <v>6.276396486806985E-08</v>
      </c>
      <c r="M3" s="55">
        <v>1.097491E-05</v>
      </c>
      <c r="N3" s="56">
        <v>1.559866225033393E-07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-0.003761236720019778</v>
      </c>
      <c r="L4" s="55">
        <v>-3.1124918716583605E-05</v>
      </c>
      <c r="M4" s="55">
        <v>5.3016963973593966E-08</v>
      </c>
      <c r="N4" s="56">
        <v>4.1374966</v>
      </c>
    </row>
    <row r="5" spans="1:14" ht="15" customHeight="1" thickBot="1">
      <c r="A5" t="s">
        <v>18</v>
      </c>
      <c r="B5" s="59">
        <v>37917.315775462965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2437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0.5095123100000001</v>
      </c>
      <c r="E8" s="78">
        <v>0.00840604665698061</v>
      </c>
      <c r="F8" s="78">
        <v>1.09787012</v>
      </c>
      <c r="G8" s="78">
        <v>0.00965822407632573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0.10268181300000001</v>
      </c>
      <c r="E9" s="80">
        <v>0.013061845711876695</v>
      </c>
      <c r="F9" s="80">
        <v>-2.1855846</v>
      </c>
      <c r="G9" s="80">
        <v>0.0424729561749514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-0.8796717900000001</v>
      </c>
      <c r="E10" s="80">
        <v>0.007273874611522426</v>
      </c>
      <c r="F10" s="80">
        <v>-1.4936166</v>
      </c>
      <c r="G10" s="80">
        <v>0.008333638997473133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4.7434131</v>
      </c>
      <c r="E11" s="78">
        <v>0.005431840990605609</v>
      </c>
      <c r="F11" s="78">
        <v>-0.33808594</v>
      </c>
      <c r="G11" s="78">
        <v>0.0067760277415607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-0.08064180400000001</v>
      </c>
      <c r="E12" s="80">
        <v>0.006334297907856505</v>
      </c>
      <c r="F12" s="80">
        <v>-0.26646175000000005</v>
      </c>
      <c r="G12" s="80">
        <v>0.0033978317951277926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17.687989</v>
      </c>
      <c r="D13" s="83">
        <v>0.070660821</v>
      </c>
      <c r="E13" s="80">
        <v>0.005108555047971393</v>
      </c>
      <c r="F13" s="80">
        <v>-0.29468107</v>
      </c>
      <c r="G13" s="80">
        <v>0.004714603168624072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0.048805837000000005</v>
      </c>
      <c r="E14" s="80">
        <v>0.002555521037590187</v>
      </c>
      <c r="F14" s="80">
        <v>0.086450959</v>
      </c>
      <c r="G14" s="80">
        <v>0.0026921124454439057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-0.06331350599999999</v>
      </c>
      <c r="E15" s="78">
        <v>0.0014968747195188191</v>
      </c>
      <c r="F15" s="78">
        <v>0.06632421399999999</v>
      </c>
      <c r="G15" s="78">
        <v>0.00301270397016944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-0.0048425505</v>
      </c>
      <c r="E16" s="80">
        <v>0.0021291773054342143</v>
      </c>
      <c r="F16" s="80">
        <v>-0.031546251000000004</v>
      </c>
      <c r="G16" s="80">
        <v>0.0011734910840155096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-0.07100000232458115</v>
      </c>
      <c r="D17" s="83">
        <v>0.069168672</v>
      </c>
      <c r="E17" s="80">
        <v>0.001188106944486253</v>
      </c>
      <c r="F17" s="80">
        <v>-0.0246870301</v>
      </c>
      <c r="G17" s="80">
        <v>0.0019707370818025315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171.91600036621094</v>
      </c>
      <c r="D18" s="83">
        <v>0.007608851800000001</v>
      </c>
      <c r="E18" s="80">
        <v>0.0015791377241603556</v>
      </c>
      <c r="F18" s="80">
        <v>0.11609088999999999</v>
      </c>
      <c r="G18" s="80">
        <v>0.0009226227795810289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-0.40299999713897705</v>
      </c>
      <c r="D19" s="87">
        <v>-0.17693046</v>
      </c>
      <c r="E19" s="80">
        <v>0.0009227988190304602</v>
      </c>
      <c r="F19" s="80">
        <v>0.0037229676000000004</v>
      </c>
      <c r="G19" s="80">
        <v>0.0013911072189247806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0.0022279999999999995</v>
      </c>
      <c r="D20" s="89">
        <v>-0.0036454327000000003</v>
      </c>
      <c r="E20" s="90">
        <v>0.0005510396902788012</v>
      </c>
      <c r="F20" s="90">
        <v>0.0018334916</v>
      </c>
      <c r="G20" s="90">
        <v>0.0013266451601070045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0.5984539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0.2370612931668359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-3.7613655</v>
      </c>
      <c r="I25" s="102" t="s">
        <v>49</v>
      </c>
      <c r="J25" s="103"/>
      <c r="K25" s="102"/>
      <c r="L25" s="105">
        <v>4.7554463449898465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1.2103394542153663</v>
      </c>
      <c r="I26" s="107" t="s">
        <v>53</v>
      </c>
      <c r="J26" s="108"/>
      <c r="K26" s="107"/>
      <c r="L26" s="110">
        <v>0.09169242828461809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HCMQAP113_pos3ap2res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7.6948035E-05</v>
      </c>
      <c r="L2" s="55">
        <v>4.0125567151187376E-07</v>
      </c>
      <c r="M2" s="55">
        <v>9.005407799999999E-05</v>
      </c>
      <c r="N2" s="56">
        <v>5.620888184149863E-07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-2.8189465E-05</v>
      </c>
      <c r="L3" s="55">
        <v>1.0803884634765756E-07</v>
      </c>
      <c r="M3" s="55">
        <v>1.0191619999999999E-05</v>
      </c>
      <c r="N3" s="56">
        <v>2.0573761714860327E-07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-0.0037611757247835655</v>
      </c>
      <c r="L4" s="55">
        <v>-3.94490922782484E-05</v>
      </c>
      <c r="M4" s="55">
        <v>6.930687411625736E-08</v>
      </c>
      <c r="N4" s="56">
        <v>5.2440578</v>
      </c>
    </row>
    <row r="5" spans="1:14" ht="15" customHeight="1" thickBot="1">
      <c r="A5" t="s">
        <v>18</v>
      </c>
      <c r="B5" s="59">
        <v>37917.320335648146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2437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1.04848976</v>
      </c>
      <c r="E8" s="78">
        <v>0.010709448633159584</v>
      </c>
      <c r="F8" s="78">
        <v>0.90799337</v>
      </c>
      <c r="G8" s="78">
        <v>0.008876472915178875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0.16058567099999999</v>
      </c>
      <c r="E9" s="80">
        <v>0.031010847050853944</v>
      </c>
      <c r="F9" s="84">
        <v>-3.8803019</v>
      </c>
      <c r="G9" s="80">
        <v>0.025163718861460543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-1.1852266999999999</v>
      </c>
      <c r="E10" s="80">
        <v>0.006175099543255336</v>
      </c>
      <c r="F10" s="80">
        <v>-1.3879404000000002</v>
      </c>
      <c r="G10" s="80">
        <v>0.012097089630958185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5.0257682</v>
      </c>
      <c r="E11" s="78">
        <v>0.004966312944281359</v>
      </c>
      <c r="F11" s="78">
        <v>0.19719411000000003</v>
      </c>
      <c r="G11" s="78">
        <v>0.007617076286239826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-0.07415810599999999</v>
      </c>
      <c r="E12" s="80">
        <v>0.006261559027025566</v>
      </c>
      <c r="F12" s="80">
        <v>0.0541556053</v>
      </c>
      <c r="G12" s="80">
        <v>0.004404725457006882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17.861939</v>
      </c>
      <c r="D13" s="83">
        <v>-0.08868954400000001</v>
      </c>
      <c r="E13" s="80">
        <v>0.004731392513084534</v>
      </c>
      <c r="F13" s="80">
        <v>-0.25286347</v>
      </c>
      <c r="G13" s="80">
        <v>0.005498494572572874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0.107965551</v>
      </c>
      <c r="E14" s="80">
        <v>0.004936183033104146</v>
      </c>
      <c r="F14" s="80">
        <v>-0.030693692700000004</v>
      </c>
      <c r="G14" s="80">
        <v>0.00432012252449731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-0.036673022000000007</v>
      </c>
      <c r="E15" s="78">
        <v>0.001958511883381256</v>
      </c>
      <c r="F15" s="78">
        <v>0.045990669</v>
      </c>
      <c r="G15" s="78">
        <v>0.0028836212507686743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-0.018708422</v>
      </c>
      <c r="E16" s="80">
        <v>0.002982143486563992</v>
      </c>
      <c r="F16" s="80">
        <v>0.00768085978</v>
      </c>
      <c r="G16" s="80">
        <v>0.0029458197061031353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0.35899999737739563</v>
      </c>
      <c r="D17" s="83">
        <v>0.024876316</v>
      </c>
      <c r="E17" s="80">
        <v>0.0008362657724038128</v>
      </c>
      <c r="F17" s="80">
        <v>-0.047838214</v>
      </c>
      <c r="G17" s="80">
        <v>0.0018685459077941598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20.344999313354492</v>
      </c>
      <c r="D18" s="83">
        <v>0.065488787</v>
      </c>
      <c r="E18" s="80">
        <v>0.001940170916671106</v>
      </c>
      <c r="F18" s="80">
        <v>0.091585679</v>
      </c>
      <c r="G18" s="80">
        <v>0.0013116516397099205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0.03400000184774399</v>
      </c>
      <c r="D19" s="87">
        <v>-0.17734091000000002</v>
      </c>
      <c r="E19" s="80">
        <v>0.0008036795402355455</v>
      </c>
      <c r="F19" s="80">
        <v>-0.0008411373500000002</v>
      </c>
      <c r="G19" s="80">
        <v>0.0016601671265326372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0.34348540000000005</v>
      </c>
      <c r="D20" s="89">
        <v>-0.0022522702529999996</v>
      </c>
      <c r="E20" s="90">
        <v>0.0014039521908539331</v>
      </c>
      <c r="F20" s="90">
        <v>0.0016340409</v>
      </c>
      <c r="G20" s="90">
        <v>0.001117274838361153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0.41062370000000004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0.30046263325258865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-3.7613825999999997</v>
      </c>
      <c r="I25" s="102" t="s">
        <v>49</v>
      </c>
      <c r="J25" s="103"/>
      <c r="K25" s="102"/>
      <c r="L25" s="105">
        <v>5.029635326457568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1.3870049519698242</v>
      </c>
      <c r="I26" s="107" t="s">
        <v>53</v>
      </c>
      <c r="J26" s="108"/>
      <c r="K26" s="107"/>
      <c r="L26" s="110">
        <v>0.05882220820132516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HCMQAP113_pos4ap2res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-1.0590412E-05</v>
      </c>
      <c r="L2" s="55">
        <v>6.236743002288816E-07</v>
      </c>
      <c r="M2" s="55">
        <v>9.7096126E-05</v>
      </c>
      <c r="N2" s="56">
        <v>2.4059946124926065E-07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-3.0218515999999996E-05</v>
      </c>
      <c r="L3" s="55">
        <v>1.9365154152320004E-07</v>
      </c>
      <c r="M3" s="55">
        <v>1.0252973999999997E-05</v>
      </c>
      <c r="N3" s="56">
        <v>1.9774500133760127E-07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-0.0020901464690079434</v>
      </c>
      <c r="L4" s="55">
        <v>-3.061701344213608E-05</v>
      </c>
      <c r="M4" s="55">
        <v>6.197870391496698E-08</v>
      </c>
      <c r="N4" s="56">
        <v>7.323607300000001</v>
      </c>
    </row>
    <row r="5" spans="1:14" ht="15" customHeight="1" thickBot="1">
      <c r="A5" t="s">
        <v>18</v>
      </c>
      <c r="B5" s="59">
        <v>37917.324895833335</v>
      </c>
      <c r="D5" s="60"/>
      <c r="E5" s="61" t="s">
        <v>80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2437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-0.8473166899999999</v>
      </c>
      <c r="E8" s="78">
        <v>0.03854342281059939</v>
      </c>
      <c r="F8" s="115">
        <v>6.3912491</v>
      </c>
      <c r="G8" s="78">
        <v>0.02700309905260896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-2.5324605999999994</v>
      </c>
      <c r="E9" s="80">
        <v>0.02042128929921853</v>
      </c>
      <c r="F9" s="80">
        <v>-1.6120957</v>
      </c>
      <c r="G9" s="80">
        <v>0.06377323925252514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0.6541484800000001</v>
      </c>
      <c r="E10" s="80">
        <v>0.03464865939596206</v>
      </c>
      <c r="F10" s="84">
        <v>-8.0803598</v>
      </c>
      <c r="G10" s="80">
        <v>0.02643687027168231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6">
        <v>14.821242999999999</v>
      </c>
      <c r="E11" s="78">
        <v>0.006197984835765047</v>
      </c>
      <c r="F11" s="115">
        <v>2.465827</v>
      </c>
      <c r="G11" s="78">
        <v>0.012423826008913555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7">
        <v>-0.62151278</v>
      </c>
      <c r="E12" s="80">
        <v>0.004611677505921891</v>
      </c>
      <c r="F12" s="80">
        <v>0.36936679</v>
      </c>
      <c r="G12" s="80">
        <v>0.010413991795915881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18.045044</v>
      </c>
      <c r="D13" s="83">
        <v>0.098960408</v>
      </c>
      <c r="E13" s="80">
        <v>0.006278645234721879</v>
      </c>
      <c r="F13" s="80">
        <v>-0.18760933</v>
      </c>
      <c r="G13" s="80">
        <v>0.00464198683880116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0.031257306299999996</v>
      </c>
      <c r="E14" s="80">
        <v>0.0005079641090572023</v>
      </c>
      <c r="F14" s="84">
        <v>0.45920739999999993</v>
      </c>
      <c r="G14" s="80">
        <v>0.004592177689726164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-0.38567451999999997</v>
      </c>
      <c r="E15" s="78">
        <v>0.004559987082174257</v>
      </c>
      <c r="F15" s="78">
        <v>0.21670984000000004</v>
      </c>
      <c r="G15" s="78">
        <v>0.00596263031080892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0.003913224999999999</v>
      </c>
      <c r="E16" s="80">
        <v>0.0020623094217357405</v>
      </c>
      <c r="F16" s="80">
        <v>0.086535532</v>
      </c>
      <c r="G16" s="80">
        <v>0.005516739225334624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0.020999999716877937</v>
      </c>
      <c r="D17" s="83">
        <v>0.054833107000000006</v>
      </c>
      <c r="E17" s="80">
        <v>0.0025185133004942493</v>
      </c>
      <c r="F17" s="80">
        <v>0.030402030746999997</v>
      </c>
      <c r="G17" s="80">
        <v>0.002709706772180303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160.2169952392578</v>
      </c>
      <c r="D18" s="83">
        <v>-0.03782064</v>
      </c>
      <c r="E18" s="80">
        <v>0.0021930916561853637</v>
      </c>
      <c r="F18" s="80">
        <v>0.11238672999999999</v>
      </c>
      <c r="G18" s="80">
        <v>0.0024167907897874085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-0.3330000042915344</v>
      </c>
      <c r="D19" s="83">
        <v>-0.11985980999999998</v>
      </c>
      <c r="E19" s="80">
        <v>0.0019675258004410944</v>
      </c>
      <c r="F19" s="80">
        <v>-0.028238575</v>
      </c>
      <c r="G19" s="80">
        <v>0.001737293471926952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-0.0976782</v>
      </c>
      <c r="D20" s="89">
        <v>0.0008065601510000003</v>
      </c>
      <c r="E20" s="90">
        <v>0.001993723909917398</v>
      </c>
      <c r="F20" s="90">
        <v>0.007840842300000001</v>
      </c>
      <c r="G20" s="90">
        <v>0.001489840213686605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0.7882937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0.41961214353241516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-2.0903707000000002</v>
      </c>
      <c r="I25" s="102" t="s">
        <v>49</v>
      </c>
      <c r="J25" s="103"/>
      <c r="K25" s="102"/>
      <c r="L25" s="105">
        <v>15.024964121720158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6.447170746257878</v>
      </c>
      <c r="I26" s="107" t="s">
        <v>53</v>
      </c>
      <c r="J26" s="108"/>
      <c r="K26" s="107"/>
      <c r="L26" s="110">
        <v>0.4423889579657883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HCMQAP113_pos5ap2res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68</v>
      </c>
      <c r="C1" s="121" t="s">
        <v>73</v>
      </c>
      <c r="D1" s="121" t="s">
        <v>76</v>
      </c>
      <c r="E1" s="121" t="s">
        <v>78</v>
      </c>
      <c r="F1" s="128" t="s">
        <v>81</v>
      </c>
      <c r="G1" s="163" t="s">
        <v>121</v>
      </c>
    </row>
    <row r="2" spans="1:7" ht="13.5" thickBot="1">
      <c r="A2" s="140" t="s">
        <v>90</v>
      </c>
      <c r="B2" s="132">
        <v>-2.2615646</v>
      </c>
      <c r="C2" s="123">
        <v>-3.763581</v>
      </c>
      <c r="D2" s="123">
        <v>-3.7613655</v>
      </c>
      <c r="E2" s="123">
        <v>-3.7613825999999997</v>
      </c>
      <c r="F2" s="129">
        <v>-2.0903707000000002</v>
      </c>
      <c r="G2" s="164">
        <v>3.1171697288784537</v>
      </c>
    </row>
    <row r="3" spans="1:7" ht="14.25" thickBot="1" thickTop="1">
      <c r="A3" s="148" t="s">
        <v>89</v>
      </c>
      <c r="B3" s="149" t="s">
        <v>84</v>
      </c>
      <c r="C3" s="150" t="s">
        <v>85</v>
      </c>
      <c r="D3" s="150" t="s">
        <v>86</v>
      </c>
      <c r="E3" s="150" t="s">
        <v>87</v>
      </c>
      <c r="F3" s="151" t="s">
        <v>88</v>
      </c>
      <c r="G3" s="158" t="s">
        <v>122</v>
      </c>
    </row>
    <row r="4" spans="1:7" ht="12.75">
      <c r="A4" s="145" t="s">
        <v>91</v>
      </c>
      <c r="B4" s="146">
        <v>-1.9807498</v>
      </c>
      <c r="C4" s="147">
        <v>1.04304709</v>
      </c>
      <c r="D4" s="147">
        <v>0.5095123100000001</v>
      </c>
      <c r="E4" s="147">
        <v>1.04848976</v>
      </c>
      <c r="F4" s="152">
        <v>-0.8473166899999999</v>
      </c>
      <c r="G4" s="159">
        <v>0.22604975029688767</v>
      </c>
    </row>
    <row r="5" spans="1:7" ht="12.75">
      <c r="A5" s="140" t="s">
        <v>93</v>
      </c>
      <c r="B5" s="134">
        <v>-0.5026147</v>
      </c>
      <c r="C5" s="118">
        <v>0.21266314399999997</v>
      </c>
      <c r="D5" s="118">
        <v>0.10268181300000001</v>
      </c>
      <c r="E5" s="118">
        <v>0.16058567099999999</v>
      </c>
      <c r="F5" s="153">
        <v>-2.5324605999999994</v>
      </c>
      <c r="G5" s="160">
        <v>-0.2966987886674303</v>
      </c>
    </row>
    <row r="6" spans="1:7" ht="12.75">
      <c r="A6" s="140" t="s">
        <v>95</v>
      </c>
      <c r="B6" s="134">
        <v>1.5345637</v>
      </c>
      <c r="C6" s="118">
        <v>-0.9348558200000001</v>
      </c>
      <c r="D6" s="118">
        <v>-0.8796717900000001</v>
      </c>
      <c r="E6" s="118">
        <v>-1.1852266999999999</v>
      </c>
      <c r="F6" s="153">
        <v>0.6541484800000001</v>
      </c>
      <c r="G6" s="160">
        <v>-0.41227951448048983</v>
      </c>
    </row>
    <row r="7" spans="1:7" ht="12.75">
      <c r="A7" s="140" t="s">
        <v>97</v>
      </c>
      <c r="B7" s="133">
        <v>4.4212655000000005</v>
      </c>
      <c r="C7" s="117">
        <v>4.500507000000001</v>
      </c>
      <c r="D7" s="117">
        <v>4.7434131</v>
      </c>
      <c r="E7" s="117">
        <v>5.0257682</v>
      </c>
      <c r="F7" s="154">
        <v>14.821242999999999</v>
      </c>
      <c r="G7" s="160">
        <v>6.053385293066778</v>
      </c>
    </row>
    <row r="8" spans="1:7" ht="12.75">
      <c r="A8" s="140" t="s">
        <v>99</v>
      </c>
      <c r="B8" s="134">
        <v>0.21921879</v>
      </c>
      <c r="C8" s="118">
        <v>-0.12940955999999998</v>
      </c>
      <c r="D8" s="118">
        <v>-0.08064180400000001</v>
      </c>
      <c r="E8" s="118">
        <v>-0.07415810599999999</v>
      </c>
      <c r="F8" s="155">
        <v>-0.62151278</v>
      </c>
      <c r="G8" s="160">
        <v>-0.11975231216091918</v>
      </c>
    </row>
    <row r="9" spans="1:7" ht="12.75">
      <c r="A9" s="140" t="s">
        <v>101</v>
      </c>
      <c r="B9" s="134">
        <v>0.3530288199999999</v>
      </c>
      <c r="C9" s="118">
        <v>-0.11065905599999999</v>
      </c>
      <c r="D9" s="118">
        <v>0.070660821</v>
      </c>
      <c r="E9" s="118">
        <v>-0.08868954400000001</v>
      </c>
      <c r="F9" s="153">
        <v>0.098960408</v>
      </c>
      <c r="G9" s="160">
        <v>0.03331398882749562</v>
      </c>
    </row>
    <row r="10" spans="1:7" ht="12.75">
      <c r="A10" s="140" t="s">
        <v>103</v>
      </c>
      <c r="B10" s="134">
        <v>0.17976694</v>
      </c>
      <c r="C10" s="118">
        <v>0.026345214</v>
      </c>
      <c r="D10" s="118">
        <v>0.048805837000000005</v>
      </c>
      <c r="E10" s="118">
        <v>0.107965551</v>
      </c>
      <c r="F10" s="153">
        <v>0.031257306299999996</v>
      </c>
      <c r="G10" s="160">
        <v>0.07422323594153706</v>
      </c>
    </row>
    <row r="11" spans="1:7" ht="12.75">
      <c r="A11" s="140" t="s">
        <v>105</v>
      </c>
      <c r="B11" s="133">
        <v>-0.38393101</v>
      </c>
      <c r="C11" s="117">
        <v>-0.098733762</v>
      </c>
      <c r="D11" s="117">
        <v>-0.06331350599999999</v>
      </c>
      <c r="E11" s="117">
        <v>-0.036673022000000007</v>
      </c>
      <c r="F11" s="156">
        <v>-0.38567451999999997</v>
      </c>
      <c r="G11" s="160">
        <v>-0.15488716971156927</v>
      </c>
    </row>
    <row r="12" spans="1:7" ht="12.75">
      <c r="A12" s="140" t="s">
        <v>107</v>
      </c>
      <c r="B12" s="134">
        <v>0.06774504599999999</v>
      </c>
      <c r="C12" s="118">
        <v>-0.0146497129</v>
      </c>
      <c r="D12" s="118">
        <v>-0.0048425505</v>
      </c>
      <c r="E12" s="118">
        <v>-0.018708422</v>
      </c>
      <c r="F12" s="153">
        <v>0.003913224999999999</v>
      </c>
      <c r="G12" s="160">
        <v>0.0011299445895427654</v>
      </c>
    </row>
    <row r="13" spans="1:7" ht="12.75">
      <c r="A13" s="140" t="s">
        <v>109</v>
      </c>
      <c r="B13" s="135">
        <v>0.1697708</v>
      </c>
      <c r="C13" s="118">
        <v>0.0107817938</v>
      </c>
      <c r="D13" s="118">
        <v>0.069168672</v>
      </c>
      <c r="E13" s="118">
        <v>0.024876316</v>
      </c>
      <c r="F13" s="153">
        <v>0.054833107000000006</v>
      </c>
      <c r="G13" s="160">
        <v>0.057096189308844296</v>
      </c>
    </row>
    <row r="14" spans="1:7" ht="12.75">
      <c r="A14" s="140" t="s">
        <v>111</v>
      </c>
      <c r="B14" s="134">
        <v>-0.007699261900000001</v>
      </c>
      <c r="C14" s="118">
        <v>0.048159267000000006</v>
      </c>
      <c r="D14" s="118">
        <v>0.007608851800000001</v>
      </c>
      <c r="E14" s="118">
        <v>0.065488787</v>
      </c>
      <c r="F14" s="153">
        <v>-0.03782064</v>
      </c>
      <c r="G14" s="160">
        <v>0.023003052880775525</v>
      </c>
    </row>
    <row r="15" spans="1:7" ht="12.75">
      <c r="A15" s="140" t="s">
        <v>113</v>
      </c>
      <c r="B15" s="135">
        <v>-0.18787034</v>
      </c>
      <c r="C15" s="119">
        <v>-0.18012968</v>
      </c>
      <c r="D15" s="119">
        <v>-0.17693046</v>
      </c>
      <c r="E15" s="119">
        <v>-0.17734091000000002</v>
      </c>
      <c r="F15" s="153">
        <v>-0.11985980999999998</v>
      </c>
      <c r="G15" s="160">
        <v>-0.17175257170705638</v>
      </c>
    </row>
    <row r="16" spans="1:7" ht="12.75">
      <c r="A16" s="140" t="s">
        <v>115</v>
      </c>
      <c r="B16" s="134">
        <v>-0.00408836745</v>
      </c>
      <c r="C16" s="118">
        <v>-0.0015887506709999998</v>
      </c>
      <c r="D16" s="118">
        <v>-0.0036454327000000003</v>
      </c>
      <c r="E16" s="118">
        <v>-0.0022522702529999996</v>
      </c>
      <c r="F16" s="153">
        <v>0.0008065601510000003</v>
      </c>
      <c r="G16" s="160">
        <v>-0.0022843292097600543</v>
      </c>
    </row>
    <row r="17" spans="1:7" ht="12.75">
      <c r="A17" s="140" t="s">
        <v>92</v>
      </c>
      <c r="B17" s="133">
        <v>1.5254934</v>
      </c>
      <c r="C17" s="117">
        <v>1.4059751999999999</v>
      </c>
      <c r="D17" s="117">
        <v>1.09787012</v>
      </c>
      <c r="E17" s="117">
        <v>0.90799337</v>
      </c>
      <c r="F17" s="154">
        <v>6.3912491</v>
      </c>
      <c r="G17" s="160">
        <v>1.8957592589934997</v>
      </c>
    </row>
    <row r="18" spans="1:7" ht="12.75">
      <c r="A18" s="140" t="s">
        <v>94</v>
      </c>
      <c r="B18" s="134">
        <v>-0.0390476</v>
      </c>
      <c r="C18" s="119">
        <v>-3.3887923</v>
      </c>
      <c r="D18" s="118">
        <v>-2.1855846</v>
      </c>
      <c r="E18" s="119">
        <v>-3.8803019</v>
      </c>
      <c r="F18" s="153">
        <v>-1.6120957</v>
      </c>
      <c r="G18" s="161">
        <v>-2.4956901969988103</v>
      </c>
    </row>
    <row r="19" spans="1:7" ht="12.75">
      <c r="A19" s="140" t="s">
        <v>96</v>
      </c>
      <c r="B19" s="135">
        <v>-2.3312657000000003</v>
      </c>
      <c r="C19" s="118">
        <v>-0.90441825</v>
      </c>
      <c r="D19" s="118">
        <v>-1.4936166</v>
      </c>
      <c r="E19" s="118">
        <v>-1.3879404000000002</v>
      </c>
      <c r="F19" s="155">
        <v>-8.0803598</v>
      </c>
      <c r="G19" s="161">
        <v>-2.32798976805314</v>
      </c>
    </row>
    <row r="20" spans="1:7" ht="12.75">
      <c r="A20" s="140" t="s">
        <v>98</v>
      </c>
      <c r="B20" s="133">
        <v>0.8794625</v>
      </c>
      <c r="C20" s="117">
        <v>0.48488903000000005</v>
      </c>
      <c r="D20" s="117">
        <v>-0.33808594</v>
      </c>
      <c r="E20" s="117">
        <v>0.19719411000000003</v>
      </c>
      <c r="F20" s="154">
        <v>2.465827</v>
      </c>
      <c r="G20" s="160">
        <v>0.5396014798763888</v>
      </c>
    </row>
    <row r="21" spans="1:7" ht="12.75">
      <c r="A21" s="140" t="s">
        <v>100</v>
      </c>
      <c r="B21" s="134">
        <v>0.0915069598</v>
      </c>
      <c r="C21" s="118">
        <v>0.096988314</v>
      </c>
      <c r="D21" s="118">
        <v>-0.26646175000000005</v>
      </c>
      <c r="E21" s="118">
        <v>0.0541556053</v>
      </c>
      <c r="F21" s="153">
        <v>0.36936679</v>
      </c>
      <c r="G21" s="160">
        <v>0.03488403163506128</v>
      </c>
    </row>
    <row r="22" spans="1:7" ht="12.75">
      <c r="A22" s="140" t="s">
        <v>102</v>
      </c>
      <c r="B22" s="134">
        <v>0.34883967</v>
      </c>
      <c r="C22" s="118">
        <v>-0.16590015</v>
      </c>
      <c r="D22" s="118">
        <v>-0.29468107</v>
      </c>
      <c r="E22" s="118">
        <v>-0.25286347</v>
      </c>
      <c r="F22" s="153">
        <v>-0.18760933</v>
      </c>
      <c r="G22" s="160">
        <v>-0.146253296280296</v>
      </c>
    </row>
    <row r="23" spans="1:7" ht="12.75">
      <c r="A23" s="140" t="s">
        <v>104</v>
      </c>
      <c r="B23" s="135">
        <v>0.45758092</v>
      </c>
      <c r="C23" s="118">
        <v>0.061601512000000004</v>
      </c>
      <c r="D23" s="118">
        <v>0.086450959</v>
      </c>
      <c r="E23" s="118">
        <v>-0.030693692700000004</v>
      </c>
      <c r="F23" s="155">
        <v>0.45920739999999993</v>
      </c>
      <c r="G23" s="160">
        <v>0.15579271812273943</v>
      </c>
    </row>
    <row r="24" spans="1:7" ht="12.75">
      <c r="A24" s="140" t="s">
        <v>106</v>
      </c>
      <c r="B24" s="133">
        <v>0.10713276899999999</v>
      </c>
      <c r="C24" s="117">
        <v>0.062042948</v>
      </c>
      <c r="D24" s="117">
        <v>0.06632421399999999</v>
      </c>
      <c r="E24" s="117">
        <v>0.045990669</v>
      </c>
      <c r="F24" s="156">
        <v>0.21670984000000004</v>
      </c>
      <c r="G24" s="160">
        <v>0.08640686178563588</v>
      </c>
    </row>
    <row r="25" spans="1:7" ht="12.75">
      <c r="A25" s="140" t="s">
        <v>108</v>
      </c>
      <c r="B25" s="134">
        <v>-0.038957450000000005</v>
      </c>
      <c r="C25" s="118">
        <v>-0.00479744416</v>
      </c>
      <c r="D25" s="118">
        <v>-0.031546251000000004</v>
      </c>
      <c r="E25" s="118">
        <v>0.00768085978</v>
      </c>
      <c r="F25" s="153">
        <v>0.086535532</v>
      </c>
      <c r="G25" s="160">
        <v>-0.0009614459997174128</v>
      </c>
    </row>
    <row r="26" spans="1:7" ht="12.75">
      <c r="A26" s="140" t="s">
        <v>110</v>
      </c>
      <c r="B26" s="134">
        <v>0.070872132</v>
      </c>
      <c r="C26" s="118">
        <v>-0.03999881500000001</v>
      </c>
      <c r="D26" s="118">
        <v>-0.0246870301</v>
      </c>
      <c r="E26" s="118">
        <v>-0.047838214</v>
      </c>
      <c r="F26" s="153">
        <v>0.030402030746999997</v>
      </c>
      <c r="G26" s="160">
        <v>-0.012757178480435324</v>
      </c>
    </row>
    <row r="27" spans="1:7" ht="12.75">
      <c r="A27" s="140" t="s">
        <v>112</v>
      </c>
      <c r="B27" s="135">
        <v>0.19724509999999998</v>
      </c>
      <c r="C27" s="118">
        <v>0.081849742</v>
      </c>
      <c r="D27" s="118">
        <v>0.11609088999999999</v>
      </c>
      <c r="E27" s="118">
        <v>0.091585679</v>
      </c>
      <c r="F27" s="153">
        <v>0.11238672999999999</v>
      </c>
      <c r="G27" s="161">
        <v>0.11319732162224175</v>
      </c>
    </row>
    <row r="28" spans="1:7" ht="12.75">
      <c r="A28" s="140" t="s">
        <v>114</v>
      </c>
      <c r="B28" s="134">
        <v>0.009727468</v>
      </c>
      <c r="C28" s="118">
        <v>0.000856879445</v>
      </c>
      <c r="D28" s="118">
        <v>0.0037229676000000004</v>
      </c>
      <c r="E28" s="118">
        <v>-0.0008411373500000002</v>
      </c>
      <c r="F28" s="153">
        <v>-0.028238575</v>
      </c>
      <c r="G28" s="160">
        <v>-0.0014685296418872082</v>
      </c>
    </row>
    <row r="29" spans="1:7" ht="13.5" thickBot="1">
      <c r="A29" s="141" t="s">
        <v>116</v>
      </c>
      <c r="B29" s="136">
        <v>-0.005346423500000001</v>
      </c>
      <c r="C29" s="120">
        <v>-0.0016972867160000003</v>
      </c>
      <c r="D29" s="120">
        <v>0.0018334916</v>
      </c>
      <c r="E29" s="120">
        <v>0.0016340409</v>
      </c>
      <c r="F29" s="157">
        <v>0.007840842300000001</v>
      </c>
      <c r="G29" s="162">
        <v>0.0007004481843183734</v>
      </c>
    </row>
    <row r="30" spans="1:7" ht="13.5" thickTop="1">
      <c r="A30" s="142" t="s">
        <v>117</v>
      </c>
      <c r="B30" s="137">
        <v>-0.14903429791920653</v>
      </c>
      <c r="C30" s="126">
        <v>0.06789184903185966</v>
      </c>
      <c r="D30" s="126">
        <v>0.2370612931668359</v>
      </c>
      <c r="E30" s="126">
        <v>0.30046263325258865</v>
      </c>
      <c r="F30" s="122">
        <v>0.41961214353241516</v>
      </c>
      <c r="G30" s="163" t="s">
        <v>128</v>
      </c>
    </row>
    <row r="31" spans="1:7" ht="13.5" thickBot="1">
      <c r="A31" s="143" t="s">
        <v>118</v>
      </c>
      <c r="B31" s="132">
        <v>17.312623</v>
      </c>
      <c r="C31" s="123">
        <v>17.501832</v>
      </c>
      <c r="D31" s="123">
        <v>17.687989</v>
      </c>
      <c r="E31" s="123">
        <v>17.861939</v>
      </c>
      <c r="F31" s="124">
        <v>18.045044</v>
      </c>
      <c r="G31" s="165">
        <v>-210.15</v>
      </c>
    </row>
    <row r="32" spans="1:7" ht="15.75" thickBot="1" thickTop="1">
      <c r="A32" s="144" t="s">
        <v>119</v>
      </c>
      <c r="B32" s="138">
        <v>-0.0949999988079071</v>
      </c>
      <c r="C32" s="127">
        <v>0.1705000028014183</v>
      </c>
      <c r="D32" s="127">
        <v>-0.2369999997317791</v>
      </c>
      <c r="E32" s="127">
        <v>0.1964999996125698</v>
      </c>
      <c r="F32" s="125">
        <v>-0.15600000228732824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9" bestFit="1" customWidth="1"/>
    <col min="2" max="2" width="15.66015625" style="169" bestFit="1" customWidth="1"/>
    <col min="3" max="3" width="14.83203125" style="169" bestFit="1" customWidth="1"/>
    <col min="4" max="4" width="16" style="169" bestFit="1" customWidth="1"/>
    <col min="5" max="5" width="21.33203125" style="169" bestFit="1" customWidth="1"/>
    <col min="6" max="7" width="14.83203125" style="169" bestFit="1" customWidth="1"/>
    <col min="8" max="8" width="14.16015625" style="169" bestFit="1" customWidth="1"/>
    <col min="9" max="9" width="14.83203125" style="169" bestFit="1" customWidth="1"/>
    <col min="10" max="10" width="6.33203125" style="169" bestFit="1" customWidth="1"/>
    <col min="11" max="11" width="15" style="169" bestFit="1" customWidth="1"/>
    <col min="12" max="16384" width="10.66015625" style="169" customWidth="1"/>
  </cols>
  <sheetData>
    <row r="1" spans="1:5" ht="12.75">
      <c r="A1" s="169" t="s">
        <v>129</v>
      </c>
      <c r="B1" s="169" t="s">
        <v>130</v>
      </c>
      <c r="C1" s="169" t="s">
        <v>131</v>
      </c>
      <c r="D1" s="169" t="s">
        <v>132</v>
      </c>
      <c r="E1" s="169" t="s">
        <v>133</v>
      </c>
    </row>
    <row r="3" spans="1:7" ht="12.75">
      <c r="A3" s="169" t="s">
        <v>134</v>
      </c>
      <c r="B3" s="169" t="s">
        <v>84</v>
      </c>
      <c r="C3" s="169" t="s">
        <v>85</v>
      </c>
      <c r="D3" s="169" t="s">
        <v>86</v>
      </c>
      <c r="E3" s="169" t="s">
        <v>87</v>
      </c>
      <c r="F3" s="169" t="s">
        <v>88</v>
      </c>
      <c r="G3" s="169" t="s">
        <v>135</v>
      </c>
    </row>
    <row r="4" spans="1:7" ht="12.75">
      <c r="A4" s="169" t="s">
        <v>136</v>
      </c>
      <c r="B4" s="169">
        <v>0.00226</v>
      </c>
      <c r="C4" s="169">
        <v>0.003762</v>
      </c>
      <c r="D4" s="169">
        <v>0.003759</v>
      </c>
      <c r="E4" s="169">
        <v>0.003759</v>
      </c>
      <c r="F4" s="169">
        <v>0.002089</v>
      </c>
      <c r="G4" s="169">
        <v>0.011721</v>
      </c>
    </row>
    <row r="5" spans="1:7" ht="12.75">
      <c r="A5" s="169" t="s">
        <v>137</v>
      </c>
      <c r="B5" s="169">
        <v>5.803732</v>
      </c>
      <c r="C5" s="169">
        <v>1.876142</v>
      </c>
      <c r="D5" s="169">
        <v>-1.015763</v>
      </c>
      <c r="E5" s="169">
        <v>-1.99933</v>
      </c>
      <c r="F5" s="169">
        <v>-4.283539</v>
      </c>
      <c r="G5" s="169">
        <v>-3.126952</v>
      </c>
    </row>
    <row r="6" spans="1:7" ht="12.75">
      <c r="A6" s="169" t="s">
        <v>138</v>
      </c>
      <c r="B6" s="170">
        <v>-10.68774</v>
      </c>
      <c r="C6" s="170">
        <v>-207.7138</v>
      </c>
      <c r="D6" s="170">
        <v>-72.56296</v>
      </c>
      <c r="E6" s="170">
        <v>-273.9189</v>
      </c>
      <c r="F6" s="170">
        <v>-19.61345</v>
      </c>
      <c r="G6" s="170">
        <v>685.4578</v>
      </c>
    </row>
    <row r="7" spans="1:7" ht="12.75">
      <c r="A7" s="169" t="s">
        <v>139</v>
      </c>
      <c r="B7" s="170">
        <v>10000</v>
      </c>
      <c r="C7" s="170">
        <v>10000</v>
      </c>
      <c r="D7" s="170">
        <v>10000</v>
      </c>
      <c r="E7" s="170">
        <v>10000</v>
      </c>
      <c r="F7" s="170">
        <v>10000</v>
      </c>
      <c r="G7" s="170">
        <v>10000</v>
      </c>
    </row>
    <row r="8" spans="1:7" ht="12.75">
      <c r="A8" s="169" t="s">
        <v>91</v>
      </c>
      <c r="B8" s="170">
        <v>-2.006075</v>
      </c>
      <c r="C8" s="170">
        <v>0.9379464</v>
      </c>
      <c r="D8" s="170">
        <v>0.5125801</v>
      </c>
      <c r="E8" s="170">
        <v>0.9341246</v>
      </c>
      <c r="F8" s="170">
        <v>-0.6242896</v>
      </c>
      <c r="G8" s="170">
        <v>1.839548</v>
      </c>
    </row>
    <row r="9" spans="1:7" ht="12.75">
      <c r="A9" s="169" t="s">
        <v>93</v>
      </c>
      <c r="B9" s="170">
        <v>-0.4037772</v>
      </c>
      <c r="C9" s="170">
        <v>0.1749827</v>
      </c>
      <c r="D9" s="170">
        <v>0.1256115</v>
      </c>
      <c r="E9" s="170">
        <v>0.01216013</v>
      </c>
      <c r="F9" s="170">
        <v>-2.212936</v>
      </c>
      <c r="G9" s="170">
        <v>0.2788812</v>
      </c>
    </row>
    <row r="10" spans="1:7" ht="12.75">
      <c r="A10" s="169" t="s">
        <v>140</v>
      </c>
      <c r="B10" s="170">
        <v>1.245086</v>
      </c>
      <c r="C10" s="170">
        <v>-0.735593</v>
      </c>
      <c r="D10" s="170">
        <v>-1.041112</v>
      </c>
      <c r="E10" s="170">
        <v>-0.853041</v>
      </c>
      <c r="F10" s="170">
        <v>-0.5706268</v>
      </c>
      <c r="G10" s="170">
        <v>2.262283</v>
      </c>
    </row>
    <row r="11" spans="1:7" ht="12.75">
      <c r="A11" s="169" t="s">
        <v>97</v>
      </c>
      <c r="B11" s="170">
        <v>4.359748</v>
      </c>
      <c r="C11" s="170">
        <v>4.494747</v>
      </c>
      <c r="D11" s="170">
        <v>4.746842</v>
      </c>
      <c r="E11" s="170">
        <v>5.02351</v>
      </c>
      <c r="F11" s="170">
        <v>14.89786</v>
      </c>
      <c r="G11" s="170">
        <v>6.053627</v>
      </c>
    </row>
    <row r="12" spans="1:7" ht="12.75">
      <c r="A12" s="169" t="s">
        <v>99</v>
      </c>
      <c r="B12" s="170">
        <v>0.144093</v>
      </c>
      <c r="C12" s="170">
        <v>-0.1449554</v>
      </c>
      <c r="D12" s="170">
        <v>-0.08131978</v>
      </c>
      <c r="E12" s="170">
        <v>-0.09806968</v>
      </c>
      <c r="F12" s="170">
        <v>-0.5963996</v>
      </c>
      <c r="G12" s="170">
        <v>0.04225736</v>
      </c>
    </row>
    <row r="13" spans="1:7" ht="12.75">
      <c r="A13" s="169" t="s">
        <v>101</v>
      </c>
      <c r="B13" s="170">
        <v>0.2511862</v>
      </c>
      <c r="C13" s="170">
        <v>-0.1013098</v>
      </c>
      <c r="D13" s="170">
        <v>0.06408756</v>
      </c>
      <c r="E13" s="170">
        <v>-0.08368334</v>
      </c>
      <c r="F13" s="170">
        <v>0.04601787</v>
      </c>
      <c r="G13" s="170">
        <v>-0.01338906</v>
      </c>
    </row>
    <row r="14" spans="1:7" ht="12.75">
      <c r="A14" s="169" t="s">
        <v>103</v>
      </c>
      <c r="B14" s="170">
        <v>0.1783894</v>
      </c>
      <c r="C14" s="170">
        <v>0.02295653</v>
      </c>
      <c r="D14" s="170">
        <v>0.05189043</v>
      </c>
      <c r="E14" s="170">
        <v>0.1063075</v>
      </c>
      <c r="F14" s="170">
        <v>0.06596589</v>
      </c>
      <c r="G14" s="170">
        <v>-0.1403562</v>
      </c>
    </row>
    <row r="15" spans="1:7" ht="12.75">
      <c r="A15" s="169" t="s">
        <v>105</v>
      </c>
      <c r="B15" s="170">
        <v>-0.3929309</v>
      </c>
      <c r="C15" s="170">
        <v>-0.1013927</v>
      </c>
      <c r="D15" s="170">
        <v>-0.06195223</v>
      </c>
      <c r="E15" s="170">
        <v>-0.03799246</v>
      </c>
      <c r="F15" s="170">
        <v>-0.38945</v>
      </c>
      <c r="G15" s="170">
        <v>-0.1573277</v>
      </c>
    </row>
    <row r="16" spans="1:7" ht="12.75">
      <c r="A16" s="169" t="s">
        <v>107</v>
      </c>
      <c r="B16" s="170">
        <v>0.03376273</v>
      </c>
      <c r="C16" s="170">
        <v>-0.01823871</v>
      </c>
      <c r="D16" s="170">
        <v>-0.01104315</v>
      </c>
      <c r="E16" s="170">
        <v>-0.01935874</v>
      </c>
      <c r="F16" s="170">
        <v>-0.00221424</v>
      </c>
      <c r="G16" s="170">
        <v>-0.0006191659</v>
      </c>
    </row>
    <row r="17" spans="1:7" ht="12.75">
      <c r="A17" s="169" t="s">
        <v>109</v>
      </c>
      <c r="B17" s="170">
        <v>0.1228891</v>
      </c>
      <c r="C17" s="170">
        <v>0.02553294</v>
      </c>
      <c r="D17" s="170">
        <v>0.06712263</v>
      </c>
      <c r="E17" s="170">
        <v>0.0452957</v>
      </c>
      <c r="F17" s="170">
        <v>0.04518597</v>
      </c>
      <c r="G17" s="170">
        <v>-0.05699714</v>
      </c>
    </row>
    <row r="18" spans="1:7" ht="12.75">
      <c r="A18" s="169" t="s">
        <v>141</v>
      </c>
      <c r="B18" s="170">
        <v>-0.01337178</v>
      </c>
      <c r="C18" s="170">
        <v>0.04086863</v>
      </c>
      <c r="D18" s="170">
        <v>0.01391008</v>
      </c>
      <c r="E18" s="170">
        <v>0.05834356</v>
      </c>
      <c r="F18" s="170">
        <v>-0.02413656</v>
      </c>
      <c r="G18" s="170">
        <v>-0.113541</v>
      </c>
    </row>
    <row r="19" spans="1:7" ht="12.75">
      <c r="A19" s="169" t="s">
        <v>113</v>
      </c>
      <c r="B19" s="170">
        <v>-0.1880027</v>
      </c>
      <c r="C19" s="170">
        <v>-0.1801049</v>
      </c>
      <c r="D19" s="170">
        <v>-0.1768197</v>
      </c>
      <c r="E19" s="170">
        <v>-0.1772442</v>
      </c>
      <c r="F19" s="170">
        <v>-0.1215436</v>
      </c>
      <c r="G19" s="170">
        <v>-0.1719405</v>
      </c>
    </row>
    <row r="20" spans="1:7" ht="12.75">
      <c r="A20" s="169" t="s">
        <v>115</v>
      </c>
      <c r="B20" s="170">
        <v>-0.003320921</v>
      </c>
      <c r="C20" s="170">
        <v>-0.001521652</v>
      </c>
      <c r="D20" s="170">
        <v>-0.003659483</v>
      </c>
      <c r="E20" s="170">
        <v>-0.002188177</v>
      </c>
      <c r="F20" s="170">
        <v>0.001402935</v>
      </c>
      <c r="G20" s="170">
        <v>0.0006639805</v>
      </c>
    </row>
    <row r="21" spans="1:7" ht="12.75">
      <c r="A21" s="169" t="s">
        <v>142</v>
      </c>
      <c r="B21" s="170">
        <v>-887.3953</v>
      </c>
      <c r="C21" s="170">
        <v>-590.6038</v>
      </c>
      <c r="D21" s="170">
        <v>-694.6152</v>
      </c>
      <c r="E21" s="170">
        <v>-582.54</v>
      </c>
      <c r="F21" s="170">
        <v>-806.4751</v>
      </c>
      <c r="G21" s="170">
        <v>-137.4899</v>
      </c>
    </row>
    <row r="22" spans="1:7" ht="12.75">
      <c r="A22" s="169" t="s">
        <v>143</v>
      </c>
      <c r="B22" s="170">
        <v>116.0799</v>
      </c>
      <c r="C22" s="170">
        <v>37.52301</v>
      </c>
      <c r="D22" s="170">
        <v>-20.31529</v>
      </c>
      <c r="E22" s="170">
        <v>-39.98681</v>
      </c>
      <c r="F22" s="170">
        <v>-85.67287</v>
      </c>
      <c r="G22" s="170">
        <v>0</v>
      </c>
    </row>
    <row r="23" spans="1:7" ht="12.75">
      <c r="A23" s="169" t="s">
        <v>92</v>
      </c>
      <c r="B23" s="170">
        <v>1.468672</v>
      </c>
      <c r="C23" s="170">
        <v>1.334343</v>
      </c>
      <c r="D23" s="170">
        <v>1.142768</v>
      </c>
      <c r="E23" s="170">
        <v>0.7443527</v>
      </c>
      <c r="F23" s="170">
        <v>6.374746</v>
      </c>
      <c r="G23" s="170">
        <v>-0.2001135</v>
      </c>
    </row>
    <row r="24" spans="1:7" ht="12.75">
      <c r="A24" s="169" t="s">
        <v>144</v>
      </c>
      <c r="B24" s="170">
        <v>0.1721979</v>
      </c>
      <c r="C24" s="170">
        <v>-3.379051</v>
      </c>
      <c r="D24" s="170">
        <v>-2.144909</v>
      </c>
      <c r="E24" s="170">
        <v>-3.914508</v>
      </c>
      <c r="F24" s="170">
        <v>-1.165194</v>
      </c>
      <c r="G24" s="170">
        <v>2.401528</v>
      </c>
    </row>
    <row r="25" spans="1:7" ht="12.75">
      <c r="A25" s="169" t="s">
        <v>96</v>
      </c>
      <c r="B25" s="170">
        <v>-1.90553</v>
      </c>
      <c r="C25" s="170">
        <v>-1.110236</v>
      </c>
      <c r="D25" s="170">
        <v>-1.456236</v>
      </c>
      <c r="E25" s="170">
        <v>-1.623938</v>
      </c>
      <c r="F25" s="170">
        <v>-7.321258</v>
      </c>
      <c r="G25" s="170">
        <v>-0.5287703</v>
      </c>
    </row>
    <row r="26" spans="1:7" ht="12.75">
      <c r="A26" s="169" t="s">
        <v>98</v>
      </c>
      <c r="B26" s="170">
        <v>1.045463</v>
      </c>
      <c r="C26" s="170">
        <v>0.5489823</v>
      </c>
      <c r="D26" s="170">
        <v>-0.3560455</v>
      </c>
      <c r="E26" s="170">
        <v>0.1480549</v>
      </c>
      <c r="F26" s="170">
        <v>2.011848</v>
      </c>
      <c r="G26" s="170">
        <v>0.5024606</v>
      </c>
    </row>
    <row r="27" spans="1:7" ht="12.75">
      <c r="A27" s="169" t="s">
        <v>100</v>
      </c>
      <c r="B27" s="170">
        <v>0.1131066</v>
      </c>
      <c r="C27" s="170">
        <v>0.09417442</v>
      </c>
      <c r="D27" s="170">
        <v>-0.2520475</v>
      </c>
      <c r="E27" s="170">
        <v>0.03780012</v>
      </c>
      <c r="F27" s="170">
        <v>0.4097716</v>
      </c>
      <c r="G27" s="170">
        <v>0.1369204</v>
      </c>
    </row>
    <row r="28" spans="1:7" ht="12.75">
      <c r="A28" s="169" t="s">
        <v>102</v>
      </c>
      <c r="B28" s="170">
        <v>0.3479153</v>
      </c>
      <c r="C28" s="170">
        <v>-0.1666725</v>
      </c>
      <c r="D28" s="170">
        <v>-0.30027</v>
      </c>
      <c r="E28" s="170">
        <v>-0.2641418</v>
      </c>
      <c r="F28" s="170">
        <v>-0.2316017</v>
      </c>
      <c r="G28" s="170">
        <v>0.1565137</v>
      </c>
    </row>
    <row r="29" spans="1:7" ht="12.75">
      <c r="A29" s="169" t="s">
        <v>104</v>
      </c>
      <c r="B29" s="170">
        <v>0.3862057</v>
      </c>
      <c r="C29" s="170">
        <v>0.07510235</v>
      </c>
      <c r="D29" s="170">
        <v>0.08177937</v>
      </c>
      <c r="E29" s="170">
        <v>-0.02297778</v>
      </c>
      <c r="F29" s="170">
        <v>0.3911358</v>
      </c>
      <c r="G29" s="170">
        <v>0.07818144</v>
      </c>
    </row>
    <row r="30" spans="1:7" ht="12.75">
      <c r="A30" s="169" t="s">
        <v>106</v>
      </c>
      <c r="B30" s="170">
        <v>0.09964882</v>
      </c>
      <c r="C30" s="170">
        <v>0.06149344</v>
      </c>
      <c r="D30" s="170">
        <v>0.06941155</v>
      </c>
      <c r="E30" s="170">
        <v>0.04918577</v>
      </c>
      <c r="F30" s="170">
        <v>0.2226979</v>
      </c>
      <c r="G30" s="170">
        <v>0.0874929</v>
      </c>
    </row>
    <row r="31" spans="1:7" ht="12.75">
      <c r="A31" s="169" t="s">
        <v>108</v>
      </c>
      <c r="B31" s="170">
        <v>-0.01470695</v>
      </c>
      <c r="C31" s="170">
        <v>-0.01057668</v>
      </c>
      <c r="D31" s="170">
        <v>-0.02927604</v>
      </c>
      <c r="E31" s="170">
        <v>-0.00289715</v>
      </c>
      <c r="F31" s="170">
        <v>0.08821653</v>
      </c>
      <c r="G31" s="170">
        <v>0.007115364</v>
      </c>
    </row>
    <row r="32" spans="1:7" ht="12.75">
      <c r="A32" s="169" t="s">
        <v>110</v>
      </c>
      <c r="B32" s="170">
        <v>0.05096592</v>
      </c>
      <c r="C32" s="170">
        <v>-0.0373411</v>
      </c>
      <c r="D32" s="170">
        <v>-0.03492912</v>
      </c>
      <c r="E32" s="170">
        <v>-0.04115167</v>
      </c>
      <c r="F32" s="170">
        <v>0.006462165</v>
      </c>
      <c r="G32" s="170">
        <v>0.01904734</v>
      </c>
    </row>
    <row r="33" spans="1:7" ht="12.75">
      <c r="A33" s="169" t="s">
        <v>112</v>
      </c>
      <c r="B33" s="170">
        <v>0.1812108</v>
      </c>
      <c r="C33" s="170">
        <v>0.08982667</v>
      </c>
      <c r="D33" s="170">
        <v>0.1150992</v>
      </c>
      <c r="E33" s="170">
        <v>0.09732819</v>
      </c>
      <c r="F33" s="170">
        <v>0.1093837</v>
      </c>
      <c r="G33" s="170">
        <v>0.02204417</v>
      </c>
    </row>
    <row r="34" spans="1:7" ht="12.75">
      <c r="A34" s="169" t="s">
        <v>114</v>
      </c>
      <c r="B34" s="170">
        <v>-0.005582504</v>
      </c>
      <c r="C34" s="170">
        <v>-0.003885461</v>
      </c>
      <c r="D34" s="170">
        <v>0.006223008</v>
      </c>
      <c r="E34" s="170">
        <v>0.004138134</v>
      </c>
      <c r="F34" s="170">
        <v>-0.02108179</v>
      </c>
      <c r="G34" s="170">
        <v>-0.002085091</v>
      </c>
    </row>
    <row r="35" spans="1:7" ht="12.75">
      <c r="A35" s="169" t="s">
        <v>116</v>
      </c>
      <c r="B35" s="170">
        <v>-0.005668126</v>
      </c>
      <c r="C35" s="170">
        <v>-0.001740446</v>
      </c>
      <c r="D35" s="170">
        <v>0.001886706</v>
      </c>
      <c r="E35" s="170">
        <v>0.001701221</v>
      </c>
      <c r="F35" s="170">
        <v>0.007778331</v>
      </c>
      <c r="G35" s="170">
        <v>0.002065498</v>
      </c>
    </row>
    <row r="36" spans="1:6" ht="12.75">
      <c r="A36" s="169" t="s">
        <v>145</v>
      </c>
      <c r="B36" s="170">
        <v>18.04504</v>
      </c>
      <c r="C36" s="170">
        <v>18.05115</v>
      </c>
      <c r="D36" s="170">
        <v>18.07861</v>
      </c>
      <c r="E36" s="170">
        <v>18.09692</v>
      </c>
      <c r="F36" s="170">
        <v>18.11523</v>
      </c>
    </row>
    <row r="37" spans="1:6" ht="12.75">
      <c r="A37" s="169" t="s">
        <v>146</v>
      </c>
      <c r="B37" s="170">
        <v>-0.1785278</v>
      </c>
      <c r="C37" s="170">
        <v>-0.1556397</v>
      </c>
      <c r="D37" s="170">
        <v>-0.1398722</v>
      </c>
      <c r="E37" s="170">
        <v>-0.1230876</v>
      </c>
      <c r="F37" s="170">
        <v>-0.1057943</v>
      </c>
    </row>
    <row r="38" spans="1:7" ht="12.75">
      <c r="A38" s="169" t="s">
        <v>147</v>
      </c>
      <c r="B38" s="170">
        <v>3.567583E-05</v>
      </c>
      <c r="C38" s="170">
        <v>0.0003568758</v>
      </c>
      <c r="D38" s="170">
        <v>0.0001209576</v>
      </c>
      <c r="E38" s="170">
        <v>0.0004616947</v>
      </c>
      <c r="F38" s="170">
        <v>2.159546E-05</v>
      </c>
      <c r="G38" s="170">
        <v>0.0001150449</v>
      </c>
    </row>
    <row r="39" spans="1:7" ht="12.75">
      <c r="A39" s="169" t="s">
        <v>148</v>
      </c>
      <c r="B39" s="170">
        <v>0.001508158</v>
      </c>
      <c r="C39" s="170">
        <v>0.001002687</v>
      </c>
      <c r="D39" s="170">
        <v>0.001181092</v>
      </c>
      <c r="E39" s="170">
        <v>0.0009921641</v>
      </c>
      <c r="F39" s="170">
        <v>0.001371193</v>
      </c>
      <c r="G39" s="170">
        <v>0.0005829956</v>
      </c>
    </row>
    <row r="40" spans="2:5" ht="12.75">
      <c r="B40" s="169" t="s">
        <v>149</v>
      </c>
      <c r="C40" s="169">
        <v>0.00376</v>
      </c>
      <c r="D40" s="169" t="s">
        <v>150</v>
      </c>
      <c r="E40" s="169">
        <v>3.11717</v>
      </c>
    </row>
    <row r="42" ht="12.75">
      <c r="A42" s="169" t="s">
        <v>151</v>
      </c>
    </row>
    <row r="50" spans="1:7" ht="12.75">
      <c r="A50" s="169" t="s">
        <v>152</v>
      </c>
      <c r="B50" s="169">
        <f>-0.017/(B7*B7+B22*B22)*(B21*B22+B6*B7)</f>
        <v>3.567583964994002E-05</v>
      </c>
      <c r="C50" s="169">
        <f>-0.017/(C7*C7+C22*C22)*(C21*C22+C6*C7)</f>
        <v>0.00035687584476264307</v>
      </c>
      <c r="D50" s="169">
        <f>-0.017/(D7*D7+D22*D22)*(D21*D22+D6*D7)</f>
        <v>0.0001209576102261385</v>
      </c>
      <c r="E50" s="169">
        <f>-0.017/(E7*E7+E22*E22)*(E21*E22+E6*E7)</f>
        <v>0.0004616947819839304</v>
      </c>
      <c r="F50" s="169">
        <f>-0.017/(F7*F7+F22*F22)*(F21*F22+F6*F7)</f>
        <v>2.159546373928175E-05</v>
      </c>
      <c r="G50" s="169">
        <f>(B50*B$4+C50*C$4+D50*D$4+E50*E$4+F50*F$4)/SUM(B$4:F$4)</f>
        <v>0.00023408392038357773</v>
      </c>
    </row>
    <row r="51" spans="1:7" ht="12.75">
      <c r="A51" s="169" t="s">
        <v>153</v>
      </c>
      <c r="B51" s="169">
        <f>-0.017/(B7*B7+B22*B22)*(B21*B7-B6*B22)</f>
        <v>0.001508157885210102</v>
      </c>
      <c r="C51" s="169">
        <f>-0.017/(C7*C7+C22*C22)*(C21*C7-C6*C22)</f>
        <v>0.0010026873544108212</v>
      </c>
      <c r="D51" s="169">
        <f>-0.017/(D7*D7+D22*D22)*(D21*D7-D6*D22)</f>
        <v>0.0011810915688929451</v>
      </c>
      <c r="E51" s="169">
        <f>-0.017/(E7*E7+E22*E22)*(E21*E7-E6*E22)</f>
        <v>0.0009921641701525184</v>
      </c>
      <c r="F51" s="169">
        <f>-0.017/(F7*F7+F22*F22)*(F21*F7-F6*F22)</f>
        <v>0.0013711926845357528</v>
      </c>
      <c r="G51" s="169">
        <f>(B51*B$4+C51*C$4+D51*D$4+E51*E$4+F51*F$4)/SUM(B$4:F$4)</f>
        <v>0.0011654127896177252</v>
      </c>
    </row>
    <row r="58" ht="12.75">
      <c r="A58" s="169" t="s">
        <v>155</v>
      </c>
    </row>
    <row r="60" spans="2:6" ht="12.75">
      <c r="B60" s="169" t="s">
        <v>84</v>
      </c>
      <c r="C60" s="169" t="s">
        <v>85</v>
      </c>
      <c r="D60" s="169" t="s">
        <v>86</v>
      </c>
      <c r="E60" s="169" t="s">
        <v>87</v>
      </c>
      <c r="F60" s="169" t="s">
        <v>88</v>
      </c>
    </row>
    <row r="61" spans="1:6" ht="12.75">
      <c r="A61" s="169" t="s">
        <v>157</v>
      </c>
      <c r="B61" s="169">
        <f>B6+(1/0.017)*(B7*B50-B22*B51)</f>
        <v>0</v>
      </c>
      <c r="C61" s="169">
        <f>C6+(1/0.017)*(C7*C50-C22*C51)</f>
        <v>0</v>
      </c>
      <c r="D61" s="169">
        <f>D6+(1/0.017)*(D7*D50-D22*D51)</f>
        <v>0</v>
      </c>
      <c r="E61" s="169">
        <f>E6+(1/0.017)*(E7*E50-E22*E51)</f>
        <v>0</v>
      </c>
      <c r="F61" s="169">
        <f>F6+(1/0.017)*(F7*F50-F22*F51)</f>
        <v>0</v>
      </c>
    </row>
    <row r="62" spans="1:6" ht="12.75">
      <c r="A62" s="169" t="s">
        <v>160</v>
      </c>
      <c r="B62" s="169">
        <f>B7+(2/0.017)*(B8*B50-B23*B51)</f>
        <v>9999.730993215575</v>
      </c>
      <c r="C62" s="169">
        <f>C7+(2/0.017)*(C8*C50-C23*C51)</f>
        <v>9999.88197665427</v>
      </c>
      <c r="D62" s="169">
        <f>D7+(2/0.017)*(D8*D50-D23*D51)</f>
        <v>9999.848504331052</v>
      </c>
      <c r="E62" s="169">
        <f>E7+(2/0.017)*(E8*E50-E23*E51)</f>
        <v>9999.963854161722</v>
      </c>
      <c r="F62" s="169">
        <f>F7+(2/0.017)*(F8*F50-F23*F51)</f>
        <v>9998.970060364189</v>
      </c>
    </row>
    <row r="63" spans="1:6" ht="12.75">
      <c r="A63" s="169" t="s">
        <v>161</v>
      </c>
      <c r="B63" s="169">
        <f>B8+(3/0.017)*(B9*B50-B24*B51)</f>
        <v>-2.0544467725899627</v>
      </c>
      <c r="C63" s="169">
        <f>C8+(3/0.017)*(C9*C50-C24*C51)</f>
        <v>1.5468720717336333</v>
      </c>
      <c r="D63" s="169">
        <f>D8+(3/0.017)*(D9*D50-D24*D51)</f>
        <v>0.962320265199915</v>
      </c>
      <c r="E63" s="169">
        <f>E8+(3/0.017)*(E9*E50-E24*E51)</f>
        <v>1.620497926460819</v>
      </c>
      <c r="F63" s="169">
        <f>F8+(3/0.017)*(F9*F50-F24*F51)</f>
        <v>-0.3507749924024234</v>
      </c>
    </row>
    <row r="64" spans="1:6" ht="12.75">
      <c r="A64" s="169" t="s">
        <v>162</v>
      </c>
      <c r="B64" s="169">
        <f>B9+(4/0.017)*(B10*B50-B25*B51)</f>
        <v>0.282872113762539</v>
      </c>
      <c r="C64" s="169">
        <f>C9+(4/0.017)*(C10*C50-C25*C51)</f>
        <v>0.3751483998435683</v>
      </c>
      <c r="D64" s="169">
        <f>D9+(4/0.017)*(D10*D50-D25*D51)</f>
        <v>0.5006744746872074</v>
      </c>
      <c r="E64" s="169">
        <f>E9+(4/0.017)*(E10*E50-E25*E51)</f>
        <v>0.2985997816778321</v>
      </c>
      <c r="F64" s="169">
        <f>F9+(4/0.017)*(F10*F50-F25*F51)</f>
        <v>0.14624810843077496</v>
      </c>
    </row>
    <row r="65" spans="1:6" ht="12.75">
      <c r="A65" s="169" t="s">
        <v>163</v>
      </c>
      <c r="B65" s="169">
        <f>B10+(5/0.017)*(B11*B50-B26*B51)</f>
        <v>0.8270902362990404</v>
      </c>
      <c r="C65" s="169">
        <f>C10+(5/0.017)*(C11*C50-C26*C51)</f>
        <v>-0.4257079933488271</v>
      </c>
      <c r="D65" s="169">
        <f>D10+(5/0.017)*(D11*D50-D26*D51)</f>
        <v>-0.748556410990195</v>
      </c>
      <c r="E65" s="169">
        <f>E10+(5/0.017)*(E11*E50-E26*E51)</f>
        <v>-0.21408994492688826</v>
      </c>
      <c r="F65" s="169">
        <f>F10+(5/0.017)*(F11*F50-F26*F51)</f>
        <v>-1.2873635836985262</v>
      </c>
    </row>
    <row r="66" spans="1:6" ht="12.75">
      <c r="A66" s="169" t="s">
        <v>164</v>
      </c>
      <c r="B66" s="169">
        <f>B11+(6/0.017)*(B12*B50-B27*B51)</f>
        <v>4.301356715801191</v>
      </c>
      <c r="C66" s="169">
        <f>C11+(6/0.017)*(C12*C50-C27*C51)</f>
        <v>4.44316161851616</v>
      </c>
      <c r="D66" s="169">
        <f>D11+(6/0.017)*(D12*D50-D27*D51)</f>
        <v>4.848437857985045</v>
      </c>
      <c r="E66" s="169">
        <f>E11+(6/0.017)*(E12*E50-E27*E51)</f>
        <v>4.994292758511189</v>
      </c>
      <c r="F66" s="169">
        <f>F11+(6/0.017)*(F12*F50-F27*F51)</f>
        <v>14.6950051719342</v>
      </c>
    </row>
    <row r="67" spans="1:6" ht="12.75">
      <c r="A67" s="169" t="s">
        <v>165</v>
      </c>
      <c r="B67" s="169">
        <f>B12+(7/0.017)*(B13*B50-B28*B51)</f>
        <v>-0.06827461596513662</v>
      </c>
      <c r="C67" s="169">
        <f>C12+(7/0.017)*(C13*C50-C28*C51)</f>
        <v>-0.09102847568575753</v>
      </c>
      <c r="D67" s="169">
        <f>D12+(7/0.017)*(D13*D50-D28*D51)</f>
        <v>0.06790302614471543</v>
      </c>
      <c r="E67" s="169">
        <f>E12+(7/0.017)*(E13*E50-E28*E51)</f>
        <v>-0.006066675371868405</v>
      </c>
      <c r="F67" s="169">
        <f>F12+(7/0.017)*(F13*F50-F28*F51)</f>
        <v>-0.4652260507021814</v>
      </c>
    </row>
    <row r="68" spans="1:6" ht="12.75">
      <c r="A68" s="169" t="s">
        <v>166</v>
      </c>
      <c r="B68" s="169">
        <f>B13+(8/0.017)*(B14*B50-B29*B51)</f>
        <v>-0.019917320065147293</v>
      </c>
      <c r="C68" s="169">
        <f>C13+(8/0.017)*(C14*C50-C29*C51)</f>
        <v>-0.13289170380939602</v>
      </c>
      <c r="D68" s="169">
        <f>D13+(8/0.017)*(D14*D50-D29*D51)</f>
        <v>0.021587615524720043</v>
      </c>
      <c r="E68" s="169">
        <f>E13+(8/0.017)*(E14*E50-E29*E51)</f>
        <v>-0.04985776444169232</v>
      </c>
      <c r="F68" s="169">
        <f>F13+(8/0.017)*(F14*F50-F29*F51)</f>
        <v>-0.2056988281809481</v>
      </c>
    </row>
    <row r="69" spans="1:6" ht="12.75">
      <c r="A69" s="169" t="s">
        <v>167</v>
      </c>
      <c r="B69" s="169">
        <f>B14+(9/0.017)*(B15*B50-B30*B51)</f>
        <v>0.0914047740734648</v>
      </c>
      <c r="C69" s="169">
        <f>C14+(9/0.017)*(C15*C50-C30*C51)</f>
        <v>-0.028842864187786598</v>
      </c>
      <c r="D69" s="169">
        <f>D14+(9/0.017)*(D15*D50-D30*D51)</f>
        <v>0.004521317552944659</v>
      </c>
      <c r="E69" s="169">
        <f>E14+(9/0.017)*(E15*E50-E30*E51)</f>
        <v>0.07118564629947868</v>
      </c>
      <c r="F69" s="169">
        <f>F14+(9/0.017)*(F15*F50-F30*F51)</f>
        <v>-0.10014874307368477</v>
      </c>
    </row>
    <row r="70" spans="1:6" ht="12.75">
      <c r="A70" s="169" t="s">
        <v>168</v>
      </c>
      <c r="B70" s="169">
        <f>B15+(10/0.017)*(B16*B50-B31*B51)</f>
        <v>-0.37917506685205005</v>
      </c>
      <c r="C70" s="169">
        <f>C15+(10/0.017)*(C16*C50-C31*C51)</f>
        <v>-0.09898320102998884</v>
      </c>
      <c r="D70" s="169">
        <f>D15+(10/0.017)*(D16*D50-D31*D51)</f>
        <v>-0.04239815295223304</v>
      </c>
      <c r="E70" s="169">
        <f>E15+(10/0.017)*(E16*E50-E31*E51)</f>
        <v>-0.0415591545989566</v>
      </c>
      <c r="F70" s="169">
        <f>F15+(10/0.017)*(F16*F50-F31*F51)</f>
        <v>-0.46063216360632875</v>
      </c>
    </row>
    <row r="71" spans="1:6" ht="12.75">
      <c r="A71" s="169" t="s">
        <v>169</v>
      </c>
      <c r="B71" s="169">
        <f>B16+(11/0.017)*(B17*B50-B32*B51)</f>
        <v>-0.01313640560501645</v>
      </c>
      <c r="C71" s="169">
        <f>C16+(11/0.017)*(C17*C50-C32*C51)</f>
        <v>0.011884167724541272</v>
      </c>
      <c r="D71" s="169">
        <f>D16+(11/0.017)*(D17*D50-D32*D51)</f>
        <v>0.020904397213833872</v>
      </c>
      <c r="E71" s="169">
        <f>E16+(11/0.017)*(E17*E50-E32*E51)</f>
        <v>0.0205919664338087</v>
      </c>
      <c r="F71" s="169">
        <f>F16+(11/0.017)*(F17*F50-F32*F51)</f>
        <v>-0.007316338551390636</v>
      </c>
    </row>
    <row r="72" spans="1:6" ht="12.75">
      <c r="A72" s="169" t="s">
        <v>170</v>
      </c>
      <c r="B72" s="169">
        <f>B17+(12/0.017)*(B18*B50-B33*B51)</f>
        <v>-0.07036140333012589</v>
      </c>
      <c r="C72" s="169">
        <f>C17+(12/0.017)*(C18*C50-C33*C51)</f>
        <v>-0.02774920534750022</v>
      </c>
      <c r="D72" s="169">
        <f>D17+(12/0.017)*(D18*D50-D33*D51)</f>
        <v>-0.027649250944565953</v>
      </c>
      <c r="E72" s="169">
        <f>E17+(12/0.017)*(E18*E50-E33*E51)</f>
        <v>-0.003853918105480192</v>
      </c>
      <c r="F72" s="169">
        <f>F17+(12/0.017)*(F18*F50-F33*F51)</f>
        <v>-0.06105452608498193</v>
      </c>
    </row>
    <row r="73" spans="1:6" ht="12.75">
      <c r="A73" s="169" t="s">
        <v>171</v>
      </c>
      <c r="B73" s="169">
        <f>B18+(13/0.017)*(B19*B50-B34*B51)</f>
        <v>-0.012062493986929703</v>
      </c>
      <c r="C73" s="169">
        <f>C18+(13/0.017)*(C19*C50-C34*C51)</f>
        <v>-0.00530368849377965</v>
      </c>
      <c r="D73" s="169">
        <f>D18+(13/0.017)*(D19*D50-D34*D51)</f>
        <v>-0.008065755191360538</v>
      </c>
      <c r="E73" s="169">
        <f>E18+(13/0.017)*(E19*E50-E34*E51)</f>
        <v>-0.007374063371710524</v>
      </c>
      <c r="F73" s="169">
        <f>F18+(13/0.017)*(F19*F50-F34*F51)</f>
        <v>-0.004038249668299774</v>
      </c>
    </row>
    <row r="74" spans="1:6" ht="12.75">
      <c r="A74" s="169" t="s">
        <v>172</v>
      </c>
      <c r="B74" s="169">
        <f>B19+(14/0.017)*(B20*B50-B35*B51)</f>
        <v>-0.18106038636079436</v>
      </c>
      <c r="C74" s="169">
        <f>C19+(14/0.017)*(C20*C50-C35*C51)</f>
        <v>-0.17911494982751755</v>
      </c>
      <c r="D74" s="169">
        <f>D19+(14/0.017)*(D20*D50-D35*D51)</f>
        <v>-0.17901935930299534</v>
      </c>
      <c r="E74" s="169">
        <f>E19+(14/0.017)*(E20*E50-E35*E51)</f>
        <v>-0.17946621446737387</v>
      </c>
      <c r="F74" s="169">
        <f>F19+(14/0.017)*(F20*F50-F35*F51)</f>
        <v>-0.1303020770273219</v>
      </c>
    </row>
    <row r="75" spans="1:6" ht="12.75">
      <c r="A75" s="169" t="s">
        <v>173</v>
      </c>
      <c r="B75" s="170">
        <f>B20</f>
        <v>-0.003320921</v>
      </c>
      <c r="C75" s="170">
        <f>C20</f>
        <v>-0.001521652</v>
      </c>
      <c r="D75" s="170">
        <f>D20</f>
        <v>-0.003659483</v>
      </c>
      <c r="E75" s="170">
        <f>E20</f>
        <v>-0.002188177</v>
      </c>
      <c r="F75" s="170">
        <f>F20</f>
        <v>0.001402935</v>
      </c>
    </row>
    <row r="78" ht="12.75">
      <c r="A78" s="169" t="s">
        <v>155</v>
      </c>
    </row>
    <row r="80" spans="2:6" ht="12.75">
      <c r="B80" s="169" t="s">
        <v>84</v>
      </c>
      <c r="C80" s="169" t="s">
        <v>85</v>
      </c>
      <c r="D80" s="169" t="s">
        <v>86</v>
      </c>
      <c r="E80" s="169" t="s">
        <v>87</v>
      </c>
      <c r="F80" s="169" t="s">
        <v>88</v>
      </c>
    </row>
    <row r="81" spans="1:6" ht="12.75">
      <c r="A81" s="169" t="s">
        <v>174</v>
      </c>
      <c r="B81" s="169">
        <f>B21+(1/0.017)*(B7*B51+B22*B50)</f>
        <v>0</v>
      </c>
      <c r="C81" s="169">
        <f>C21+(1/0.017)*(C7*C51+C22*C50)</f>
        <v>0</v>
      </c>
      <c r="D81" s="169">
        <f>D21+(1/0.017)*(D7*D51+D22*D50)</f>
        <v>0</v>
      </c>
      <c r="E81" s="169">
        <f>E21+(1/0.017)*(E7*E51+E22*E50)</f>
        <v>0</v>
      </c>
      <c r="F81" s="169">
        <f>F21+(1/0.017)*(F7*F51+F22*F50)</f>
        <v>0</v>
      </c>
    </row>
    <row r="82" spans="1:6" ht="12.75">
      <c r="A82" s="169" t="s">
        <v>175</v>
      </c>
      <c r="B82" s="169">
        <f>B22+(2/0.017)*(B8*B51+B23*B50)</f>
        <v>115.7301256796703</v>
      </c>
      <c r="C82" s="169">
        <f>C22+(2/0.017)*(C8*C51+C23*C50)</f>
        <v>37.689676091732146</v>
      </c>
      <c r="D82" s="169">
        <f>D22+(2/0.017)*(D8*D51+D23*D50)</f>
        <v>-20.227804056374683</v>
      </c>
      <c r="E82" s="169">
        <f>E22+(2/0.017)*(E8*E51+E23*E50)</f>
        <v>-39.83734309222074</v>
      </c>
      <c r="F82" s="169">
        <f>F22+(2/0.017)*(F8*F51+F23*F50)</f>
        <v>-85.75738243958372</v>
      </c>
    </row>
    <row r="83" spans="1:6" ht="12.75">
      <c r="A83" s="169" t="s">
        <v>176</v>
      </c>
      <c r="B83" s="169">
        <f>B23+(3/0.017)*(B9*B51+B24*B50)</f>
        <v>1.3622926241094824</v>
      </c>
      <c r="C83" s="169">
        <f>C23+(3/0.017)*(C9*C51+C24*C50)</f>
        <v>1.1524991047781663</v>
      </c>
      <c r="D83" s="169">
        <f>D23+(3/0.017)*(D9*D51+D24*D50)</f>
        <v>1.1231648735553164</v>
      </c>
      <c r="E83" s="169">
        <f>E23+(3/0.017)*(E9*E51+E24*E50)</f>
        <v>0.4275450989981256</v>
      </c>
      <c r="F83" s="169">
        <f>F23+(3/0.017)*(F9*F51+F24*F50)</f>
        <v>5.834829901296111</v>
      </c>
    </row>
    <row r="84" spans="1:6" ht="12.75">
      <c r="A84" s="169" t="s">
        <v>177</v>
      </c>
      <c r="B84" s="169">
        <f>B24+(4/0.017)*(B10*B51+B25*B50)</f>
        <v>0.5980343437497776</v>
      </c>
      <c r="C84" s="169">
        <f>C24+(4/0.017)*(C10*C51+C25*C50)</f>
        <v>-3.645824225759769</v>
      </c>
      <c r="D84" s="169">
        <f>D24+(4/0.017)*(D10*D51+D25*D50)</f>
        <v>-2.4756834545784807</v>
      </c>
      <c r="E84" s="169">
        <f>E24+(4/0.017)*(E10*E51+E25*E50)</f>
        <v>-4.290065745114469</v>
      </c>
      <c r="F84" s="169">
        <f>F24+(4/0.017)*(F10*F51+F25*F50)</f>
        <v>-1.3864987659823464</v>
      </c>
    </row>
    <row r="85" spans="1:6" ht="12.75">
      <c r="A85" s="169" t="s">
        <v>178</v>
      </c>
      <c r="B85" s="169">
        <f>B25+(5/0.017)*(B11*B51+B26*B50)</f>
        <v>0.039318851199093396</v>
      </c>
      <c r="C85" s="169">
        <f>C25+(5/0.017)*(C11*C51+C26*C50)</f>
        <v>0.27292414713182755</v>
      </c>
      <c r="D85" s="169">
        <f>D25+(5/0.017)*(D11*D51+D26*D50)</f>
        <v>0.1800547800750456</v>
      </c>
      <c r="E85" s="169">
        <f>E25+(5/0.017)*(E11*E51+E26*E50)</f>
        <v>-0.1379077631823442</v>
      </c>
      <c r="F85" s="169">
        <f>F25+(5/0.017)*(F11*F51+F26*F50)</f>
        <v>-1.3002922830086012</v>
      </c>
    </row>
    <row r="86" spans="1:6" ht="12.75">
      <c r="A86" s="169" t="s">
        <v>179</v>
      </c>
      <c r="B86" s="169">
        <f>B26+(6/0.017)*(B12*B51+B27*B50)</f>
        <v>1.1235865883806573</v>
      </c>
      <c r="C86" s="169">
        <f>C26+(6/0.017)*(C12*C51+C27*C50)</f>
        <v>0.5095459338208128</v>
      </c>
      <c r="D86" s="169">
        <f>D26+(6/0.017)*(D12*D51+D27*D50)</f>
        <v>-0.4007042658137771</v>
      </c>
      <c r="E86" s="169">
        <f>E26+(6/0.017)*(E12*E51+E27*E50)</f>
        <v>0.11987286311342707</v>
      </c>
      <c r="F86" s="169">
        <f>F26+(6/0.017)*(F12*F51+F27*F50)</f>
        <v>1.7263434491114606</v>
      </c>
    </row>
    <row r="87" spans="1:6" ht="12.75">
      <c r="A87" s="169" t="s">
        <v>180</v>
      </c>
      <c r="B87" s="169">
        <f>B27+(7/0.017)*(B13*B51+B28*B50)</f>
        <v>0.27420567826374453</v>
      </c>
      <c r="C87" s="169">
        <f>C27+(7/0.017)*(C13*C51+C28*C50)</f>
        <v>0.027854178116550735</v>
      </c>
      <c r="D87" s="169">
        <f>D27+(7/0.017)*(D13*D51+D28*D50)</f>
        <v>-0.2358349502264572</v>
      </c>
      <c r="E87" s="169">
        <f>E27+(7/0.017)*(E13*E51+E28*E50)</f>
        <v>-0.046603616261984594</v>
      </c>
      <c r="F87" s="169">
        <f>F27+(7/0.017)*(F13*F51+F28*F50)</f>
        <v>0.43369423200666346</v>
      </c>
    </row>
    <row r="88" spans="1:6" ht="12.75">
      <c r="A88" s="169" t="s">
        <v>181</v>
      </c>
      <c r="B88" s="169">
        <f>B28+(8/0.017)*(B14*B51+B29*B50)</f>
        <v>0.48100593194023145</v>
      </c>
      <c r="C88" s="169">
        <f>C28+(8/0.017)*(C14*C51+C29*C50)</f>
        <v>-0.1432275885025589</v>
      </c>
      <c r="D88" s="169">
        <f>D28+(8/0.017)*(D14*D51+D29*D50)</f>
        <v>-0.26677391221636293</v>
      </c>
      <c r="E88" s="169">
        <f>E28+(8/0.017)*(E14*E51+E29*E50)</f>
        <v>-0.2194990840513345</v>
      </c>
      <c r="F88" s="169">
        <f>F28+(8/0.017)*(F14*F51+F29*F50)</f>
        <v>-0.18506113304332936</v>
      </c>
    </row>
    <row r="89" spans="1:6" ht="12.75">
      <c r="A89" s="169" t="s">
        <v>182</v>
      </c>
      <c r="B89" s="169">
        <f>B29+(9/0.017)*(B15*B51+B30*B50)</f>
        <v>0.07435740478313602</v>
      </c>
      <c r="C89" s="169">
        <f>C29+(9/0.017)*(C15*C51+C30*C50)</f>
        <v>0.03289782688530103</v>
      </c>
      <c r="D89" s="169">
        <f>D29+(9/0.017)*(D15*D51+D30*D50)</f>
        <v>0.04748651047922235</v>
      </c>
      <c r="E89" s="169">
        <f>E29+(9/0.017)*(E15*E51+E30*E50)</f>
        <v>-0.030911515159989356</v>
      </c>
      <c r="F89" s="169">
        <f>F29+(9/0.017)*(F15*F51+F30*F50)</f>
        <v>0.11097018005213749</v>
      </c>
    </row>
    <row r="90" spans="1:6" ht="12.75">
      <c r="A90" s="169" t="s">
        <v>183</v>
      </c>
      <c r="B90" s="169">
        <f>B30+(10/0.017)*(B16*B51+B31*B50)</f>
        <v>0.12929284628575294</v>
      </c>
      <c r="C90" s="169">
        <f>C30+(10/0.017)*(C16*C51+C31*C50)</f>
        <v>0.04851562500732333</v>
      </c>
      <c r="D90" s="169">
        <f>D30+(10/0.017)*(D16*D51+D31*D50)</f>
        <v>0.05965617870923237</v>
      </c>
      <c r="E90" s="169">
        <f>E30+(10/0.017)*(E16*E51+E31*E50)</f>
        <v>0.037100683385339346</v>
      </c>
      <c r="F90" s="169">
        <f>F30+(10/0.017)*(F16*F51+F31*F50)</f>
        <v>0.22203256305000812</v>
      </c>
    </row>
    <row r="91" spans="1:6" ht="12.75">
      <c r="A91" s="169" t="s">
        <v>184</v>
      </c>
      <c r="B91" s="169">
        <f>B31+(11/0.017)*(B17*B51+B32*B50)</f>
        <v>0.10639296698646757</v>
      </c>
      <c r="C91" s="169">
        <f>C31+(11/0.017)*(C17*C51+C32*C50)</f>
        <v>-0.0026337615310174766</v>
      </c>
      <c r="D91" s="169">
        <f>D31+(11/0.017)*(D17*D51+D32*D50)</f>
        <v>0.019287684965682655</v>
      </c>
      <c r="E91" s="169">
        <f>E31+(11/0.017)*(E17*E51+E32*E50)</f>
        <v>0.013888370719034154</v>
      </c>
      <c r="F91" s="169">
        <f>F31+(11/0.017)*(F17*F51+F32*F50)</f>
        <v>0.12839773438432084</v>
      </c>
    </row>
    <row r="92" spans="1:6" ht="12.75">
      <c r="A92" s="169" t="s">
        <v>185</v>
      </c>
      <c r="B92" s="169">
        <f>B32+(12/0.017)*(B18*B51+B33*B50)</f>
        <v>0.041293984939300664</v>
      </c>
      <c r="C92" s="169">
        <f>C32+(12/0.017)*(C18*C51+C33*C50)</f>
        <v>0.01421331922227756</v>
      </c>
      <c r="D92" s="169">
        <f>D32+(12/0.017)*(D18*D51+D33*D50)</f>
        <v>-0.013504741848305832</v>
      </c>
      <c r="E92" s="169">
        <f>E32+(12/0.017)*(E18*E51+E33*E50)</f>
        <v>0.031428782179353576</v>
      </c>
      <c r="F92" s="169">
        <f>F32+(12/0.017)*(F18*F51+F33*F50)</f>
        <v>-0.015232199311651623</v>
      </c>
    </row>
    <row r="93" spans="1:6" ht="12.75">
      <c r="A93" s="169" t="s">
        <v>186</v>
      </c>
      <c r="B93" s="169">
        <f>B33+(13/0.017)*(B19*B51+B34*B50)</f>
        <v>-0.03576448791314113</v>
      </c>
      <c r="C93" s="169">
        <f>C33+(13/0.017)*(C19*C51+C34*C50)</f>
        <v>-0.049331090433129776</v>
      </c>
      <c r="D93" s="169">
        <f>D33+(13/0.017)*(D19*D51+D34*D50)</f>
        <v>-0.04402656336500367</v>
      </c>
      <c r="E93" s="169">
        <f>E33+(13/0.017)*(E19*E51+E34*E50)</f>
        <v>-0.03568841391300924</v>
      </c>
      <c r="F93" s="169">
        <f>F33+(13/0.017)*(F19*F51+F34*F50)</f>
        <v>-0.01841009768513943</v>
      </c>
    </row>
    <row r="94" spans="1:6" ht="12.75">
      <c r="A94" s="169" t="s">
        <v>187</v>
      </c>
      <c r="B94" s="169">
        <f>B34+(14/0.017)*(B20*B51+B35*B50)</f>
        <v>-0.00987365910896592</v>
      </c>
      <c r="C94" s="169">
        <f>C34+(14/0.017)*(C20*C51+C35*C50)</f>
        <v>-0.005653466939187516</v>
      </c>
      <c r="D94" s="169">
        <f>D34+(14/0.017)*(D20*D51+D35*D50)</f>
        <v>0.0028515007668312702</v>
      </c>
      <c r="E94" s="169">
        <f>E34+(14/0.017)*(E20*E51+E35*E50)</f>
        <v>0.0029970632105232467</v>
      </c>
      <c r="F94" s="169">
        <f>F34+(14/0.017)*(F20*F51+F35*F50)</f>
        <v>-0.019359237515577343</v>
      </c>
    </row>
    <row r="95" spans="1:6" ht="12.75">
      <c r="A95" s="169" t="s">
        <v>188</v>
      </c>
      <c r="B95" s="170">
        <f>B35</f>
        <v>-0.005668126</v>
      </c>
      <c r="C95" s="170">
        <f>C35</f>
        <v>-0.001740446</v>
      </c>
      <c r="D95" s="170">
        <f>D35</f>
        <v>0.001886706</v>
      </c>
      <c r="E95" s="170">
        <f>E35</f>
        <v>0.001701221</v>
      </c>
      <c r="F95" s="170">
        <f>F35</f>
        <v>0.007778331</v>
      </c>
    </row>
    <row r="98" ht="12.75">
      <c r="A98" s="169" t="s">
        <v>156</v>
      </c>
    </row>
    <row r="100" spans="2:11" ht="12.75">
      <c r="B100" s="169" t="s">
        <v>84</v>
      </c>
      <c r="C100" s="169" t="s">
        <v>85</v>
      </c>
      <c r="D100" s="169" t="s">
        <v>86</v>
      </c>
      <c r="E100" s="169" t="s">
        <v>87</v>
      </c>
      <c r="F100" s="169" t="s">
        <v>88</v>
      </c>
      <c r="G100" s="169" t="s">
        <v>158</v>
      </c>
      <c r="H100" s="169" t="s">
        <v>159</v>
      </c>
      <c r="I100" s="169" t="s">
        <v>154</v>
      </c>
      <c r="K100" s="169" t="s">
        <v>189</v>
      </c>
    </row>
    <row r="101" spans="1:9" ht="12.75">
      <c r="A101" s="169" t="s">
        <v>157</v>
      </c>
      <c r="B101" s="169">
        <f>B61*10000/B62</f>
        <v>0</v>
      </c>
      <c r="C101" s="169">
        <f>C61*10000/C62</f>
        <v>0</v>
      </c>
      <c r="D101" s="169">
        <f>D61*10000/D62</f>
        <v>0</v>
      </c>
      <c r="E101" s="169">
        <f>E61*10000/E62</f>
        <v>0</v>
      </c>
      <c r="F101" s="169">
        <f>F61*10000/F62</f>
        <v>0</v>
      </c>
      <c r="G101" s="169">
        <f>AVERAGE(C101:E101)</f>
        <v>0</v>
      </c>
      <c r="H101" s="169">
        <f>STDEV(C101:E101)</f>
        <v>0</v>
      </c>
      <c r="I101" s="169">
        <f>(B101*B4+C101*C4+D101*D4+E101*E4+F101*F4)/SUM(B4:F4)</f>
        <v>0</v>
      </c>
    </row>
    <row r="102" spans="1:9" ht="12.75">
      <c r="A102" s="169" t="s">
        <v>160</v>
      </c>
      <c r="B102" s="169">
        <f>B62*10000/B62</f>
        <v>10000</v>
      </c>
      <c r="C102" s="169">
        <f>C62*10000/C62</f>
        <v>10000</v>
      </c>
      <c r="D102" s="169">
        <f>D62*10000/D62</f>
        <v>10000</v>
      </c>
      <c r="E102" s="169">
        <f>E62*10000/E62</f>
        <v>10000</v>
      </c>
      <c r="F102" s="169">
        <f>F62*10000/F62</f>
        <v>10000</v>
      </c>
      <c r="G102" s="169">
        <f>AVERAGE(C102:E102)</f>
        <v>10000</v>
      </c>
      <c r="H102" s="169">
        <f>STDEV(C102:E102)</f>
        <v>0</v>
      </c>
      <c r="I102" s="169">
        <f>(B102*B4+C102*C4+D102*D4+E102*E4+F102*F4)/SUM(B4:F4)</f>
        <v>10000.000000000002</v>
      </c>
    </row>
    <row r="103" spans="1:11" ht="12.75">
      <c r="A103" s="169" t="s">
        <v>161</v>
      </c>
      <c r="B103" s="169">
        <f>B63*10000/B62</f>
        <v>-2.0545020400887024</v>
      </c>
      <c r="C103" s="169">
        <f>C63*10000/C62</f>
        <v>1.54689032865084</v>
      </c>
      <c r="D103" s="169">
        <f>D63*10000/D62</f>
        <v>0.9623348441560118</v>
      </c>
      <c r="E103" s="169">
        <f>E63*10000/E62</f>
        <v>1.620503783907589</v>
      </c>
      <c r="F103" s="169">
        <f>F63*10000/F62</f>
        <v>-0.35081112383053503</v>
      </c>
      <c r="G103" s="169">
        <f>AVERAGE(C103:E103)</f>
        <v>1.3765763189048137</v>
      </c>
      <c r="H103" s="169">
        <f>STDEV(C103:E103)</f>
        <v>0.3606268636003919</v>
      </c>
      <c r="I103" s="169">
        <f>(B103*B4+C103*C4+D103*D4+E103*E4+F103*F4)/SUM(B4:F4)</f>
        <v>0.6495791650772974</v>
      </c>
      <c r="K103" s="169">
        <f>(LN(H103)+LN(H123))/2-LN(K114*K115^3)</f>
        <v>-4.83387332434394</v>
      </c>
    </row>
    <row r="104" spans="1:11" ht="12.75">
      <c r="A104" s="169" t="s">
        <v>162</v>
      </c>
      <c r="B104" s="169">
        <f>B64*10000/B62</f>
        <v>0.28287972341901657</v>
      </c>
      <c r="C104" s="169">
        <f>C64*10000/C62</f>
        <v>0.37515282752275475</v>
      </c>
      <c r="D104" s="169">
        <f>D64*10000/D62</f>
        <v>0.5006820598035654</v>
      </c>
      <c r="E104" s="169">
        <f>E64*10000/E62</f>
        <v>0.2986008609956752</v>
      </c>
      <c r="F104" s="169">
        <f>F64*10000/F62</f>
        <v>0.1462631726546526</v>
      </c>
      <c r="G104" s="169">
        <f>AVERAGE(C104:E104)</f>
        <v>0.39147858277399844</v>
      </c>
      <c r="H104" s="169">
        <f>STDEV(C104:E104)</f>
        <v>0.10202499909973577</v>
      </c>
      <c r="I104" s="169">
        <f>(B104*B4+C104*C4+D104*D4+E104*E4+F104*F4)/SUM(B4:F4)</f>
        <v>0.34299580133261853</v>
      </c>
      <c r="K104" s="169">
        <f>(LN(H104)+LN(H124))/2-LN(K114*K115^4)</f>
        <v>-4.470307617968276</v>
      </c>
    </row>
    <row r="105" spans="1:11" ht="12.75">
      <c r="A105" s="169" t="s">
        <v>163</v>
      </c>
      <c r="B105" s="169">
        <f>B65*10000/B62</f>
        <v>0.827112486186067</v>
      </c>
      <c r="C105" s="169">
        <f>C65*10000/C62</f>
        <v>-0.4257130177562947</v>
      </c>
      <c r="D105" s="169">
        <f>D65*10000/D62</f>
        <v>-0.748567751467421</v>
      </c>
      <c r="E105" s="169">
        <f>E65*10000/E62</f>
        <v>-0.21409071877573801</v>
      </c>
      <c r="F105" s="169">
        <f>F65*10000/F62</f>
        <v>-1.2874961880340274</v>
      </c>
      <c r="G105" s="169">
        <f>AVERAGE(C105:E105)</f>
        <v>-0.4627904959998179</v>
      </c>
      <c r="H105" s="169">
        <f>STDEV(C105:E105)</f>
        <v>0.26916069394211495</v>
      </c>
      <c r="I105" s="169">
        <f>(B105*B4+C105*C4+D105*D4+E105*E4+F105*F4)/SUM(B4:F4)</f>
        <v>-0.3864911946039918</v>
      </c>
      <c r="K105" s="169">
        <f>(LN(H105)+LN(H125))/2-LN(K114*K115^5)</f>
        <v>-4.119660700053272</v>
      </c>
    </row>
    <row r="106" spans="1:11" ht="12.75">
      <c r="A106" s="169" t="s">
        <v>164</v>
      </c>
      <c r="B106" s="169">
        <f>B66*10000/B62</f>
        <v>4.3014724283278145</v>
      </c>
      <c r="C106" s="169">
        <f>C66*10000/C62</f>
        <v>4.4432140588150615</v>
      </c>
      <c r="D106" s="169">
        <f>D66*10000/D62</f>
        <v>4.848511310831489</v>
      </c>
      <c r="E106" s="169">
        <f>E66*10000/E62</f>
        <v>4.994310810866277</v>
      </c>
      <c r="F106" s="169">
        <f>F66*10000/F62</f>
        <v>14.696518824658797</v>
      </c>
      <c r="G106" s="169">
        <f>AVERAGE(C106:E106)</f>
        <v>4.762012060170942</v>
      </c>
      <c r="H106" s="169">
        <f>STDEV(C106:E106)</f>
        <v>0.28554946647468266</v>
      </c>
      <c r="I106" s="169">
        <f>(B106*B4+C106*C4+D106*D4+E106*E4+F106*F4)/SUM(B4:F4)</f>
        <v>6.0232193459247085</v>
      </c>
      <c r="K106" s="169">
        <f>(LN(H106)+LN(H126))/2-LN(K114*K115^6)</f>
        <v>-3.1231492380575805</v>
      </c>
    </row>
    <row r="107" spans="1:11" ht="12.75">
      <c r="A107" s="169" t="s">
        <v>165</v>
      </c>
      <c r="B107" s="169">
        <f>B67*10000/B62</f>
        <v>-0.06827645264803449</v>
      </c>
      <c r="C107" s="169">
        <f>C67*10000/C62</f>
        <v>-0.09102955004696323</v>
      </c>
      <c r="D107" s="169">
        <f>D67*10000/D62</f>
        <v>0.06790405486173698</v>
      </c>
      <c r="E107" s="169">
        <f>E67*10000/E62</f>
        <v>-0.006066697300454355</v>
      </c>
      <c r="F107" s="169">
        <f>F67*10000/F62</f>
        <v>-0.4652739711126174</v>
      </c>
      <c r="G107" s="169">
        <f>AVERAGE(C107:E107)</f>
        <v>-0.009730730828560201</v>
      </c>
      <c r="H107" s="169">
        <f>STDEV(C107:E107)</f>
        <v>0.07953012981625276</v>
      </c>
      <c r="I107" s="169">
        <f>(B107*B4+C107*C4+D107*D4+E107*E4+F107*F4)/SUM(B4:F4)</f>
        <v>-0.07910094368434514</v>
      </c>
      <c r="K107" s="169">
        <f>(LN(H107)+LN(H127))/2-LN(K114*K115^7)</f>
        <v>-3.7768576092254387</v>
      </c>
    </row>
    <row r="108" spans="1:9" ht="12.75">
      <c r="A108" s="169" t="s">
        <v>166</v>
      </c>
      <c r="B108" s="169">
        <f>B68*10000/B62</f>
        <v>-0.01991785586898329</v>
      </c>
      <c r="C108" s="169">
        <f>C68*10000/C62</f>
        <v>-0.13289327226025774</v>
      </c>
      <c r="D108" s="169">
        <f>D68*10000/D62</f>
        <v>0.021587942572700167</v>
      </c>
      <c r="E108" s="169">
        <f>E68*10000/E62</f>
        <v>-0.049857944657412764</v>
      </c>
      <c r="F108" s="169">
        <f>F68*10000/F62</f>
        <v>-0.2057200161007943</v>
      </c>
      <c r="G108" s="169">
        <f>AVERAGE(C108:E108)</f>
        <v>-0.05372109144832345</v>
      </c>
      <c r="H108" s="169">
        <f>STDEV(C108:E108)</f>
        <v>0.07731302840668393</v>
      </c>
      <c r="I108" s="169">
        <f>(B108*B4+C108*C4+D108*D4+E108*E4+F108*F4)/SUM(B4:F4)</f>
        <v>-0.06916468718267232</v>
      </c>
    </row>
    <row r="109" spans="1:9" ht="12.75">
      <c r="A109" s="169" t="s">
        <v>167</v>
      </c>
      <c r="B109" s="169">
        <f>B69*10000/B62</f>
        <v>0.09140723299004679</v>
      </c>
      <c r="C109" s="169">
        <f>C69*10000/C62</f>
        <v>-0.028843204604937504</v>
      </c>
      <c r="D109" s="169">
        <f>D69*10000/D62</f>
        <v>0.004521386049985081</v>
      </c>
      <c r="E109" s="169">
        <f>E69*10000/E62</f>
        <v>0.07118590360689463</v>
      </c>
      <c r="F109" s="169">
        <f>F69*10000/F62</f>
        <v>-0.1001590588521445</v>
      </c>
      <c r="G109" s="169">
        <f>AVERAGE(C109:E109)</f>
        <v>0.015621361683980733</v>
      </c>
      <c r="H109" s="169">
        <f>STDEV(C109:E109)</f>
        <v>0.05092997856587099</v>
      </c>
      <c r="I109" s="169">
        <f>(B109*B4+C109*C4+D109*D4+E109*E4+F109*F4)/SUM(B4:F4)</f>
        <v>0.011096272231864594</v>
      </c>
    </row>
    <row r="110" spans="1:11" ht="12.75">
      <c r="A110" s="169" t="s">
        <v>168</v>
      </c>
      <c r="B110" s="169">
        <f>B70*10000/B62</f>
        <v>-0.37918526719299295</v>
      </c>
      <c r="C110" s="169">
        <f>C70*10000/C62</f>
        <v>-0.09898436927663254</v>
      </c>
      <c r="D110" s="169">
        <f>D70*10000/D62</f>
        <v>-0.04239879527561832</v>
      </c>
      <c r="E110" s="169">
        <f>E70*10000/E62</f>
        <v>-0.041559304818547686</v>
      </c>
      <c r="F110" s="169">
        <f>F70*10000/F62</f>
        <v>-0.4606796108253887</v>
      </c>
      <c r="G110" s="169">
        <f>AVERAGE(C110:E110)</f>
        <v>-0.060980823123599516</v>
      </c>
      <c r="H110" s="169">
        <f>STDEV(C110:E110)</f>
        <v>0.032914712914001845</v>
      </c>
      <c r="I110" s="169">
        <f>(B110*B4+C110*C4+D110*D4+E110*E4+F110*F4)/SUM(B4:F4)</f>
        <v>-0.16042588178022027</v>
      </c>
      <c r="K110" s="169">
        <f>EXP(AVERAGE(K103:K107))</f>
        <v>0.017166942400754108</v>
      </c>
    </row>
    <row r="111" spans="1:9" ht="12.75">
      <c r="A111" s="169" t="s">
        <v>169</v>
      </c>
      <c r="B111" s="169">
        <f>B71*10000/B62</f>
        <v>-0.013136758992745889</v>
      </c>
      <c r="C111" s="169">
        <f>C71*10000/C62</f>
        <v>0.011884307987120304</v>
      </c>
      <c r="D111" s="169">
        <f>D71*10000/D62</f>
        <v>0.020904713911195687</v>
      </c>
      <c r="E111" s="169">
        <f>E71*10000/E62</f>
        <v>0.020592040865466593</v>
      </c>
      <c r="F111" s="169">
        <f>F71*10000/F62</f>
        <v>-0.0073170921677148774</v>
      </c>
      <c r="G111" s="169">
        <f>AVERAGE(C111:E111)</f>
        <v>0.01779368758792753</v>
      </c>
      <c r="H111" s="169">
        <f>STDEV(C111:E111)</f>
        <v>0.0051200602104085405</v>
      </c>
      <c r="I111" s="169">
        <f>(B111*B4+C111*C4+D111*D4+E111*E4+F111*F4)/SUM(B4:F4)</f>
        <v>0.009963566894302773</v>
      </c>
    </row>
    <row r="112" spans="1:9" ht="12.75">
      <c r="A112" s="169" t="s">
        <v>170</v>
      </c>
      <c r="B112" s="169">
        <f>B72*10000/B62</f>
        <v>-0.07036329615052979</v>
      </c>
      <c r="C112" s="169">
        <f>C72*10000/C62</f>
        <v>-0.02774953285677124</v>
      </c>
      <c r="D112" s="169">
        <f>D72*10000/D62</f>
        <v>-0.02764966982508859</v>
      </c>
      <c r="E112" s="169">
        <f>E72*10000/E62</f>
        <v>-0.0038539320358406018</v>
      </c>
      <c r="F112" s="169">
        <f>F72*10000/F62</f>
        <v>-0.061060814980336255</v>
      </c>
      <c r="G112" s="169">
        <f>AVERAGE(C112:E112)</f>
        <v>-0.019751044905900142</v>
      </c>
      <c r="H112" s="169">
        <f>STDEV(C112:E112)</f>
        <v>0.01376739413828317</v>
      </c>
      <c r="I112" s="169">
        <f>(B112*B4+C112*C4+D112*D4+E112*E4+F112*F4)/SUM(B4:F4)</f>
        <v>-0.03259280016613513</v>
      </c>
    </row>
    <row r="113" spans="1:9" ht="12.75">
      <c r="A113" s="169" t="s">
        <v>171</v>
      </c>
      <c r="B113" s="169">
        <f>B73*10000/B62</f>
        <v>-0.012062818484930878</v>
      </c>
      <c r="C113" s="169">
        <f>C73*10000/C62</f>
        <v>-0.005303751090424511</v>
      </c>
      <c r="D113" s="169">
        <f>D73*10000/D62</f>
        <v>-0.00806587738590956</v>
      </c>
      <c r="E113" s="169">
        <f>E73*10000/E62</f>
        <v>-0.007374090025977076</v>
      </c>
      <c r="F113" s="169">
        <f>F73*10000/F62</f>
        <v>-0.004038665626480224</v>
      </c>
      <c r="G113" s="169">
        <f>AVERAGE(C113:E113)</f>
        <v>-0.006914572834103715</v>
      </c>
      <c r="H113" s="169">
        <f>STDEV(C113:E113)</f>
        <v>0.0014372551809866238</v>
      </c>
      <c r="I113" s="169">
        <f>(B113*B4+C113*C4+D113*D4+E113*E4+F113*F4)/SUM(B4:F4)</f>
        <v>-0.007274316422875414</v>
      </c>
    </row>
    <row r="114" spans="1:11" ht="12.75">
      <c r="A114" s="169" t="s">
        <v>172</v>
      </c>
      <c r="B114" s="169">
        <f>B74*10000/B62</f>
        <v>-0.18106525713905378</v>
      </c>
      <c r="C114" s="169">
        <f>C74*10000/C62</f>
        <v>-0.1791170638270326</v>
      </c>
      <c r="D114" s="169">
        <f>D74*10000/D62</f>
        <v>-0.1790220714098418</v>
      </c>
      <c r="E114" s="169">
        <f>E74*10000/E62</f>
        <v>-0.1794668631653951</v>
      </c>
      <c r="F114" s="169">
        <f>F74*10000/F62</f>
        <v>-0.1303154987370529</v>
      </c>
      <c r="G114" s="169">
        <f>AVERAGE(C114:E114)</f>
        <v>-0.17920199946742318</v>
      </c>
      <c r="H114" s="169">
        <f>STDEV(C114:E114)</f>
        <v>0.00023424447421315552</v>
      </c>
      <c r="I114" s="169">
        <f>(B114*B4+C114*C4+D114*D4+E114*E4+F114*F4)/SUM(B4:F4)</f>
        <v>-0.1729371589469305</v>
      </c>
      <c r="J114" s="169" t="s">
        <v>190</v>
      </c>
      <c r="K114" s="169">
        <v>285</v>
      </c>
    </row>
    <row r="115" spans="1:11" ht="12.75">
      <c r="A115" s="169" t="s">
        <v>173</v>
      </c>
      <c r="B115" s="169">
        <f>B75*10000/B62</f>
        <v>-0.003321010337431191</v>
      </c>
      <c r="C115" s="169">
        <f>C75*10000/C62</f>
        <v>-0.001521669959257969</v>
      </c>
      <c r="D115" s="169">
        <f>D75*10000/D62</f>
        <v>-0.0036595384404224073</v>
      </c>
      <c r="E115" s="169">
        <f>E75*10000/E62</f>
        <v>-0.0021881849093777854</v>
      </c>
      <c r="F115" s="169">
        <f>F75*10000/F62</f>
        <v>0.0014030795087198223</v>
      </c>
      <c r="G115" s="169">
        <f>AVERAGE(C115:E115)</f>
        <v>-0.0024564644363527202</v>
      </c>
      <c r="H115" s="169">
        <f>STDEV(C115:E115)</f>
        <v>0.0010938925171763945</v>
      </c>
      <c r="I115" s="169">
        <f>(B115*B4+C115*C4+D115*D4+E115*E4+F115*F4)/SUM(B4:F4)</f>
        <v>-0.0020654273931477504</v>
      </c>
      <c r="J115" s="169" t="s">
        <v>191</v>
      </c>
      <c r="K115" s="169">
        <v>0.5536</v>
      </c>
    </row>
    <row r="118" ht="12.75">
      <c r="A118" s="169" t="s">
        <v>156</v>
      </c>
    </row>
    <row r="120" spans="2:9" ht="12.75">
      <c r="B120" s="169" t="s">
        <v>84</v>
      </c>
      <c r="C120" s="169" t="s">
        <v>85</v>
      </c>
      <c r="D120" s="169" t="s">
        <v>86</v>
      </c>
      <c r="E120" s="169" t="s">
        <v>87</v>
      </c>
      <c r="F120" s="169" t="s">
        <v>88</v>
      </c>
      <c r="G120" s="169" t="s">
        <v>158</v>
      </c>
      <c r="H120" s="169" t="s">
        <v>159</v>
      </c>
      <c r="I120" s="169" t="s">
        <v>154</v>
      </c>
    </row>
    <row r="121" spans="1:9" ht="12.75">
      <c r="A121" s="169" t="s">
        <v>174</v>
      </c>
      <c r="B121" s="169">
        <f>B81*10000/B62</f>
        <v>0</v>
      </c>
      <c r="C121" s="169">
        <f>C81*10000/C62</f>
        <v>0</v>
      </c>
      <c r="D121" s="169">
        <f>D81*10000/D62</f>
        <v>0</v>
      </c>
      <c r="E121" s="169">
        <f>E81*10000/E62</f>
        <v>0</v>
      </c>
      <c r="F121" s="169">
        <f>F81*10000/F62</f>
        <v>0</v>
      </c>
      <c r="G121" s="169">
        <f>AVERAGE(C121:E121)</f>
        <v>0</v>
      </c>
      <c r="H121" s="169">
        <f>STDEV(C121:E121)</f>
        <v>0</v>
      </c>
      <c r="I121" s="169">
        <f>(B121*B4+C121*C4+D121*D4+E121*E4+F121*F4)/SUM(B4:F4)</f>
        <v>0</v>
      </c>
    </row>
    <row r="122" spans="1:9" ht="12.75">
      <c r="A122" s="169" t="s">
        <v>175</v>
      </c>
      <c r="B122" s="169">
        <f>B82*10000/B62</f>
        <v>115.73323898231727</v>
      </c>
      <c r="C122" s="169">
        <f>C82*10000/C62</f>
        <v>37.69012092314938</v>
      </c>
      <c r="D122" s="169">
        <f>D82*10000/D62</f>
        <v>-20.22811050348791</v>
      </c>
      <c r="E122" s="169">
        <f>E82*10000/E62</f>
        <v>-39.83748708815731</v>
      </c>
      <c r="F122" s="169">
        <f>F82*10000/F62</f>
        <v>-85.76621584209465</v>
      </c>
      <c r="G122" s="169">
        <f>AVERAGE(C122:E122)</f>
        <v>-7.458492222831946</v>
      </c>
      <c r="H122" s="169">
        <f>STDEV(C122:E122)</f>
        <v>40.310418805365366</v>
      </c>
      <c r="I122" s="169">
        <f>(B122*B4+C122*C4+D122*D4+E122*E4+F122*F4)/SUM(B4:F4)</f>
        <v>-0.10268419145212075</v>
      </c>
    </row>
    <row r="123" spans="1:9" ht="12.75">
      <c r="A123" s="169" t="s">
        <v>176</v>
      </c>
      <c r="B123" s="169">
        <f>B83*10000/B62</f>
        <v>1.3623292716911528</v>
      </c>
      <c r="C123" s="169">
        <f>C83*10000/C62</f>
        <v>1.1525127071187353</v>
      </c>
      <c r="D123" s="169">
        <f>D83*10000/D62</f>
        <v>1.123181889274483</v>
      </c>
      <c r="E123" s="169">
        <f>E83*10000/E62</f>
        <v>0.427546644401312</v>
      </c>
      <c r="F123" s="169">
        <f>F83*10000/F62</f>
        <v>5.835430915455297</v>
      </c>
      <c r="G123" s="169">
        <f>AVERAGE(C123:E123)</f>
        <v>0.9010804135981766</v>
      </c>
      <c r="H123" s="169">
        <f>STDEV(C123:E123)</f>
        <v>0.4103544165062633</v>
      </c>
      <c r="I123" s="169">
        <f>(B123*B4+C123*C4+D123*D4+E123*E4+F123*F4)/SUM(B4:F4)</f>
        <v>1.6273607203708567</v>
      </c>
    </row>
    <row r="124" spans="1:9" ht="12.75">
      <c r="A124" s="169" t="s">
        <v>177</v>
      </c>
      <c r="B124" s="169">
        <f>B84*10000/B62</f>
        <v>0.5980504317121335</v>
      </c>
      <c r="C124" s="169">
        <f>C84*10000/C62</f>
        <v>-3.6458672555049274</v>
      </c>
      <c r="D124" s="169">
        <f>D84*10000/D62</f>
        <v>-2.4757209606787876</v>
      </c>
      <c r="E124" s="169">
        <f>E84*10000/E62</f>
        <v>-4.290081251972782</v>
      </c>
      <c r="F124" s="169">
        <f>F84*10000/F62</f>
        <v>-1.3866415816949116</v>
      </c>
      <c r="G124" s="169">
        <f>AVERAGE(C124:E124)</f>
        <v>-3.470556489385499</v>
      </c>
      <c r="H124" s="169">
        <f>STDEV(C124:E124)</f>
        <v>0.9197968336508577</v>
      </c>
      <c r="I124" s="169">
        <f>(B124*B4+C124*C4+D124*D4+E124*E4+F124*F4)/SUM(B4:F4)</f>
        <v>-2.603717667224905</v>
      </c>
    </row>
    <row r="125" spans="1:9" ht="12.75">
      <c r="A125" s="169" t="s">
        <v>178</v>
      </c>
      <c r="B125" s="169">
        <f>B85*10000/B62</f>
        <v>0.03931990893131995</v>
      </c>
      <c r="C125" s="169">
        <f>C85*10000/C62</f>
        <v>0.27292736831194253</v>
      </c>
      <c r="D125" s="169">
        <f>D85*10000/D62</f>
        <v>0.18005750786830596</v>
      </c>
      <c r="E125" s="169">
        <f>E85*10000/E62</f>
        <v>-0.13790826166331652</v>
      </c>
      <c r="F125" s="169">
        <f>F85*10000/F62</f>
        <v>-1.300426219059247</v>
      </c>
      <c r="G125" s="169">
        <f>AVERAGE(C125:E125)</f>
        <v>0.10502553817231068</v>
      </c>
      <c r="H125" s="169">
        <f>STDEV(C125:E125)</f>
        <v>0.2154502867754823</v>
      </c>
      <c r="I125" s="169">
        <f>(B125*B4+C125*C4+D125*D4+E125*E4+F125*F4)/SUM(B4:F4)</f>
        <v>-0.09229865003236937</v>
      </c>
    </row>
    <row r="126" spans="1:9" ht="12.75">
      <c r="A126" s="169" t="s">
        <v>179</v>
      </c>
      <c r="B126" s="169">
        <f>B86*10000/B62</f>
        <v>1.123616814435275</v>
      </c>
      <c r="C126" s="169">
        <f>C86*10000/C62</f>
        <v>0.5095519477233822</v>
      </c>
      <c r="D126" s="169">
        <f>D86*10000/D62</f>
        <v>-0.40071033640182385</v>
      </c>
      <c r="E126" s="169">
        <f>E86*10000/E62</f>
        <v>0.11987329640550563</v>
      </c>
      <c r="F126" s="169">
        <f>F86*10000/F62</f>
        <v>1.7265212703803043</v>
      </c>
      <c r="G126" s="169">
        <f>AVERAGE(C126:E126)</f>
        <v>0.07623830257568799</v>
      </c>
      <c r="H126" s="169">
        <f>STDEV(C126:E126)</f>
        <v>0.45669723667885875</v>
      </c>
      <c r="I126" s="169">
        <f>(B126*B4+C126*C4+D126*D4+E126*E4+F126*F4)/SUM(B4:F4)</f>
        <v>0.4483552964640975</v>
      </c>
    </row>
    <row r="127" spans="1:9" ht="12.75">
      <c r="A127" s="169" t="s">
        <v>180</v>
      </c>
      <c r="B127" s="169">
        <f>B87*10000/B62</f>
        <v>0.2742130547809559</v>
      </c>
      <c r="C127" s="169">
        <f>C87*10000/C62</f>
        <v>0.027854506864760122</v>
      </c>
      <c r="D127" s="169">
        <f>D87*10000/D62</f>
        <v>-0.23583852307793896</v>
      </c>
      <c r="E127" s="169">
        <f>E87*10000/E62</f>
        <v>-0.046603784715271136</v>
      </c>
      <c r="F127" s="169">
        <f>F87*10000/F62</f>
        <v>0.43373890449559677</v>
      </c>
      <c r="G127" s="169">
        <f>AVERAGE(C127:E127)</f>
        <v>-0.08486260030948332</v>
      </c>
      <c r="H127" s="169">
        <f>STDEV(C127:E127)</f>
        <v>0.13594596808325818</v>
      </c>
      <c r="I127" s="169">
        <f>(B127*B4+C127*C4+D127*D4+E127*E4+F127*F4)/SUM(B4:F4)</f>
        <v>0.03639964777828478</v>
      </c>
    </row>
    <row r="128" spans="1:9" ht="12.75">
      <c r="A128" s="169" t="s">
        <v>181</v>
      </c>
      <c r="B128" s="169">
        <f>B88*10000/B62</f>
        <v>0.4810188716742231</v>
      </c>
      <c r="C128" s="169">
        <f>C88*10000/C62</f>
        <v>-0.14322927894242965</v>
      </c>
      <c r="D128" s="169">
        <f>D88*10000/D62</f>
        <v>-0.2667779537868199</v>
      </c>
      <c r="E128" s="169">
        <f>E88*10000/E62</f>
        <v>-0.21949987745204175</v>
      </c>
      <c r="F128" s="169">
        <f>F88*10000/F62</f>
        <v>-0.18508019518621194</v>
      </c>
      <c r="G128" s="169">
        <f>AVERAGE(C128:E128)</f>
        <v>-0.20983570339376376</v>
      </c>
      <c r="H128" s="169">
        <f>STDEV(C128:E128)</f>
        <v>0.06233871958199625</v>
      </c>
      <c r="I128" s="169">
        <f>(B128*B4+C128*C4+D128*D4+E128*E4+F128*F4)/SUM(B4:F4)</f>
        <v>-0.10661442144529747</v>
      </c>
    </row>
    <row r="129" spans="1:9" ht="12.75">
      <c r="A129" s="169" t="s">
        <v>182</v>
      </c>
      <c r="B129" s="169">
        <f>B89*10000/B62</f>
        <v>0.07435940510158183</v>
      </c>
      <c r="C129" s="169">
        <f>C89*10000/C62</f>
        <v>0.03289821516104322</v>
      </c>
      <c r="D129" s="169">
        <f>D89*10000/D62</f>
        <v>0.04748722989018822</v>
      </c>
      <c r="E129" s="169">
        <f>E89*10000/E62</f>
        <v>-0.030911626892656013</v>
      </c>
      <c r="F129" s="169">
        <f>F89*10000/F62</f>
        <v>0.11098161048808627</v>
      </c>
      <c r="G129" s="169">
        <f>AVERAGE(C129:E129)</f>
        <v>0.01649127271952514</v>
      </c>
      <c r="H129" s="169">
        <f>STDEV(C129:E129)</f>
        <v>0.04169515567093731</v>
      </c>
      <c r="I129" s="169">
        <f>(B129*B4+C129*C4+D129*D4+E129*E4+F129*F4)/SUM(B4:F4)</f>
        <v>0.03749207351351688</v>
      </c>
    </row>
    <row r="130" spans="1:9" ht="12.75">
      <c r="A130" s="169" t="s">
        <v>183</v>
      </c>
      <c r="B130" s="169">
        <f>B90*10000/B62</f>
        <v>0.12929632444460062</v>
      </c>
      <c r="C130" s="169">
        <f>C90*10000/C62</f>
        <v>0.048516197611719755</v>
      </c>
      <c r="D130" s="169">
        <f>D90*10000/D62</f>
        <v>0.05965708248819427</v>
      </c>
      <c r="E130" s="169">
        <f>E90*10000/E62</f>
        <v>0.03710081748935424</v>
      </c>
      <c r="F130" s="169">
        <f>F90*10000/F62</f>
        <v>0.2220554334192307</v>
      </c>
      <c r="G130" s="169">
        <f>AVERAGE(C130:E130)</f>
        <v>0.048424699196422755</v>
      </c>
      <c r="H130" s="169">
        <f>STDEV(C130:E130)</f>
        <v>0.011278410865209516</v>
      </c>
      <c r="I130" s="169">
        <f>(B130*B4+C130*C4+D130*D4+E130*E4+F130*F4)/SUM(B4:F4)</f>
        <v>0.0833267883478447</v>
      </c>
    </row>
    <row r="131" spans="1:9" ht="12.75">
      <c r="A131" s="169" t="s">
        <v>184</v>
      </c>
      <c r="B131" s="169">
        <f>B91*10000/B62</f>
        <v>0.10639582910645398</v>
      </c>
      <c r="C131" s="169">
        <f>C91*10000/C62</f>
        <v>-0.002633792615919126</v>
      </c>
      <c r="D131" s="169">
        <f>D91*10000/D62</f>
        <v>0.01928797717018306</v>
      </c>
      <c r="E131" s="169">
        <f>E91*10000/E62</f>
        <v>0.013888420919895804</v>
      </c>
      <c r="F131" s="169">
        <f>F91*10000/F62</f>
        <v>0.12841095993805213</v>
      </c>
      <c r="G131" s="169">
        <f>AVERAGE(C131:E131)</f>
        <v>0.01018086849138658</v>
      </c>
      <c r="H131" s="169">
        <f>STDEV(C131:E131)</f>
        <v>0.011421490988322153</v>
      </c>
      <c r="I131" s="169">
        <f>(B131*B4+C131*C4+D131*D4+E131*E4+F131*F4)/SUM(B4:F4)</f>
        <v>0.039894223666945776</v>
      </c>
    </row>
    <row r="132" spans="1:9" ht="12.75">
      <c r="A132" s="169" t="s">
        <v>185</v>
      </c>
      <c r="B132" s="169">
        <f>B92*10000/B62</f>
        <v>0.04129509580539418</v>
      </c>
      <c r="C132" s="169">
        <f>C92*10000/C62</f>
        <v>0.014213486974606284</v>
      </c>
      <c r="D132" s="169">
        <f>D92*10000/D62</f>
        <v>-0.013504946442395372</v>
      </c>
      <c r="E132" s="169">
        <f>E92*10000/E62</f>
        <v>0.031428895781732</v>
      </c>
      <c r="F132" s="169">
        <f>F92*10000/F62</f>
        <v>-0.015233768297828893</v>
      </c>
      <c r="G132" s="169">
        <f>AVERAGE(C132:E132)</f>
        <v>0.010712478771314302</v>
      </c>
      <c r="H132" s="169">
        <f>STDEV(C132:E132)</f>
        <v>0.022670583099808687</v>
      </c>
      <c r="I132" s="169">
        <f>(B132*B4+C132*C4+D132*D4+E132*E4+F132*F4)/SUM(B4:F4)</f>
        <v>0.011667466767615426</v>
      </c>
    </row>
    <row r="133" spans="1:9" ht="12.75">
      <c r="A133" s="169" t="s">
        <v>186</v>
      </c>
      <c r="B133" s="169">
        <f>B93*10000/B62</f>
        <v>-0.03576545002801169</v>
      </c>
      <c r="C133" s="169">
        <f>C93*10000/C62</f>
        <v>-0.049331672662035586</v>
      </c>
      <c r="D133" s="169">
        <f>D93*10000/D62</f>
        <v>-0.04402723035847518</v>
      </c>
      <c r="E133" s="169">
        <f>E93*10000/E62</f>
        <v>-0.03568854291223929</v>
      </c>
      <c r="F133" s="169">
        <f>F93*10000/F62</f>
        <v>-0.01841199400937989</v>
      </c>
      <c r="G133" s="169">
        <f>AVERAGE(C133:E133)</f>
        <v>-0.04301581531091669</v>
      </c>
      <c r="H133" s="169">
        <f>STDEV(C133:E133)</f>
        <v>0.006877569893593592</v>
      </c>
      <c r="I133" s="169">
        <f>(B133*B4+C133*C4+D133*D4+E133*E4+F133*F4)/SUM(B4:F4)</f>
        <v>-0.038680012593774044</v>
      </c>
    </row>
    <row r="134" spans="1:9" ht="12.75">
      <c r="A134" s="169" t="s">
        <v>187</v>
      </c>
      <c r="B134" s="169">
        <f>B94*10000/B62</f>
        <v>-0.009873924724239893</v>
      </c>
      <c r="C134" s="169">
        <f>C94*10000/C62</f>
        <v>-0.00565353366408334</v>
      </c>
      <c r="D134" s="169">
        <f>D94*10000/D62</f>
        <v>0.002851543966487344</v>
      </c>
      <c r="E134" s="169">
        <f>E94*10000/E62</f>
        <v>0.0029970740436986157</v>
      </c>
      <c r="F134" s="169">
        <f>F94*10000/F62</f>
        <v>-0.019361231605560213</v>
      </c>
      <c r="G134" s="169">
        <f>AVERAGE(C134:E134)</f>
        <v>6.502811536753985E-05</v>
      </c>
      <c r="H134" s="169">
        <f>STDEV(C134:E134)</f>
        <v>0.004952954307268601</v>
      </c>
      <c r="I134" s="169">
        <f>(B134*B4+C134*C4+D134*D4+E134*E4+F134*F4)/SUM(B4:F4)</f>
        <v>-0.003969820285673424</v>
      </c>
    </row>
    <row r="135" spans="1:9" ht="12.75">
      <c r="A135" s="169" t="s">
        <v>188</v>
      </c>
      <c r="B135" s="169">
        <f>B95*10000/B62</f>
        <v>-0.005668278480536727</v>
      </c>
      <c r="C135" s="169">
        <f>C95*10000/C62</f>
        <v>-0.0017404665415684368</v>
      </c>
      <c r="D135" s="169">
        <f>D95*10000/D62</f>
        <v>0.0018867345832117809</v>
      </c>
      <c r="E135" s="169">
        <f>E95*10000/E62</f>
        <v>0.001701227149228141</v>
      </c>
      <c r="F135" s="169">
        <f>F95*10000/F62</f>
        <v>0.0077791322036588765</v>
      </c>
      <c r="G135" s="169">
        <f>AVERAGE(C135:E135)</f>
        <v>0.000615831730290495</v>
      </c>
      <c r="H135" s="169">
        <f>STDEV(C135:E135)</f>
        <v>0.002042721080199115</v>
      </c>
      <c r="I135" s="169">
        <f>(B135*B4+C135*C4+D135*D4+E135*E4+F135*F4)/SUM(B4:F4)</f>
        <v>0.0006641378738429587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2003-10-23T06:07:20Z</cp:lastPrinted>
  <dcterms:created xsi:type="dcterms:W3CDTF">1999-06-17T15:15:05Z</dcterms:created>
  <dcterms:modified xsi:type="dcterms:W3CDTF">2003-10-23T14:42:39Z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2120497103</vt:i4>
  </property>
  <property fmtid="{D5CDD505-2E9C-101B-9397-08002B2CF9AE}" pid="3" name="_EmailSubject">
    <vt:lpwstr>WFM result of aperture 113, 114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