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6" activeTab="7"/>
  </bookViews>
  <sheets>
    <sheet name="Sommaire" sheetId="1" r:id="rId1"/>
    <sheet name="HCMQAP114_pos1ap2" sheetId="2" r:id="rId2"/>
    <sheet name="HCMQAP114_pos2ap2" sheetId="3" r:id="rId3"/>
    <sheet name="HCMQAP114_pos3ap2" sheetId="4" r:id="rId4"/>
    <sheet name="HCMQAP114_pos4ap2" sheetId="5" r:id="rId5"/>
    <sheet name="HCMQAP114_pos5ap2" sheetId="6" r:id="rId6"/>
    <sheet name="Lmag_hcmqap" sheetId="7" r:id="rId7"/>
    <sheet name="Result_HCMQAP" sheetId="8" r:id="rId8"/>
  </sheets>
  <definedNames>
    <definedName name="_xlnm.Print_Area" localSheetId="1">'HCMQAP114_pos1ap2'!$A$1:$N$28</definedName>
    <definedName name="_xlnm.Print_Area" localSheetId="2">'HCMQAP114_pos2ap2'!$A$1:$N$28</definedName>
    <definedName name="_xlnm.Print_Area" localSheetId="3">'HCMQAP114_pos3ap2'!$A$1:$N$28</definedName>
    <definedName name="_xlnm.Print_Area" localSheetId="4">'HCMQAP114_pos4ap2'!$A$1:$N$28</definedName>
    <definedName name="_xlnm.Print_Area" localSheetId="5">'HCMQAP114_pos5ap2'!$A$1:$N$28</definedName>
    <definedName name="_xlnm.Print_Area" localSheetId="6">'Lmag_hcmqap'!$A$1:$G$54</definedName>
    <definedName name="_xlnm.Print_Area" localSheetId="0">'Sommaire'!$A$1:$N$16</definedName>
  </definedNames>
  <calcPr fullCalcOnLoad="1"/>
</workbook>
</file>

<file path=xl/sharedStrings.xml><?xml version="1.0" encoding="utf-8"?>
<sst xmlns="http://schemas.openxmlformats.org/spreadsheetml/2006/main" count="510" uniqueCount="194">
  <si>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</si>
  <si>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</si>
  <si>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</si>
  <si>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</si>
  <si>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</si>
  <si>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</si>
  <si>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</si>
  <si>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</si>
  <si>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</si>
  <si>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</si>
  <si>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</si>
  <si>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</si>
  <si>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</si>
  <si>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</si>
  <si>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</si>
  <si>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hcmqap114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</si>
  <si>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</si>
  <si>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</si>
  <si>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</si>
  <si>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</si>
  <si>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</si>
  <si>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</si>
  <si>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</si>
  <si>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</si>
  <si>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</si>
  <si>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</si>
  <si>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</si>
  <si>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</si>
  <si>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taupe_quadrupole#4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</si>
  <si>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</si>
  <si>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</si>
  <si>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</si>
  <si>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</si>
  <si>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</si>
  <si>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</si>
  <si>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</si>
  <si>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</si>
  <si>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</si>
  <si>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</si>
  <si>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</si>
  <si>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</si>
  <si>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</si>
  <si>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</si>
  <si>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</si>
  <si>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</si>
  <si>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</si>
  <si>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</si>
  <si>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</si>
  <si>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</si>
  <si>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</si>
  <si>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</si>
  <si>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</si>
  <si>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</si>
  <si>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</si>
  <si>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</si>
  <si>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</si>
  <si>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</si>
  <si>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</si>
  <si>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</si>
  <si>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-2.258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</si>
  <si>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</si>
  <si>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</si>
  <si>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</si>
  <si>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</si>
  <si>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</si>
  <si>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</si>
  <si>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</si>
  <si>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</si>
  <si>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t>HCMQAP114_pos1ap2</t>
  </si>
  <si>
    <t>23/10/2003</t>
  </si>
  <si>
    <t>±12.5</t>
  </si>
  <si>
    <t>THCMQAP114_pos1ap2.xls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</si>
  <si>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 mT)</t>
    </r>
  </si>
  <si>
    <t>HCMQAP114_pos2ap2</t>
  </si>
  <si>
    <t>THCMQAP114_pos2ap2.xls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</si>
  <si>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-3.759 mT)</t>
    </r>
  </si>
  <si>
    <t>HCMQAP114_pos3ap2</t>
  </si>
  <si>
    <t>THCMQAP114_pos3ap2.xls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</si>
  <si>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-3.758 mT)</t>
    </r>
  </si>
  <si>
    <t>HCMQAP114_pos4ap2</t>
  </si>
  <si>
    <t>THCMQAP114_pos4ap2.xls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</si>
  <si>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-2.089 mT)</t>
    </r>
  </si>
  <si>
    <t>HCMQAP114_pos5ap2</t>
  </si>
  <si>
    <t>THCMQAP114_pos5ap2.xls</t>
  </si>
  <si>
    <t>Sommaire : Valeurs intégrales calculées avec les fichiers: HCMQAP114_pos1ap2+HCMQAP114_pos2ap2+HCMQAP114_pos3ap2+HCMQAP114_pos4ap2+HCMQAP114_pos5ap2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</si>
  <si>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</si>
  <si>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</si>
  <si>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</si>
  <si>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</si>
  <si>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</si>
  <si>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</si>
  <si>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</si>
  <si>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</si>
  <si>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</si>
  <si>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</si>
  <si>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</si>
  <si>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</si>
  <si>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</si>
  <si>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</si>
  <si>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</si>
  <si>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</si>
  <si>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</si>
  <si>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</si>
  <si>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</si>
  <si>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</si>
  <si>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</si>
  <si>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</si>
  <si>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</si>
  <si>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</si>
  <si>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</si>
  <si>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</si>
  <si>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</si>
  <si>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</si>
  <si>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</si>
  <si>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</si>
  <si>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</si>
  <si>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</si>
  <si>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</si>
  <si>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</si>
  <si>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</si>
  <si>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</si>
  <si>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</si>
  <si>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</si>
  <si>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</si>
  <si>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</si>
  <si>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</si>
  <si>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</si>
  <si>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</si>
  <si>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=-3.759</t>
    </r>
  </si>
  <si>
    <t>Gradient (T/m)</t>
  </si>
  <si>
    <t xml:space="preserve"> Thu 23/10/2003       09:03:14</t>
  </si>
  <si>
    <t>LISSNER</t>
  </si>
  <si>
    <t>HCMQAP114</t>
  </si>
  <si>
    <t>Aperture2</t>
  </si>
  <si>
    <t>Taupe_quadrupole#4</t>
  </si>
  <si>
    <t>Position</t>
  </si>
  <si>
    <t>Integrales</t>
  </si>
  <si>
    <t>Cn (mT)</t>
  </si>
  <si>
    <t>Angle(Horiz,Cn)</t>
  </si>
  <si>
    <t>b1</t>
  </si>
  <si>
    <t>b2</t>
  </si>
  <si>
    <t>b5*</t>
  </si>
  <si>
    <t>b6*</t>
  </si>
  <si>
    <t>b13*</t>
  </si>
  <si>
    <t>a1</t>
  </si>
  <si>
    <t>a2</t>
  </si>
  <si>
    <t>a4*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</si>
  <si>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</si>
  <si>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</si>
  <si>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</si>
  <si>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</si>
  <si>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</si>
  <si>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</si>
  <si>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CONTACT CEA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</si>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</sst>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4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 horizontal="left"/>
    </xf>
    <xf numFmtId="173" fontId="5" fillId="0" borderId="13" xfId="0" applyNumberFormat="1" applyFont="1" applyFill="1" applyBorder="1" applyAlignment="1">
      <alignment horizontal="center"/>
    </xf>
    <xf numFmtId="173" fontId="5" fillId="0" borderId="14" xfId="0" applyNumberFormat="1" applyFont="1" applyFill="1" applyBorder="1" applyAlignment="1">
      <alignment horizontal="center"/>
    </xf>
    <xf numFmtId="173" fontId="5" fillId="0" borderId="19" xfId="0" applyNumberFormat="1" applyFont="1" applyFill="1" applyBorder="1" applyAlignment="1">
      <alignment horizontal="center"/>
    </xf>
    <xf numFmtId="173" fontId="5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173" fontId="5" fillId="0" borderId="15" xfId="0" applyNumberFormat="1" applyFont="1" applyFill="1" applyBorder="1" applyAlignment="1">
      <alignment horizontal="center"/>
    </xf>
    <xf numFmtId="173" fontId="5" fillId="3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3" fontId="3" fillId="3" borderId="15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5" fillId="0" borderId="11" xfId="0" applyNumberFormat="1" applyFont="1" applyFill="1" applyBorder="1" applyAlignment="1">
      <alignment horizontal="left"/>
    </xf>
    <xf numFmtId="173" fontId="3" fillId="3" borderId="10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7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5" fillId="3" borderId="10" xfId="0" applyNumberFormat="1" applyFont="1" applyFill="1" applyBorder="1" applyAlignment="1">
      <alignment horizontal="center"/>
    </xf>
    <xf numFmtId="179" fontId="5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5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5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5" fillId="0" borderId="55" xfId="0" applyNumberFormat="1" applyFont="1" applyFill="1" applyBorder="1" applyAlignment="1">
      <alignment horizontal="center"/>
    </xf>
    <xf numFmtId="179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5" fillId="0" borderId="6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5" fillId="3" borderId="20" xfId="0" applyNumberFormat="1" applyFont="1" applyFill="1" applyBorder="1" applyAlignment="1">
      <alignment horizontal="center"/>
    </xf>
    <xf numFmtId="179" fontId="5" fillId="0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0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1" fillId="0" borderId="66" xfId="0" applyNumberFormat="1" applyFont="1" applyBorder="1" applyAlignment="1">
      <alignment horizontal="center"/>
    </xf>
    <xf numFmtId="179" fontId="11" fillId="0" borderId="67" xfId="0" applyNumberFormat="1" applyFont="1" applyBorder="1" applyAlignment="1">
      <alignment horizontal="center"/>
    </xf>
    <xf numFmtId="2" fontId="11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114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Lmag_hcmqap!$B$4:$F$4</c:f>
              <c:numCache>
                <c:ptCount val="5"/>
                <c:pt idx="0">
                  <c:v>-1.0934631400000001</c:v>
                </c:pt>
                <c:pt idx="1">
                  <c:v>-3.7601083</c:v>
                </c:pt>
                <c:pt idx="2">
                  <c:v>-1.9435150999999997</c:v>
                </c:pt>
                <c:pt idx="3">
                  <c:v>-3.0651300000000004</c:v>
                </c:pt>
                <c:pt idx="4">
                  <c:v>-3.5589405999999997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Lmag_hcmqap!$B$17:$F$17</c:f>
              <c:numCache>
                <c:ptCount val="5"/>
                <c:pt idx="0">
                  <c:v>6.4535736</c:v>
                </c:pt>
                <c:pt idx="1">
                  <c:v>0.63142306</c:v>
                </c:pt>
                <c:pt idx="2">
                  <c:v>-0.033282929069999995</c:v>
                </c:pt>
                <c:pt idx="3">
                  <c:v>0.28373674</c:v>
                </c:pt>
                <c:pt idx="4">
                  <c:v>10.578083000000001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Lmag_hcmqap!$B$7:$F$7</c:f>
              <c:numCache>
                <c:ptCount val="5"/>
                <c:pt idx="0">
                  <c:v>4.5761499</c:v>
                </c:pt>
                <c:pt idx="1">
                  <c:v>4.9682411</c:v>
                </c:pt>
                <c:pt idx="2">
                  <c:v>5.0442251</c:v>
                </c:pt>
                <c:pt idx="3">
                  <c:v>4.5461411</c:v>
                </c:pt>
                <c:pt idx="4">
                  <c:v>15.02664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Lmag_hcmqap!$B$20:$F$20</c:f>
              <c:numCache>
                <c:ptCount val="5"/>
                <c:pt idx="0">
                  <c:v>0.8186950100000001</c:v>
                </c:pt>
                <c:pt idx="1">
                  <c:v>0.0016517594010000004</c:v>
                </c:pt>
                <c:pt idx="2">
                  <c:v>0.17672133</c:v>
                </c:pt>
                <c:pt idx="3">
                  <c:v>0.17156945</c:v>
                </c:pt>
                <c:pt idx="4">
                  <c:v>2.2762019000000002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Lmag_hcmqap!$B$11:$F$11</c:f>
              <c:numCache>
                <c:ptCount val="5"/>
                <c:pt idx="0">
                  <c:v>-0.41319926</c:v>
                </c:pt>
                <c:pt idx="1">
                  <c:v>-0.053212144</c:v>
                </c:pt>
                <c:pt idx="2">
                  <c:v>-0.07732910600000001</c:v>
                </c:pt>
                <c:pt idx="3">
                  <c:v>-0.079288165</c:v>
                </c:pt>
                <c:pt idx="4">
                  <c:v>-0.31636517999999997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Lmag_hcmqap!$B$24:$F$24</c:f>
              <c:numCache>
                <c:ptCount val="5"/>
                <c:pt idx="0">
                  <c:v>0.07532225000000001</c:v>
                </c:pt>
                <c:pt idx="1">
                  <c:v>0.040357184000000004</c:v>
                </c:pt>
                <c:pt idx="2">
                  <c:v>0.08028430900000001</c:v>
                </c:pt>
                <c:pt idx="3">
                  <c:v>-0.081240379</c:v>
                </c:pt>
                <c:pt idx="4">
                  <c:v>0.19445842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Lmag_hcmqap!$B$6:$F$6</c:f>
              <c:numCache>
                <c:ptCount val="5"/>
                <c:pt idx="0">
                  <c:v>0.97093835</c:v>
                </c:pt>
                <c:pt idx="1">
                  <c:v>2.9859971</c:v>
                </c:pt>
                <c:pt idx="2">
                  <c:v>0.8655286500000001</c:v>
                </c:pt>
                <c:pt idx="3">
                  <c:v>1.8731147</c:v>
                </c:pt>
                <c:pt idx="4">
                  <c:v>0.74716683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Lmag_hcmqap!$B$19:$F$19</c:f>
              <c:numCache>
                <c:ptCount val="5"/>
                <c:pt idx="0">
                  <c:v>0.10059189766999999</c:v>
                </c:pt>
                <c:pt idx="1">
                  <c:v>-1.5353265</c:v>
                </c:pt>
                <c:pt idx="2">
                  <c:v>-2.583385</c:v>
                </c:pt>
                <c:pt idx="3">
                  <c:v>-1.6936130999999999</c:v>
                </c:pt>
                <c:pt idx="4">
                  <c:v>-8.192277999999998</c:v>
                </c:pt>
              </c:numCache>
            </c:numRef>
          </c:val>
          <c:smooth val="0"/>
        </c:ser>
        <c:marker val="1"/>
        <c:axId val="56301854"/>
        <c:axId val="36954639"/>
      </c:lineChart>
      <c:catAx>
        <c:axId val="563018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6954639"/>
        <c:crosses val="autoZero"/>
        <c:auto val="1"/>
        <c:lblOffset val="100"/>
        <c:noMultiLvlLbl val="0"/>
      </c:catAx>
      <c:valAx>
        <c:axId val="36954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5630185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36</xdr:row>
      <xdr:rowOff>28575</xdr:rowOff>
    </xdr:from>
    <xdr:to>
      <xdr:col>7</xdr:col>
      <xdr:colOff>19050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171450" y="6010275"/>
        <a:ext cx="53816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7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 t="s">
        <v>69</v>
      </c>
      <c r="B2" s="24">
        <v>80</v>
      </c>
      <c r="C2" s="24" t="s">
        <v>70</v>
      </c>
      <c r="D2" s="25">
        <v>5</v>
      </c>
      <c r="E2" s="25">
        <v>1</v>
      </c>
      <c r="F2" s="26"/>
      <c r="G2" s="26" t="s">
        <v>68</v>
      </c>
      <c r="H2" s="25">
        <v>2442</v>
      </c>
      <c r="I2" s="27" t="s">
        <v>71</v>
      </c>
      <c r="J2" s="30"/>
      <c r="K2" s="28"/>
      <c r="L2" s="28"/>
      <c r="M2" s="28"/>
      <c r="N2" s="28"/>
    </row>
    <row r="3" spans="1:14" s="29" customFormat="1" ht="15" customHeight="1">
      <c r="A3" s="40" t="s">
        <v>69</v>
      </c>
      <c r="B3" s="24">
        <v>80</v>
      </c>
      <c r="C3" s="24" t="s">
        <v>70</v>
      </c>
      <c r="D3" s="25">
        <v>5</v>
      </c>
      <c r="E3" s="25">
        <v>2</v>
      </c>
      <c r="F3" s="26"/>
      <c r="G3" s="26" t="s">
        <v>73</v>
      </c>
      <c r="H3" s="25">
        <v>2442</v>
      </c>
      <c r="I3" s="27" t="s">
        <v>74</v>
      </c>
      <c r="J3" s="30"/>
      <c r="K3" s="28"/>
      <c r="L3" s="28"/>
      <c r="M3" s="28"/>
      <c r="N3" s="28"/>
    </row>
    <row r="4" spans="1:14" s="29" customFormat="1" ht="15" customHeight="1">
      <c r="A4" s="40" t="s">
        <v>69</v>
      </c>
      <c r="B4" s="24">
        <v>80</v>
      </c>
      <c r="C4" s="24" t="s">
        <v>70</v>
      </c>
      <c r="D4" s="25">
        <v>5</v>
      </c>
      <c r="E4" s="25">
        <v>3</v>
      </c>
      <c r="F4" s="26"/>
      <c r="G4" s="26" t="s">
        <v>76</v>
      </c>
      <c r="H4" s="25">
        <v>2442</v>
      </c>
      <c r="I4" s="27" t="s">
        <v>77</v>
      </c>
      <c r="J4" s="30"/>
      <c r="K4" s="31"/>
      <c r="L4" s="31"/>
      <c r="M4" s="31"/>
      <c r="N4" s="28"/>
    </row>
    <row r="5" spans="1:14" s="29" customFormat="1" ht="15" customHeight="1">
      <c r="A5" s="40" t="s">
        <v>69</v>
      </c>
      <c r="B5" s="24">
        <v>80</v>
      </c>
      <c r="C5" s="24" t="s">
        <v>70</v>
      </c>
      <c r="D5" s="25">
        <v>5</v>
      </c>
      <c r="E5" s="25">
        <v>4</v>
      </c>
      <c r="F5" s="26"/>
      <c r="G5" s="26" t="s">
        <v>79</v>
      </c>
      <c r="H5" s="25">
        <v>2442</v>
      </c>
      <c r="I5" s="27" t="s">
        <v>80</v>
      </c>
      <c r="J5" s="30"/>
      <c r="K5" s="28"/>
      <c r="L5" s="28"/>
      <c r="M5" s="28"/>
      <c r="N5" s="28"/>
    </row>
    <row r="6" spans="1:14" s="29" customFormat="1" ht="15" customHeight="1">
      <c r="A6" s="40" t="s">
        <v>69</v>
      </c>
      <c r="B6" s="24">
        <v>80</v>
      </c>
      <c r="C6" s="24" t="s">
        <v>70</v>
      </c>
      <c r="D6" s="25">
        <v>5</v>
      </c>
      <c r="E6" s="25">
        <v>5</v>
      </c>
      <c r="F6" s="26"/>
      <c r="G6" s="26" t="s">
        <v>82</v>
      </c>
      <c r="H6" s="25">
        <v>2442</v>
      </c>
      <c r="I6" s="27" t="s">
        <v>83</v>
      </c>
      <c r="J6" s="30"/>
      <c r="K6" s="28"/>
      <c r="L6" s="28"/>
      <c r="M6" s="28"/>
      <c r="N6" s="28"/>
    </row>
    <row r="7" spans="1:14" s="29" customFormat="1" ht="15" customHeight="1">
      <c r="A7" s="40" t="s">
        <v>84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5" customHeight="1">
      <c r="A10" s="40"/>
      <c r="B10" s="24"/>
      <c r="C10" s="24"/>
      <c r="D10" s="25"/>
      <c r="E10" s="25"/>
      <c r="F10" s="26"/>
      <c r="G10" s="26"/>
      <c r="H10" s="25"/>
      <c r="I10" s="27"/>
      <c r="J10" s="30"/>
      <c r="K10" s="28"/>
      <c r="L10" s="28"/>
      <c r="M10" s="28"/>
      <c r="N10" s="28"/>
    </row>
    <row r="11" spans="1:14" s="29" customFormat="1" ht="18" customHeight="1">
      <c r="A11" s="41"/>
      <c r="B11" s="24"/>
      <c r="C11" s="24"/>
      <c r="D11" s="25"/>
      <c r="E11" s="33"/>
      <c r="F11" s="34"/>
      <c r="G11" s="4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38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8" customHeight="1">
      <c r="A13" s="40"/>
      <c r="B13" s="24"/>
      <c r="C13" s="24"/>
      <c r="D13" s="25"/>
      <c r="E13" s="33"/>
      <c r="F13" s="34"/>
      <c r="G13" s="34"/>
      <c r="H13" s="33"/>
      <c r="I13" s="35"/>
      <c r="J13" s="36"/>
      <c r="K13" s="37"/>
      <c r="L13" s="37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7"/>
      <c r="J14" s="30"/>
      <c r="K14" s="31"/>
      <c r="L14" s="28"/>
      <c r="M14" s="28"/>
      <c r="N14" s="28"/>
    </row>
    <row r="15" spans="1:14" s="29" customFormat="1" ht="15" customHeight="1">
      <c r="A15" s="40"/>
      <c r="B15" s="24"/>
      <c r="C15" s="24"/>
      <c r="D15" s="25"/>
      <c r="E15" s="25"/>
      <c r="F15" s="26"/>
      <c r="G15" s="26"/>
      <c r="H15" s="25"/>
      <c r="I15" s="28"/>
      <c r="J15" s="30"/>
      <c r="K15" s="31"/>
      <c r="L15" s="28"/>
      <c r="M15" s="28"/>
      <c r="N15" s="28"/>
    </row>
    <row r="16" spans="1:14" s="2" customFormat="1" ht="18" customHeight="1">
      <c r="A16" s="42"/>
      <c r="B16" s="20"/>
      <c r="C16" s="20"/>
      <c r="D16" s="15"/>
      <c r="E16" s="15"/>
      <c r="F16" s="22"/>
      <c r="G16" s="22"/>
      <c r="H16" s="15"/>
      <c r="I16" s="23"/>
      <c r="J16" s="17"/>
      <c r="K16"/>
      <c r="L16" s="4"/>
      <c r="M16" s="4"/>
      <c r="N16" s="4"/>
    </row>
    <row r="17" spans="10:14" ht="15" customHeight="1">
      <c r="J17" s="32"/>
      <c r="M17"/>
      <c r="N17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6.467108E-06</v>
      </c>
      <c r="L2" s="55">
        <v>1.1025717847834587E-07</v>
      </c>
      <c r="M2" s="55">
        <v>9.166051399999999E-05</v>
      </c>
      <c r="N2" s="56">
        <v>1.0199514486725569E-07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-3.1239316E-05</v>
      </c>
      <c r="L3" s="55">
        <v>1.0593560040864714E-07</v>
      </c>
      <c r="M3" s="55">
        <v>1.3829545999999998E-05</v>
      </c>
      <c r="N3" s="56">
        <v>1.629536807009931E-07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-0.0022578988873619044</v>
      </c>
      <c r="L4" s="55">
        <v>-1.1929195028756788E-05</v>
      </c>
      <c r="M4" s="55">
        <v>3.452160096762351E-08</v>
      </c>
      <c r="N4" s="56">
        <v>2.6416337999999997</v>
      </c>
    </row>
    <row r="5" spans="1:14" ht="15" customHeight="1" thickBot="1">
      <c r="A5" t="s">
        <v>18</v>
      </c>
      <c r="B5" s="59">
        <v>37917.35542824074</v>
      </c>
      <c r="D5" s="60"/>
      <c r="E5" s="61" t="s">
        <v>59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2442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9" t="s">
        <v>24</v>
      </c>
      <c r="J7" s="170"/>
      <c r="K7" s="169" t="s">
        <v>25</v>
      </c>
      <c r="L7" s="170"/>
      <c r="M7" s="169" t="s">
        <v>26</v>
      </c>
      <c r="N7" s="171"/>
    </row>
    <row r="8" spans="1:14" ht="15" customHeight="1">
      <c r="A8" s="57" t="s">
        <v>27</v>
      </c>
      <c r="B8" s="72" t="s">
        <v>28</v>
      </c>
      <c r="D8" s="77">
        <v>-1.0934631400000001</v>
      </c>
      <c r="E8" s="78">
        <v>0.011938852057030595</v>
      </c>
      <c r="F8" s="79">
        <v>6.4535736</v>
      </c>
      <c r="G8" s="78">
        <v>0.02673637765746356</v>
      </c>
      <c r="H8" s="80">
        <v>3</v>
      </c>
      <c r="I8" s="81">
        <v>0</v>
      </c>
      <c r="J8" s="81">
        <v>0</v>
      </c>
      <c r="K8" s="81">
        <v>2</v>
      </c>
      <c r="L8" s="81">
        <v>2</v>
      </c>
      <c r="M8" s="81">
        <v>1</v>
      </c>
      <c r="N8" s="82">
        <v>1</v>
      </c>
    </row>
    <row r="9" spans="1:14" ht="15" customHeight="1">
      <c r="A9" s="57" t="s">
        <v>29</v>
      </c>
      <c r="B9" s="83">
        <v>0.017</v>
      </c>
      <c r="D9" s="84">
        <v>0.40272990000000003</v>
      </c>
      <c r="E9" s="81">
        <v>0.026489433584205135</v>
      </c>
      <c r="F9" s="85">
        <v>3.1679871</v>
      </c>
      <c r="G9" s="81">
        <v>0.07246980711125472</v>
      </c>
      <c r="H9" s="80">
        <v>4</v>
      </c>
      <c r="I9" s="81">
        <v>0</v>
      </c>
      <c r="J9" s="81">
        <v>0</v>
      </c>
      <c r="K9" s="81">
        <v>0.5</v>
      </c>
      <c r="L9" s="81">
        <v>0.5</v>
      </c>
      <c r="M9" s="81">
        <v>0.7</v>
      </c>
      <c r="N9" s="82">
        <v>0.7</v>
      </c>
    </row>
    <row r="10" spans="1:14" ht="15" customHeight="1">
      <c r="A10" s="57" t="s">
        <v>30</v>
      </c>
      <c r="B10" s="72" t="s">
        <v>31</v>
      </c>
      <c r="D10" s="84">
        <v>0.97093835</v>
      </c>
      <c r="E10" s="81">
        <v>0.010591667452199784</v>
      </c>
      <c r="F10" s="81">
        <v>0.10059189766999999</v>
      </c>
      <c r="G10" s="81">
        <v>0.0068339338258254735</v>
      </c>
      <c r="H10" s="80">
        <v>5</v>
      </c>
      <c r="I10" s="81">
        <v>0</v>
      </c>
      <c r="J10" s="81">
        <v>0</v>
      </c>
      <c r="K10" s="81">
        <v>0.5</v>
      </c>
      <c r="L10" s="81">
        <v>0.5</v>
      </c>
      <c r="M10" s="81">
        <v>0.6</v>
      </c>
      <c r="N10" s="82">
        <v>0.6</v>
      </c>
    </row>
    <row r="11" spans="1:14" ht="15" customHeight="1">
      <c r="A11" s="57" t="s">
        <v>32</v>
      </c>
      <c r="B11" s="58">
        <v>1</v>
      </c>
      <c r="D11" s="77">
        <v>4.5761499</v>
      </c>
      <c r="E11" s="78">
        <v>0.013177248746904879</v>
      </c>
      <c r="F11" s="78">
        <v>0.8186950100000001</v>
      </c>
      <c r="G11" s="78">
        <v>0.013741118431929652</v>
      </c>
      <c r="H11" s="80">
        <v>6</v>
      </c>
      <c r="I11" s="81">
        <v>3.925</v>
      </c>
      <c r="J11" s="81">
        <v>0</v>
      </c>
      <c r="K11" s="81">
        <v>1</v>
      </c>
      <c r="L11" s="81">
        <v>0.3</v>
      </c>
      <c r="M11" s="81">
        <v>0.5</v>
      </c>
      <c r="N11" s="82">
        <v>0.5</v>
      </c>
    </row>
    <row r="12" spans="1:14" ht="15" customHeight="1">
      <c r="A12" s="57" t="s">
        <v>33</v>
      </c>
      <c r="B12" s="86">
        <v>0.7499</v>
      </c>
      <c r="D12" s="84">
        <v>-0.108122936</v>
      </c>
      <c r="E12" s="81">
        <v>0.005144081037518916</v>
      </c>
      <c r="F12" s="81">
        <v>0.25561386</v>
      </c>
      <c r="G12" s="81">
        <v>0.008393642238825393</v>
      </c>
      <c r="H12" s="80">
        <v>7</v>
      </c>
      <c r="I12" s="81">
        <v>0</v>
      </c>
      <c r="J12" s="81">
        <v>0</v>
      </c>
      <c r="K12" s="81">
        <v>0.15</v>
      </c>
      <c r="L12" s="81">
        <v>0.15</v>
      </c>
      <c r="M12" s="81">
        <v>0.15</v>
      </c>
      <c r="N12" s="82">
        <v>0.15</v>
      </c>
    </row>
    <row r="13" spans="1:14" ht="15" customHeight="1">
      <c r="A13" s="57" t="s">
        <v>34</v>
      </c>
      <c r="B13" s="83">
        <v>18.83545</v>
      </c>
      <c r="D13" s="84">
        <v>0.15123612</v>
      </c>
      <c r="E13" s="81">
        <v>0.0074052943802796955</v>
      </c>
      <c r="F13" s="81">
        <v>0.069880322</v>
      </c>
      <c r="G13" s="81">
        <v>0.0029419267559673084</v>
      </c>
      <c r="H13" s="80">
        <v>8</v>
      </c>
      <c r="I13" s="81">
        <v>0</v>
      </c>
      <c r="J13" s="81">
        <v>0</v>
      </c>
      <c r="K13" s="81">
        <v>0.1</v>
      </c>
      <c r="L13" s="81">
        <v>0.1</v>
      </c>
      <c r="M13" s="81">
        <v>0.1</v>
      </c>
      <c r="N13" s="82">
        <v>0.1</v>
      </c>
    </row>
    <row r="14" spans="1:14" ht="15" customHeight="1">
      <c r="A14" s="50" t="s">
        <v>35</v>
      </c>
      <c r="B14" s="87">
        <v>12.5</v>
      </c>
      <c r="D14" s="84">
        <v>0.0223777661</v>
      </c>
      <c r="E14" s="81">
        <v>0.005523290134478562</v>
      </c>
      <c r="F14" s="81">
        <v>0.3820051400000001</v>
      </c>
      <c r="G14" s="81">
        <v>0.0037547437132725743</v>
      </c>
      <c r="H14" s="80">
        <v>9</v>
      </c>
      <c r="I14" s="81">
        <v>0</v>
      </c>
      <c r="J14" s="81">
        <v>0</v>
      </c>
      <c r="K14" s="81">
        <v>0.1</v>
      </c>
      <c r="L14" s="81">
        <v>0.1</v>
      </c>
      <c r="M14" s="81">
        <v>0.1</v>
      </c>
      <c r="N14" s="82">
        <v>0.1</v>
      </c>
    </row>
    <row r="15" spans="1:14" ht="15" customHeight="1">
      <c r="A15" s="57" t="s">
        <v>36</v>
      </c>
      <c r="B15" s="83">
        <v>0</v>
      </c>
      <c r="D15" s="77">
        <v>-0.41319926</v>
      </c>
      <c r="E15" s="78">
        <v>0.002852606914620345</v>
      </c>
      <c r="F15" s="78">
        <v>0.07532225000000001</v>
      </c>
      <c r="G15" s="78">
        <v>0.002630789206076534</v>
      </c>
      <c r="H15" s="80">
        <v>10</v>
      </c>
      <c r="I15" s="81">
        <v>-0.26</v>
      </c>
      <c r="J15" s="81">
        <v>0</v>
      </c>
      <c r="K15" s="81">
        <v>0.2</v>
      </c>
      <c r="L15" s="81">
        <v>0.1</v>
      </c>
      <c r="M15" s="81">
        <v>0.3</v>
      </c>
      <c r="N15" s="82">
        <v>0.3</v>
      </c>
    </row>
    <row r="16" spans="1:14" ht="15" customHeight="1">
      <c r="A16" s="57" t="s">
        <v>37</v>
      </c>
      <c r="B16" s="83">
        <v>12.506</v>
      </c>
      <c r="D16" s="84">
        <v>-0.055771675</v>
      </c>
      <c r="E16" s="81">
        <v>0.0013607968532520418</v>
      </c>
      <c r="F16" s="81">
        <v>-0.026376458600000003</v>
      </c>
      <c r="G16" s="81">
        <v>0.0047358806054538264</v>
      </c>
      <c r="H16" s="80">
        <v>11</v>
      </c>
      <c r="I16" s="81">
        <v>0</v>
      </c>
      <c r="J16" s="81">
        <v>0</v>
      </c>
      <c r="K16" s="81">
        <v>0</v>
      </c>
      <c r="L16" s="81">
        <v>0</v>
      </c>
      <c r="M16" s="81">
        <v>0.05</v>
      </c>
      <c r="N16" s="82">
        <v>0.05</v>
      </c>
    </row>
    <row r="17" spans="1:14" ht="15" customHeight="1">
      <c r="A17" s="57" t="s">
        <v>38</v>
      </c>
      <c r="B17" s="83">
        <v>-0.06199999898672104</v>
      </c>
      <c r="D17" s="84">
        <v>0.082035495</v>
      </c>
      <c r="E17" s="81">
        <v>0.004407427011097357</v>
      </c>
      <c r="F17" s="81">
        <v>-0.030566777</v>
      </c>
      <c r="G17" s="81">
        <v>0.0011899542794929839</v>
      </c>
      <c r="H17" s="80">
        <v>12</v>
      </c>
      <c r="I17" s="81">
        <v>0</v>
      </c>
      <c r="J17" s="81">
        <v>0</v>
      </c>
      <c r="K17" s="81">
        <v>0</v>
      </c>
      <c r="L17" s="81">
        <v>0</v>
      </c>
      <c r="M17" s="81">
        <v>0.05</v>
      </c>
      <c r="N17" s="82">
        <v>0.05</v>
      </c>
    </row>
    <row r="18" spans="1:14" ht="15" customHeight="1">
      <c r="A18" s="57" t="s">
        <v>39</v>
      </c>
      <c r="B18" s="83">
        <v>55.439998626708984</v>
      </c>
      <c r="D18" s="84">
        <v>0.022047631130000002</v>
      </c>
      <c r="E18" s="81">
        <v>0.0020870473451780245</v>
      </c>
      <c r="F18" s="81">
        <v>0.13018673</v>
      </c>
      <c r="G18" s="81">
        <v>0.0022356405454813334</v>
      </c>
      <c r="H18" s="80">
        <v>13</v>
      </c>
      <c r="I18" s="81">
        <v>0</v>
      </c>
      <c r="J18" s="81">
        <v>0</v>
      </c>
      <c r="K18" s="81">
        <v>0</v>
      </c>
      <c r="L18" s="81">
        <v>0</v>
      </c>
      <c r="M18" s="81">
        <v>0.05</v>
      </c>
      <c r="N18" s="82">
        <v>0.05</v>
      </c>
    </row>
    <row r="19" spans="1:14" ht="15" customHeight="1">
      <c r="A19" s="57" t="s">
        <v>40</v>
      </c>
      <c r="B19" s="83">
        <v>-0.20200000703334808</v>
      </c>
      <c r="D19" s="88">
        <v>-0.18888584000000003</v>
      </c>
      <c r="E19" s="81">
        <v>0.0015020897035112595</v>
      </c>
      <c r="F19" s="81">
        <v>0.006860094999999999</v>
      </c>
      <c r="G19" s="81">
        <v>0.0015560100012993847</v>
      </c>
      <c r="H19" s="80">
        <v>14</v>
      </c>
      <c r="I19" s="81">
        <v>0</v>
      </c>
      <c r="J19" s="81">
        <v>0</v>
      </c>
      <c r="K19" s="81">
        <v>0</v>
      </c>
      <c r="L19" s="81">
        <v>0</v>
      </c>
      <c r="M19" s="81">
        <v>0.05</v>
      </c>
      <c r="N19" s="82">
        <v>0.05</v>
      </c>
    </row>
    <row r="20" spans="1:14" ht="15" customHeight="1" thickBot="1">
      <c r="A20" s="57" t="s">
        <v>41</v>
      </c>
      <c r="B20" s="89">
        <v>0.0450484</v>
      </c>
      <c r="D20" s="90">
        <v>-0.004968038199999999</v>
      </c>
      <c r="E20" s="91">
        <v>0.0007480064033304541</v>
      </c>
      <c r="F20" s="91">
        <v>-0.002863724007</v>
      </c>
      <c r="G20" s="91">
        <v>0.0009342825308048538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7" t="s">
        <v>42</v>
      </c>
      <c r="B21" s="89">
        <v>0.6903508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67</v>
      </c>
      <c r="B24" s="97">
        <v>0.1513545956028635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5" t="s">
        <v>47</v>
      </c>
      <c r="B25" s="46">
        <v>10</v>
      </c>
      <c r="E25" s="102" t="s">
        <v>48</v>
      </c>
      <c r="F25" s="103"/>
      <c r="G25" s="104"/>
      <c r="H25" s="105">
        <v>-2.2579304</v>
      </c>
      <c r="I25" s="103" t="s">
        <v>49</v>
      </c>
      <c r="J25" s="104"/>
      <c r="K25" s="103"/>
      <c r="L25" s="106">
        <v>4.648807312275796</v>
      </c>
    </row>
    <row r="26" spans="1:12" ht="18" customHeight="1" thickBot="1">
      <c r="A26" s="57" t="s">
        <v>50</v>
      </c>
      <c r="B26" s="58" t="s">
        <v>51</v>
      </c>
      <c r="E26" s="107" t="s">
        <v>52</v>
      </c>
      <c r="F26" s="108"/>
      <c r="G26" s="109"/>
      <c r="H26" s="110">
        <v>6.545553746563818</v>
      </c>
      <c r="I26" s="108" t="s">
        <v>53</v>
      </c>
      <c r="J26" s="109"/>
      <c r="K26" s="108"/>
      <c r="L26" s="111">
        <v>0.42000841635568464</v>
      </c>
    </row>
    <row r="27" spans="1:2" ht="15" customHeight="1" thickBot="1" thickTop="1">
      <c r="A27" s="94" t="s">
        <v>54</v>
      </c>
      <c r="B27" s="95">
        <v>80</v>
      </c>
    </row>
    <row r="28" spans="1:14" s="2" customFormat="1" ht="18" customHeight="1" thickBot="1">
      <c r="A28" s="112" t="s">
        <v>55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HCMQAP114_pos1ap2res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-9.2107092E-05</v>
      </c>
      <c r="L2" s="55">
        <v>5.312872417496706E-07</v>
      </c>
      <c r="M2" s="55">
        <v>0.000107342946</v>
      </c>
      <c r="N2" s="56">
        <v>2.1098626456050884E-07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-2.8944688E-05</v>
      </c>
      <c r="L3" s="55">
        <v>1.082763767676747E-07</v>
      </c>
      <c r="M3" s="55">
        <v>1.2686894000000002E-05</v>
      </c>
      <c r="N3" s="56">
        <v>2.736416509122781E-07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-0.0037593886811694076</v>
      </c>
      <c r="L4" s="55">
        <v>-3.403023682883957E-05</v>
      </c>
      <c r="M4" s="55">
        <v>8.026868772801426E-08</v>
      </c>
      <c r="N4" s="56">
        <v>4.5259097</v>
      </c>
    </row>
    <row r="5" spans="1:14" ht="15" customHeight="1" thickBot="1">
      <c r="A5" t="s">
        <v>18</v>
      </c>
      <c r="B5" s="59">
        <v>37917.36004629629</v>
      </c>
      <c r="D5" s="60"/>
      <c r="E5" s="61" t="s">
        <v>72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2442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9" t="s">
        <v>24</v>
      </c>
      <c r="J7" s="170"/>
      <c r="K7" s="169" t="s">
        <v>25</v>
      </c>
      <c r="L7" s="170"/>
      <c r="M7" s="169" t="s">
        <v>26</v>
      </c>
      <c r="N7" s="171"/>
    </row>
    <row r="8" spans="1:14" ht="15" customHeight="1">
      <c r="A8" s="57" t="s">
        <v>27</v>
      </c>
      <c r="B8" s="72" t="s">
        <v>28</v>
      </c>
      <c r="D8" s="77">
        <v>-3.7601083</v>
      </c>
      <c r="E8" s="78">
        <v>0.009447754826341017</v>
      </c>
      <c r="F8" s="78">
        <v>0.63142306</v>
      </c>
      <c r="G8" s="78">
        <v>0.012906588677315397</v>
      </c>
      <c r="H8" s="80">
        <v>3</v>
      </c>
      <c r="I8" s="81">
        <v>0</v>
      </c>
      <c r="J8" s="81">
        <v>0</v>
      </c>
      <c r="K8" s="81">
        <v>2</v>
      </c>
      <c r="L8" s="81">
        <v>2</v>
      </c>
      <c r="M8" s="81">
        <v>1</v>
      </c>
      <c r="N8" s="82">
        <v>1</v>
      </c>
    </row>
    <row r="9" spans="1:14" ht="15" customHeight="1">
      <c r="A9" s="57" t="s">
        <v>29</v>
      </c>
      <c r="B9" s="83">
        <v>0.017</v>
      </c>
      <c r="D9" s="84">
        <v>0.27210609100000005</v>
      </c>
      <c r="E9" s="81">
        <v>0.02659886068029207</v>
      </c>
      <c r="F9" s="85">
        <v>3.0086187</v>
      </c>
      <c r="G9" s="81">
        <v>0.032215444356089244</v>
      </c>
      <c r="H9" s="80">
        <v>4</v>
      </c>
      <c r="I9" s="81">
        <v>0</v>
      </c>
      <c r="J9" s="81">
        <v>0</v>
      </c>
      <c r="K9" s="81">
        <v>0.5</v>
      </c>
      <c r="L9" s="81">
        <v>0.5</v>
      </c>
      <c r="M9" s="81">
        <v>0.7</v>
      </c>
      <c r="N9" s="82">
        <v>0.7</v>
      </c>
    </row>
    <row r="10" spans="1:14" ht="15" customHeight="1">
      <c r="A10" s="57" t="s">
        <v>30</v>
      </c>
      <c r="B10" s="72" t="s">
        <v>31</v>
      </c>
      <c r="D10" s="88">
        <v>2.9859971</v>
      </c>
      <c r="E10" s="81">
        <v>0.0052633849982656146</v>
      </c>
      <c r="F10" s="81">
        <v>-1.5353265</v>
      </c>
      <c r="G10" s="81">
        <v>0.01141746201217574</v>
      </c>
      <c r="H10" s="80">
        <v>5</v>
      </c>
      <c r="I10" s="81">
        <v>0</v>
      </c>
      <c r="J10" s="81">
        <v>0</v>
      </c>
      <c r="K10" s="81">
        <v>0.5</v>
      </c>
      <c r="L10" s="81">
        <v>0.5</v>
      </c>
      <c r="M10" s="81">
        <v>0.6</v>
      </c>
      <c r="N10" s="82">
        <v>0.6</v>
      </c>
    </row>
    <row r="11" spans="1:14" ht="15" customHeight="1">
      <c r="A11" s="57" t="s">
        <v>32</v>
      </c>
      <c r="B11" s="58">
        <v>2</v>
      </c>
      <c r="D11" s="77">
        <v>4.9682411</v>
      </c>
      <c r="E11" s="78">
        <v>0.0065363668762338295</v>
      </c>
      <c r="F11" s="78">
        <v>0.0016517594010000004</v>
      </c>
      <c r="G11" s="78">
        <v>0.0077056095415375</v>
      </c>
      <c r="H11" s="80">
        <v>6</v>
      </c>
      <c r="I11" s="81">
        <v>3.925</v>
      </c>
      <c r="J11" s="81">
        <v>0</v>
      </c>
      <c r="K11" s="81">
        <v>1</v>
      </c>
      <c r="L11" s="81">
        <v>0.3</v>
      </c>
      <c r="M11" s="81">
        <v>0.5</v>
      </c>
      <c r="N11" s="82">
        <v>0.5</v>
      </c>
    </row>
    <row r="12" spans="1:14" ht="15" customHeight="1">
      <c r="A12" s="57" t="s">
        <v>33</v>
      </c>
      <c r="B12" s="86">
        <v>0.7499</v>
      </c>
      <c r="D12" s="84">
        <v>0.042397505999999995</v>
      </c>
      <c r="E12" s="81">
        <v>0.004535939494386369</v>
      </c>
      <c r="F12" s="81">
        <v>0.32046271000000004</v>
      </c>
      <c r="G12" s="81">
        <v>0.0035392518010697385</v>
      </c>
      <c r="H12" s="80">
        <v>7</v>
      </c>
      <c r="I12" s="81">
        <v>0</v>
      </c>
      <c r="J12" s="81">
        <v>0</v>
      </c>
      <c r="K12" s="81">
        <v>0.15</v>
      </c>
      <c r="L12" s="81">
        <v>0.15</v>
      </c>
      <c r="M12" s="81">
        <v>0.15</v>
      </c>
      <c r="N12" s="82">
        <v>0.15</v>
      </c>
    </row>
    <row r="13" spans="1:14" ht="15" customHeight="1">
      <c r="A13" s="57" t="s">
        <v>34</v>
      </c>
      <c r="B13" s="83">
        <v>18.83545</v>
      </c>
      <c r="D13" s="84">
        <v>0.16188279</v>
      </c>
      <c r="E13" s="81">
        <v>0.003989903713801436</v>
      </c>
      <c r="F13" s="81">
        <v>0.26220175</v>
      </c>
      <c r="G13" s="81">
        <v>0.00536716982729297</v>
      </c>
      <c r="H13" s="80">
        <v>8</v>
      </c>
      <c r="I13" s="81">
        <v>0</v>
      </c>
      <c r="J13" s="81">
        <v>0</v>
      </c>
      <c r="K13" s="81">
        <v>0.1</v>
      </c>
      <c r="L13" s="81">
        <v>0.1</v>
      </c>
      <c r="M13" s="81">
        <v>0.1</v>
      </c>
      <c r="N13" s="82">
        <v>0.1</v>
      </c>
    </row>
    <row r="14" spans="1:14" ht="15" customHeight="1">
      <c r="A14" s="50" t="s">
        <v>35</v>
      </c>
      <c r="B14" s="87">
        <v>12.5</v>
      </c>
      <c r="D14" s="84">
        <v>0.033302662999999996</v>
      </c>
      <c r="E14" s="81">
        <v>0.00293751282612278</v>
      </c>
      <c r="F14" s="81">
        <v>0.088923912</v>
      </c>
      <c r="G14" s="81">
        <v>0.001518613519604452</v>
      </c>
      <c r="H14" s="80">
        <v>9</v>
      </c>
      <c r="I14" s="81">
        <v>0</v>
      </c>
      <c r="J14" s="81">
        <v>0</v>
      </c>
      <c r="K14" s="81">
        <v>0.1</v>
      </c>
      <c r="L14" s="81">
        <v>0.1</v>
      </c>
      <c r="M14" s="81">
        <v>0.1</v>
      </c>
      <c r="N14" s="82">
        <v>0.1</v>
      </c>
    </row>
    <row r="15" spans="1:14" ht="15" customHeight="1">
      <c r="A15" s="57" t="s">
        <v>36</v>
      </c>
      <c r="B15" s="83">
        <v>0</v>
      </c>
      <c r="D15" s="77">
        <v>-0.053212144</v>
      </c>
      <c r="E15" s="78">
        <v>0.001874182654159915</v>
      </c>
      <c r="F15" s="78">
        <v>0.040357184000000004</v>
      </c>
      <c r="G15" s="78">
        <v>0.0023581132512294385</v>
      </c>
      <c r="H15" s="80">
        <v>10</v>
      </c>
      <c r="I15" s="81">
        <v>-0.26</v>
      </c>
      <c r="J15" s="81">
        <v>0</v>
      </c>
      <c r="K15" s="81">
        <v>0.2</v>
      </c>
      <c r="L15" s="81">
        <v>0.1</v>
      </c>
      <c r="M15" s="81">
        <v>0.3</v>
      </c>
      <c r="N15" s="82">
        <v>0.3</v>
      </c>
    </row>
    <row r="16" spans="1:14" ht="15" customHeight="1">
      <c r="A16" s="57" t="s">
        <v>37</v>
      </c>
      <c r="B16" s="83">
        <v>12.506</v>
      </c>
      <c r="D16" s="84">
        <v>0.058829134000000005</v>
      </c>
      <c r="E16" s="81">
        <v>0.0009953914464790163</v>
      </c>
      <c r="F16" s="81">
        <v>0.060644924</v>
      </c>
      <c r="G16" s="81">
        <v>0.0027369421240453404</v>
      </c>
      <c r="H16" s="80">
        <v>11</v>
      </c>
      <c r="I16" s="81">
        <v>0</v>
      </c>
      <c r="J16" s="81">
        <v>0</v>
      </c>
      <c r="K16" s="81">
        <v>0</v>
      </c>
      <c r="L16" s="81">
        <v>0</v>
      </c>
      <c r="M16" s="81">
        <v>0.05</v>
      </c>
      <c r="N16" s="82">
        <v>0.05</v>
      </c>
    </row>
    <row r="17" spans="1:14" ht="15" customHeight="1">
      <c r="A17" s="57" t="s">
        <v>38</v>
      </c>
      <c r="B17" s="83">
        <v>-0.06300000101327896</v>
      </c>
      <c r="D17" s="84">
        <v>0.021216136000000003</v>
      </c>
      <c r="E17" s="81">
        <v>0.0023488970211705735</v>
      </c>
      <c r="F17" s="81">
        <v>0.113133438</v>
      </c>
      <c r="G17" s="81">
        <v>0.0027693427013094607</v>
      </c>
      <c r="H17" s="80">
        <v>12</v>
      </c>
      <c r="I17" s="81">
        <v>0</v>
      </c>
      <c r="J17" s="81">
        <v>0</v>
      </c>
      <c r="K17" s="81">
        <v>0</v>
      </c>
      <c r="L17" s="81">
        <v>0</v>
      </c>
      <c r="M17" s="81">
        <v>0.05</v>
      </c>
      <c r="N17" s="82">
        <v>0.05</v>
      </c>
    </row>
    <row r="18" spans="1:14" ht="15" customHeight="1">
      <c r="A18" s="57" t="s">
        <v>39</v>
      </c>
      <c r="B18" s="83">
        <v>165.3040008544922</v>
      </c>
      <c r="D18" s="84">
        <v>-0.088956727</v>
      </c>
      <c r="E18" s="81">
        <v>0.0019757385636584</v>
      </c>
      <c r="F18" s="81">
        <v>0.09823088399999999</v>
      </c>
      <c r="G18" s="81">
        <v>0.0009120480041608634</v>
      </c>
      <c r="H18" s="80">
        <v>13</v>
      </c>
      <c r="I18" s="81">
        <v>0</v>
      </c>
      <c r="J18" s="81">
        <v>0</v>
      </c>
      <c r="K18" s="81">
        <v>0</v>
      </c>
      <c r="L18" s="81">
        <v>0</v>
      </c>
      <c r="M18" s="81">
        <v>0.05</v>
      </c>
      <c r="N18" s="82">
        <v>0.05</v>
      </c>
    </row>
    <row r="19" spans="1:14" ht="15" customHeight="1">
      <c r="A19" s="57" t="s">
        <v>40</v>
      </c>
      <c r="B19" s="83">
        <v>-0.41200000047683716</v>
      </c>
      <c r="D19" s="88">
        <v>-0.17747407</v>
      </c>
      <c r="E19" s="81">
        <v>0.0011492076181444017</v>
      </c>
      <c r="F19" s="81">
        <v>0.010577993300000001</v>
      </c>
      <c r="G19" s="81">
        <v>0.0013344908160771802</v>
      </c>
      <c r="H19" s="80">
        <v>14</v>
      </c>
      <c r="I19" s="81">
        <v>0</v>
      </c>
      <c r="J19" s="81">
        <v>0</v>
      </c>
      <c r="K19" s="81">
        <v>0</v>
      </c>
      <c r="L19" s="81">
        <v>0</v>
      </c>
      <c r="M19" s="81">
        <v>0.05</v>
      </c>
      <c r="N19" s="82">
        <v>0.05</v>
      </c>
    </row>
    <row r="20" spans="1:14" ht="15" customHeight="1" thickBot="1">
      <c r="A20" s="57" t="s">
        <v>41</v>
      </c>
      <c r="B20" s="89">
        <v>-0.42086520000000005</v>
      </c>
      <c r="D20" s="90">
        <v>-0.003250976452</v>
      </c>
      <c r="E20" s="91">
        <v>0.0007811455905849498</v>
      </c>
      <c r="F20" s="91">
        <v>-0.0064768911</v>
      </c>
      <c r="G20" s="91">
        <v>0.0013467530587639104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7" t="s">
        <v>42</v>
      </c>
      <c r="B21" s="89">
        <v>0.48159909999999995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67</v>
      </c>
      <c r="B24" s="97">
        <v>0.25931574330195856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5" t="s">
        <v>47</v>
      </c>
      <c r="B25" s="46">
        <v>10</v>
      </c>
      <c r="E25" s="102" t="s">
        <v>48</v>
      </c>
      <c r="F25" s="103"/>
      <c r="G25" s="104"/>
      <c r="H25" s="105">
        <v>-3.759542699999999</v>
      </c>
      <c r="I25" s="103" t="s">
        <v>49</v>
      </c>
      <c r="J25" s="104"/>
      <c r="K25" s="103"/>
      <c r="L25" s="106">
        <v>4.968241374574944</v>
      </c>
    </row>
    <row r="26" spans="1:12" ht="18" customHeight="1" thickBot="1">
      <c r="A26" s="57" t="s">
        <v>50</v>
      </c>
      <c r="B26" s="58" t="s">
        <v>51</v>
      </c>
      <c r="E26" s="107" t="s">
        <v>52</v>
      </c>
      <c r="F26" s="108"/>
      <c r="G26" s="109"/>
      <c r="H26" s="110">
        <v>3.812756156434431</v>
      </c>
      <c r="I26" s="108" t="s">
        <v>53</v>
      </c>
      <c r="J26" s="109"/>
      <c r="K26" s="108"/>
      <c r="L26" s="111">
        <v>0.06678498760564827</v>
      </c>
    </row>
    <row r="27" spans="1:2" ht="15" customHeight="1" thickBot="1" thickTop="1">
      <c r="A27" s="94" t="s">
        <v>54</v>
      </c>
      <c r="B27" s="95">
        <v>80</v>
      </c>
    </row>
    <row r="28" spans="1:14" s="2" customFormat="1" ht="18" customHeight="1" thickBot="1">
      <c r="A28" s="112" t="s">
        <v>55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HCMQAP114_pos2ap2res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3.701339809999999E-05</v>
      </c>
      <c r="L2" s="55">
        <v>2.1689826141353184E-07</v>
      </c>
      <c r="M2" s="55">
        <v>0.00017357308000000003</v>
      </c>
      <c r="N2" s="56">
        <v>1.0949892050995038E-07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-2.79693319E-05</v>
      </c>
      <c r="L3" s="55">
        <v>1.789100950250385E-07</v>
      </c>
      <c r="M3" s="55">
        <v>1.0793279999999999E-05</v>
      </c>
      <c r="N3" s="56">
        <v>8.155702054393319E-08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-0.0037589246368313713</v>
      </c>
      <c r="L4" s="55">
        <v>-4.9053940720736206E-05</v>
      </c>
      <c r="M4" s="55">
        <v>3.637664192721998E-08</v>
      </c>
      <c r="N4" s="56">
        <v>6.5246262</v>
      </c>
    </row>
    <row r="5" spans="1:14" ht="15" customHeight="1" thickBot="1">
      <c r="A5" t="s">
        <v>18</v>
      </c>
      <c r="B5" s="59">
        <v>37917.36461805556</v>
      </c>
      <c r="D5" s="60"/>
      <c r="E5" s="61" t="s">
        <v>75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2442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9" t="s">
        <v>24</v>
      </c>
      <c r="J7" s="170"/>
      <c r="K7" s="169" t="s">
        <v>25</v>
      </c>
      <c r="L7" s="170"/>
      <c r="M7" s="169" t="s">
        <v>26</v>
      </c>
      <c r="N7" s="171"/>
    </row>
    <row r="8" spans="1:14" ht="15" customHeight="1">
      <c r="A8" s="57" t="s">
        <v>27</v>
      </c>
      <c r="B8" s="72" t="s">
        <v>28</v>
      </c>
      <c r="D8" s="77">
        <v>-1.9435150999999997</v>
      </c>
      <c r="E8" s="78">
        <v>0.008532053746956408</v>
      </c>
      <c r="F8" s="78">
        <v>-0.033282929069999995</v>
      </c>
      <c r="G8" s="78">
        <v>0.015382013609132054</v>
      </c>
      <c r="H8" s="80">
        <v>3</v>
      </c>
      <c r="I8" s="81">
        <v>0</v>
      </c>
      <c r="J8" s="81">
        <v>0</v>
      </c>
      <c r="K8" s="81">
        <v>2</v>
      </c>
      <c r="L8" s="81">
        <v>2</v>
      </c>
      <c r="M8" s="81">
        <v>1</v>
      </c>
      <c r="N8" s="82">
        <v>1</v>
      </c>
    </row>
    <row r="9" spans="1:14" ht="15" customHeight="1">
      <c r="A9" s="57" t="s">
        <v>29</v>
      </c>
      <c r="B9" s="83">
        <v>0.017</v>
      </c>
      <c r="D9" s="84">
        <v>-0.42690551</v>
      </c>
      <c r="E9" s="81">
        <v>0.023073032491664574</v>
      </c>
      <c r="F9" s="85">
        <v>2.7172969</v>
      </c>
      <c r="G9" s="81">
        <v>0.01672835095996607</v>
      </c>
      <c r="H9" s="80">
        <v>4</v>
      </c>
      <c r="I9" s="81">
        <v>0</v>
      </c>
      <c r="J9" s="81">
        <v>0</v>
      </c>
      <c r="K9" s="81">
        <v>0.5</v>
      </c>
      <c r="L9" s="81">
        <v>0.5</v>
      </c>
      <c r="M9" s="81">
        <v>0.7</v>
      </c>
      <c r="N9" s="82">
        <v>0.7</v>
      </c>
    </row>
    <row r="10" spans="1:14" ht="15" customHeight="1">
      <c r="A10" s="57" t="s">
        <v>30</v>
      </c>
      <c r="B10" s="72" t="s">
        <v>31</v>
      </c>
      <c r="D10" s="84">
        <v>0.8655286500000001</v>
      </c>
      <c r="E10" s="81">
        <v>0.010600572729898962</v>
      </c>
      <c r="F10" s="85">
        <v>-2.583385</v>
      </c>
      <c r="G10" s="81">
        <v>0.00609092470009949</v>
      </c>
      <c r="H10" s="80">
        <v>5</v>
      </c>
      <c r="I10" s="81">
        <v>0</v>
      </c>
      <c r="J10" s="81">
        <v>0</v>
      </c>
      <c r="K10" s="81">
        <v>0.5</v>
      </c>
      <c r="L10" s="81">
        <v>0.5</v>
      </c>
      <c r="M10" s="81">
        <v>0.6</v>
      </c>
      <c r="N10" s="82">
        <v>0.6</v>
      </c>
    </row>
    <row r="11" spans="1:14" ht="15" customHeight="1">
      <c r="A11" s="57" t="s">
        <v>32</v>
      </c>
      <c r="B11" s="58">
        <v>3</v>
      </c>
      <c r="D11" s="77">
        <v>5.0442251</v>
      </c>
      <c r="E11" s="78">
        <v>0.007818675491624651</v>
      </c>
      <c r="F11" s="78">
        <v>0.17672133</v>
      </c>
      <c r="G11" s="78">
        <v>0.00874755051414946</v>
      </c>
      <c r="H11" s="80">
        <v>6</v>
      </c>
      <c r="I11" s="81">
        <v>3.925</v>
      </c>
      <c r="J11" s="81">
        <v>0</v>
      </c>
      <c r="K11" s="81">
        <v>1</v>
      </c>
      <c r="L11" s="81">
        <v>0.3</v>
      </c>
      <c r="M11" s="81">
        <v>0.5</v>
      </c>
      <c r="N11" s="82">
        <v>0.5</v>
      </c>
    </row>
    <row r="12" spans="1:14" ht="15" customHeight="1">
      <c r="A12" s="57" t="s">
        <v>33</v>
      </c>
      <c r="B12" s="86">
        <v>0.7499</v>
      </c>
      <c r="D12" s="84">
        <v>-0.04244743</v>
      </c>
      <c r="E12" s="81">
        <v>0.0061647001401049385</v>
      </c>
      <c r="F12" s="81">
        <v>0.03070252651</v>
      </c>
      <c r="G12" s="81">
        <v>0.002121742406679394</v>
      </c>
      <c r="H12" s="80">
        <v>7</v>
      </c>
      <c r="I12" s="81">
        <v>0</v>
      </c>
      <c r="J12" s="81">
        <v>0</v>
      </c>
      <c r="K12" s="81">
        <v>0.15</v>
      </c>
      <c r="L12" s="81">
        <v>0.15</v>
      </c>
      <c r="M12" s="81">
        <v>0.15</v>
      </c>
      <c r="N12" s="82">
        <v>0.15</v>
      </c>
    </row>
    <row r="13" spans="1:14" ht="15" customHeight="1">
      <c r="A13" s="57" t="s">
        <v>34</v>
      </c>
      <c r="B13" s="83">
        <v>18.83545</v>
      </c>
      <c r="D13" s="84">
        <v>0.012203071360000001</v>
      </c>
      <c r="E13" s="81">
        <v>0.0023311168596456414</v>
      </c>
      <c r="F13" s="81">
        <v>0.11501814499999999</v>
      </c>
      <c r="G13" s="81">
        <v>0.0035473525179497453</v>
      </c>
      <c r="H13" s="80">
        <v>8</v>
      </c>
      <c r="I13" s="81">
        <v>0</v>
      </c>
      <c r="J13" s="81">
        <v>0</v>
      </c>
      <c r="K13" s="81">
        <v>0.1</v>
      </c>
      <c r="L13" s="81">
        <v>0.1</v>
      </c>
      <c r="M13" s="81">
        <v>0.1</v>
      </c>
      <c r="N13" s="82">
        <v>0.1</v>
      </c>
    </row>
    <row r="14" spans="1:14" ht="15" customHeight="1">
      <c r="A14" s="50" t="s">
        <v>35</v>
      </c>
      <c r="B14" s="87">
        <v>12.5</v>
      </c>
      <c r="D14" s="84">
        <v>0.19752478</v>
      </c>
      <c r="E14" s="81">
        <v>0.00201322016470873</v>
      </c>
      <c r="F14" s="81">
        <v>0.033493482</v>
      </c>
      <c r="G14" s="81">
        <v>0.003150984613638451</v>
      </c>
      <c r="H14" s="80">
        <v>9</v>
      </c>
      <c r="I14" s="81">
        <v>0</v>
      </c>
      <c r="J14" s="81">
        <v>0</v>
      </c>
      <c r="K14" s="81">
        <v>0.1</v>
      </c>
      <c r="L14" s="81">
        <v>0.1</v>
      </c>
      <c r="M14" s="81">
        <v>0.1</v>
      </c>
      <c r="N14" s="82">
        <v>0.1</v>
      </c>
    </row>
    <row r="15" spans="1:14" ht="15" customHeight="1">
      <c r="A15" s="57" t="s">
        <v>36</v>
      </c>
      <c r="B15" s="83">
        <v>0</v>
      </c>
      <c r="D15" s="77">
        <v>-0.07732910600000001</v>
      </c>
      <c r="E15" s="78">
        <v>0.002959026549839099</v>
      </c>
      <c r="F15" s="78">
        <v>0.08028430900000001</v>
      </c>
      <c r="G15" s="78">
        <v>0.0024525099056603326</v>
      </c>
      <c r="H15" s="80">
        <v>10</v>
      </c>
      <c r="I15" s="81">
        <v>-0.26</v>
      </c>
      <c r="J15" s="81">
        <v>0</v>
      </c>
      <c r="K15" s="81">
        <v>0.2</v>
      </c>
      <c r="L15" s="81">
        <v>0.1</v>
      </c>
      <c r="M15" s="81">
        <v>0.3</v>
      </c>
      <c r="N15" s="82">
        <v>0.3</v>
      </c>
    </row>
    <row r="16" spans="1:14" ht="15" customHeight="1">
      <c r="A16" s="57" t="s">
        <v>37</v>
      </c>
      <c r="B16" s="83">
        <v>12.506</v>
      </c>
      <c r="D16" s="84">
        <v>-0.026374593</v>
      </c>
      <c r="E16" s="81">
        <v>0.0022765302583923398</v>
      </c>
      <c r="F16" s="81">
        <v>-0.037628191</v>
      </c>
      <c r="G16" s="81">
        <v>0.002371804800622069</v>
      </c>
      <c r="H16" s="80">
        <v>11</v>
      </c>
      <c r="I16" s="81">
        <v>0</v>
      </c>
      <c r="J16" s="81">
        <v>0</v>
      </c>
      <c r="K16" s="81">
        <v>0</v>
      </c>
      <c r="L16" s="81">
        <v>0</v>
      </c>
      <c r="M16" s="81">
        <v>0.05</v>
      </c>
      <c r="N16" s="82">
        <v>0.05</v>
      </c>
    </row>
    <row r="17" spans="1:14" ht="15" customHeight="1">
      <c r="A17" s="57" t="s">
        <v>38</v>
      </c>
      <c r="B17" s="83">
        <v>0.27900001406669617</v>
      </c>
      <c r="D17" s="84">
        <v>0.110171023</v>
      </c>
      <c r="E17" s="81">
        <v>0.0032316922145189616</v>
      </c>
      <c r="F17" s="81">
        <v>-0.01628946585</v>
      </c>
      <c r="G17" s="81">
        <v>0.001745549316445178</v>
      </c>
      <c r="H17" s="80">
        <v>12</v>
      </c>
      <c r="I17" s="81">
        <v>0</v>
      </c>
      <c r="J17" s="81">
        <v>0</v>
      </c>
      <c r="K17" s="81">
        <v>0</v>
      </c>
      <c r="L17" s="81">
        <v>0</v>
      </c>
      <c r="M17" s="81">
        <v>0.05</v>
      </c>
      <c r="N17" s="82">
        <v>0.05</v>
      </c>
    </row>
    <row r="18" spans="1:14" ht="15" customHeight="1">
      <c r="A18" s="57" t="s">
        <v>39</v>
      </c>
      <c r="B18" s="83">
        <v>-13.223999977111816</v>
      </c>
      <c r="D18" s="84">
        <v>0.042582856999999995</v>
      </c>
      <c r="E18" s="81">
        <v>0.0017107678495683046</v>
      </c>
      <c r="F18" s="81">
        <v>0.14790141</v>
      </c>
      <c r="G18" s="81">
        <v>0.0007159076563326764</v>
      </c>
      <c r="H18" s="80">
        <v>13</v>
      </c>
      <c r="I18" s="81">
        <v>0</v>
      </c>
      <c r="J18" s="81">
        <v>0</v>
      </c>
      <c r="K18" s="81">
        <v>0</v>
      </c>
      <c r="L18" s="81">
        <v>0</v>
      </c>
      <c r="M18" s="81">
        <v>0.05</v>
      </c>
      <c r="N18" s="82">
        <v>0.05</v>
      </c>
    </row>
    <row r="19" spans="1:14" ht="15" customHeight="1">
      <c r="A19" s="57" t="s">
        <v>40</v>
      </c>
      <c r="B19" s="83">
        <v>-0.10999999940395355</v>
      </c>
      <c r="D19" s="88">
        <v>-0.17635722</v>
      </c>
      <c r="E19" s="81">
        <v>0.0004478409099185352</v>
      </c>
      <c r="F19" s="81">
        <v>0.012805064200000002</v>
      </c>
      <c r="G19" s="81">
        <v>0.0016234409592594651</v>
      </c>
      <c r="H19" s="80">
        <v>14</v>
      </c>
      <c r="I19" s="81">
        <v>0</v>
      </c>
      <c r="J19" s="81">
        <v>0</v>
      </c>
      <c r="K19" s="81">
        <v>0</v>
      </c>
      <c r="L19" s="81">
        <v>0</v>
      </c>
      <c r="M19" s="81">
        <v>0.05</v>
      </c>
      <c r="N19" s="82">
        <v>0.05</v>
      </c>
    </row>
    <row r="20" spans="1:14" ht="15" customHeight="1" thickBot="1">
      <c r="A20" s="57" t="s">
        <v>41</v>
      </c>
      <c r="B20" s="89">
        <v>0.15711610000000004</v>
      </c>
      <c r="D20" s="90">
        <v>-0.007063261499999999</v>
      </c>
      <c r="E20" s="91">
        <v>0.0012533086062718538</v>
      </c>
      <c r="F20" s="91">
        <v>-0.0071004643</v>
      </c>
      <c r="G20" s="91">
        <v>0.0005902693930219223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7" t="s">
        <v>42</v>
      </c>
      <c r="B21" s="89">
        <v>0.7870451999999999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67</v>
      </c>
      <c r="B24" s="97">
        <v>0.3738338599244332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5" t="s">
        <v>47</v>
      </c>
      <c r="B25" s="46">
        <v>10</v>
      </c>
      <c r="E25" s="102" t="s">
        <v>48</v>
      </c>
      <c r="F25" s="103"/>
      <c r="G25" s="104"/>
      <c r="H25" s="105">
        <v>-3.7592447</v>
      </c>
      <c r="I25" s="103" t="s">
        <v>49</v>
      </c>
      <c r="J25" s="104"/>
      <c r="K25" s="103"/>
      <c r="L25" s="106">
        <v>5.047319812330796</v>
      </c>
    </row>
    <row r="26" spans="1:12" ht="18" customHeight="1" thickBot="1">
      <c r="A26" s="57" t="s">
        <v>50</v>
      </c>
      <c r="B26" s="58" t="s">
        <v>51</v>
      </c>
      <c r="E26" s="107" t="s">
        <v>52</v>
      </c>
      <c r="F26" s="108"/>
      <c r="G26" s="109"/>
      <c r="H26" s="110">
        <v>1.943800066183631</v>
      </c>
      <c r="I26" s="108" t="s">
        <v>53</v>
      </c>
      <c r="J26" s="109"/>
      <c r="K26" s="108"/>
      <c r="L26" s="111">
        <v>0.11146910292258892</v>
      </c>
    </row>
    <row r="27" spans="1:2" ht="15" customHeight="1" thickBot="1" thickTop="1">
      <c r="A27" s="94" t="s">
        <v>54</v>
      </c>
      <c r="B27" s="95">
        <v>80</v>
      </c>
    </row>
    <row r="28" spans="1:14" s="2" customFormat="1" ht="18" customHeight="1" thickBot="1">
      <c r="A28" s="112" t="s">
        <v>55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HCMQAP114_pos3ap2res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-3.34288627E-05</v>
      </c>
      <c r="L2" s="55">
        <v>4.2911202481061476E-07</v>
      </c>
      <c r="M2" s="55">
        <v>0.00012982105</v>
      </c>
      <c r="N2" s="56">
        <v>5.573978202274847E-07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-2.8396757300000003E-05</v>
      </c>
      <c r="L3" s="55">
        <v>2.937614082288825E-07</v>
      </c>
      <c r="M3" s="55">
        <v>1.0300169999999998E-05</v>
      </c>
      <c r="N3" s="56">
        <v>1.7176486136572085E-07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-0.003757904841437216</v>
      </c>
      <c r="L4" s="55">
        <v>-5.811622286736831E-05</v>
      </c>
      <c r="M4" s="55">
        <v>8.632531379943364E-08</v>
      </c>
      <c r="N4" s="56">
        <v>7.731913499999999</v>
      </c>
    </row>
    <row r="5" spans="1:14" ht="15" customHeight="1" thickBot="1">
      <c r="A5" t="s">
        <v>18</v>
      </c>
      <c r="B5" s="59">
        <v>37917.36924768519</v>
      </c>
      <c r="D5" s="60"/>
      <c r="E5" s="61" t="s">
        <v>78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2442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9" t="s">
        <v>24</v>
      </c>
      <c r="J7" s="170"/>
      <c r="K7" s="169" t="s">
        <v>25</v>
      </c>
      <c r="L7" s="170"/>
      <c r="M7" s="169" t="s">
        <v>26</v>
      </c>
      <c r="N7" s="171"/>
    </row>
    <row r="8" spans="1:14" ht="15" customHeight="1">
      <c r="A8" s="57" t="s">
        <v>27</v>
      </c>
      <c r="B8" s="72" t="s">
        <v>28</v>
      </c>
      <c r="D8" s="77">
        <v>-3.0651300000000004</v>
      </c>
      <c r="E8" s="78">
        <v>0.012327821981152183</v>
      </c>
      <c r="F8" s="78">
        <v>0.28373674</v>
      </c>
      <c r="G8" s="78">
        <v>0.011062139995516777</v>
      </c>
      <c r="H8" s="80">
        <v>3</v>
      </c>
      <c r="I8" s="81">
        <v>0</v>
      </c>
      <c r="J8" s="81">
        <v>0</v>
      </c>
      <c r="K8" s="81">
        <v>2</v>
      </c>
      <c r="L8" s="81">
        <v>2</v>
      </c>
      <c r="M8" s="81">
        <v>1</v>
      </c>
      <c r="N8" s="82">
        <v>1</v>
      </c>
    </row>
    <row r="9" spans="1:14" ht="15" customHeight="1">
      <c r="A9" s="57" t="s">
        <v>29</v>
      </c>
      <c r="B9" s="83">
        <v>0.017</v>
      </c>
      <c r="D9" s="84">
        <v>-0.012509750000000004</v>
      </c>
      <c r="E9" s="81">
        <v>0.013197010522235708</v>
      </c>
      <c r="F9" s="81">
        <v>2.0239601</v>
      </c>
      <c r="G9" s="81">
        <v>0.028881566975149393</v>
      </c>
      <c r="H9" s="80">
        <v>4</v>
      </c>
      <c r="I9" s="81">
        <v>0</v>
      </c>
      <c r="J9" s="81">
        <v>0</v>
      </c>
      <c r="K9" s="81">
        <v>0.5</v>
      </c>
      <c r="L9" s="81">
        <v>0.5</v>
      </c>
      <c r="M9" s="81">
        <v>0.7</v>
      </c>
      <c r="N9" s="82">
        <v>0.7</v>
      </c>
    </row>
    <row r="10" spans="1:14" ht="15" customHeight="1">
      <c r="A10" s="57" t="s">
        <v>30</v>
      </c>
      <c r="B10" s="72" t="s">
        <v>31</v>
      </c>
      <c r="D10" s="84">
        <v>1.8731147</v>
      </c>
      <c r="E10" s="81">
        <v>0.003924386163421972</v>
      </c>
      <c r="F10" s="81">
        <v>-1.6936130999999999</v>
      </c>
      <c r="G10" s="81">
        <v>0.010956754306836996</v>
      </c>
      <c r="H10" s="80">
        <v>5</v>
      </c>
      <c r="I10" s="81">
        <v>0</v>
      </c>
      <c r="J10" s="81">
        <v>0</v>
      </c>
      <c r="K10" s="81">
        <v>0.5</v>
      </c>
      <c r="L10" s="81">
        <v>0.5</v>
      </c>
      <c r="M10" s="81">
        <v>0.6</v>
      </c>
      <c r="N10" s="82">
        <v>0.6</v>
      </c>
    </row>
    <row r="11" spans="1:14" ht="15" customHeight="1">
      <c r="A11" s="57" t="s">
        <v>32</v>
      </c>
      <c r="B11" s="58">
        <v>4</v>
      </c>
      <c r="D11" s="77">
        <v>4.5461411</v>
      </c>
      <c r="E11" s="78">
        <v>0.005241904171001913</v>
      </c>
      <c r="F11" s="78">
        <v>0.17156945</v>
      </c>
      <c r="G11" s="78">
        <v>0.007464969898465501</v>
      </c>
      <c r="H11" s="80">
        <v>6</v>
      </c>
      <c r="I11" s="81">
        <v>3.925</v>
      </c>
      <c r="J11" s="81">
        <v>0</v>
      </c>
      <c r="K11" s="81">
        <v>1</v>
      </c>
      <c r="L11" s="81">
        <v>0.3</v>
      </c>
      <c r="M11" s="81">
        <v>0.5</v>
      </c>
      <c r="N11" s="82">
        <v>0.5</v>
      </c>
    </row>
    <row r="12" spans="1:14" ht="15" customHeight="1">
      <c r="A12" s="57" t="s">
        <v>33</v>
      </c>
      <c r="B12" s="86">
        <v>0.7499</v>
      </c>
      <c r="D12" s="84">
        <v>0.08140703899999999</v>
      </c>
      <c r="E12" s="81">
        <v>0.004209042629222959</v>
      </c>
      <c r="F12" s="81">
        <v>0.27633736999999997</v>
      </c>
      <c r="G12" s="81">
        <v>0.0029836899501445853</v>
      </c>
      <c r="H12" s="80">
        <v>7</v>
      </c>
      <c r="I12" s="81">
        <v>0</v>
      </c>
      <c r="J12" s="81">
        <v>0</v>
      </c>
      <c r="K12" s="81">
        <v>0.15</v>
      </c>
      <c r="L12" s="81">
        <v>0.15</v>
      </c>
      <c r="M12" s="81">
        <v>0.15</v>
      </c>
      <c r="N12" s="82">
        <v>0.15</v>
      </c>
    </row>
    <row r="13" spans="1:14" ht="15" customHeight="1">
      <c r="A13" s="57" t="s">
        <v>34</v>
      </c>
      <c r="B13" s="83">
        <v>18.847657</v>
      </c>
      <c r="D13" s="84">
        <v>-0.068983441</v>
      </c>
      <c r="E13" s="81">
        <v>0.0031348025471270363</v>
      </c>
      <c r="F13" s="81">
        <v>0.0050143415</v>
      </c>
      <c r="G13" s="81">
        <v>0.0026164436376182472</v>
      </c>
      <c r="H13" s="80">
        <v>8</v>
      </c>
      <c r="I13" s="81">
        <v>0</v>
      </c>
      <c r="J13" s="81">
        <v>0</v>
      </c>
      <c r="K13" s="81">
        <v>0.1</v>
      </c>
      <c r="L13" s="81">
        <v>0.1</v>
      </c>
      <c r="M13" s="81">
        <v>0.1</v>
      </c>
      <c r="N13" s="82">
        <v>0.1</v>
      </c>
    </row>
    <row r="14" spans="1:14" ht="15" customHeight="1">
      <c r="A14" s="50" t="s">
        <v>35</v>
      </c>
      <c r="B14" s="87">
        <v>12.5</v>
      </c>
      <c r="D14" s="84">
        <v>-0.025407384999999998</v>
      </c>
      <c r="E14" s="81">
        <v>0.001221745192689544</v>
      </c>
      <c r="F14" s="81">
        <v>0.014288689599999998</v>
      </c>
      <c r="G14" s="81">
        <v>0.0040873151480758495</v>
      </c>
      <c r="H14" s="80">
        <v>9</v>
      </c>
      <c r="I14" s="81">
        <v>0</v>
      </c>
      <c r="J14" s="81">
        <v>0</v>
      </c>
      <c r="K14" s="81">
        <v>0.1</v>
      </c>
      <c r="L14" s="81">
        <v>0.1</v>
      </c>
      <c r="M14" s="81">
        <v>0.1</v>
      </c>
      <c r="N14" s="82">
        <v>0.1</v>
      </c>
    </row>
    <row r="15" spans="1:14" ht="15" customHeight="1">
      <c r="A15" s="57" t="s">
        <v>36</v>
      </c>
      <c r="B15" s="83">
        <v>0</v>
      </c>
      <c r="D15" s="77">
        <v>-0.079288165</v>
      </c>
      <c r="E15" s="78">
        <v>0.001575763795760414</v>
      </c>
      <c r="F15" s="78">
        <v>-0.081240379</v>
      </c>
      <c r="G15" s="78">
        <v>0.0017009383819392501</v>
      </c>
      <c r="H15" s="80">
        <v>10</v>
      </c>
      <c r="I15" s="81">
        <v>-0.26</v>
      </c>
      <c r="J15" s="81">
        <v>0</v>
      </c>
      <c r="K15" s="81">
        <v>0.2</v>
      </c>
      <c r="L15" s="81">
        <v>0.1</v>
      </c>
      <c r="M15" s="81">
        <v>0.3</v>
      </c>
      <c r="N15" s="82">
        <v>0.3</v>
      </c>
    </row>
    <row r="16" spans="1:14" ht="15" customHeight="1">
      <c r="A16" s="57" t="s">
        <v>37</v>
      </c>
      <c r="B16" s="83">
        <v>12.506</v>
      </c>
      <c r="D16" s="84">
        <v>0.041635553000000006</v>
      </c>
      <c r="E16" s="81">
        <v>0.003225825059832861</v>
      </c>
      <c r="F16" s="81">
        <v>0.020445321</v>
      </c>
      <c r="G16" s="81">
        <v>0.0028959872058356793</v>
      </c>
      <c r="H16" s="80">
        <v>11</v>
      </c>
      <c r="I16" s="81">
        <v>0</v>
      </c>
      <c r="J16" s="81">
        <v>0</v>
      </c>
      <c r="K16" s="81">
        <v>0</v>
      </c>
      <c r="L16" s="81">
        <v>0</v>
      </c>
      <c r="M16" s="81">
        <v>0.05</v>
      </c>
      <c r="N16" s="82">
        <v>0.05</v>
      </c>
    </row>
    <row r="17" spans="1:14" ht="15" customHeight="1">
      <c r="A17" s="57" t="s">
        <v>38</v>
      </c>
      <c r="B17" s="83">
        <v>-0.004999999888241291</v>
      </c>
      <c r="D17" s="84">
        <v>0.06268311499999998</v>
      </c>
      <c r="E17" s="81">
        <v>0.0016553680233322662</v>
      </c>
      <c r="F17" s="81">
        <v>0.045754620999999995</v>
      </c>
      <c r="G17" s="81">
        <v>0.0023724744198692573</v>
      </c>
      <c r="H17" s="80">
        <v>12</v>
      </c>
      <c r="I17" s="81">
        <v>0</v>
      </c>
      <c r="J17" s="81">
        <v>0</v>
      </c>
      <c r="K17" s="81">
        <v>0</v>
      </c>
      <c r="L17" s="81">
        <v>0</v>
      </c>
      <c r="M17" s="81">
        <v>0.05</v>
      </c>
      <c r="N17" s="82">
        <v>0.05</v>
      </c>
    </row>
    <row r="18" spans="1:14" ht="15" customHeight="1">
      <c r="A18" s="57" t="s">
        <v>39</v>
      </c>
      <c r="B18" s="83">
        <v>116.4749984741211</v>
      </c>
      <c r="D18" s="84">
        <v>-0.040452091</v>
      </c>
      <c r="E18" s="81">
        <v>0.0016929938677426079</v>
      </c>
      <c r="F18" s="81">
        <v>0.11539641999999999</v>
      </c>
      <c r="G18" s="81">
        <v>0.0010718731872766778</v>
      </c>
      <c r="H18" s="80">
        <v>13</v>
      </c>
      <c r="I18" s="81">
        <v>0</v>
      </c>
      <c r="J18" s="81">
        <v>0</v>
      </c>
      <c r="K18" s="81">
        <v>0</v>
      </c>
      <c r="L18" s="81">
        <v>0</v>
      </c>
      <c r="M18" s="81">
        <v>0.05</v>
      </c>
      <c r="N18" s="82">
        <v>0.05</v>
      </c>
    </row>
    <row r="19" spans="1:14" ht="15" customHeight="1">
      <c r="A19" s="57" t="s">
        <v>40</v>
      </c>
      <c r="B19" s="83">
        <v>-0.25600001215934753</v>
      </c>
      <c r="D19" s="88">
        <v>-0.17650156</v>
      </c>
      <c r="E19" s="81">
        <v>0.0014678044646360279</v>
      </c>
      <c r="F19" s="81">
        <v>0.0008893967200000001</v>
      </c>
      <c r="G19" s="81">
        <v>0.0006175692393914892</v>
      </c>
      <c r="H19" s="80">
        <v>14</v>
      </c>
      <c r="I19" s="81">
        <v>0</v>
      </c>
      <c r="J19" s="81">
        <v>0</v>
      </c>
      <c r="K19" s="81">
        <v>0</v>
      </c>
      <c r="L19" s="81">
        <v>0</v>
      </c>
      <c r="M19" s="81">
        <v>0.05</v>
      </c>
      <c r="N19" s="82">
        <v>0.05</v>
      </c>
    </row>
    <row r="20" spans="1:14" ht="15" customHeight="1" thickBot="1">
      <c r="A20" s="57" t="s">
        <v>41</v>
      </c>
      <c r="B20" s="89">
        <v>-0.1602716</v>
      </c>
      <c r="D20" s="90">
        <v>-0.00292136999</v>
      </c>
      <c r="E20" s="91">
        <v>0.0012354187000866506</v>
      </c>
      <c r="F20" s="91">
        <v>-0.006831234699999999</v>
      </c>
      <c r="G20" s="91">
        <v>0.0012556343100855317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7" t="s">
        <v>42</v>
      </c>
      <c r="B21" s="89">
        <v>0.5848063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67</v>
      </c>
      <c r="B24" s="97">
        <v>0.4430063853017102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5" t="s">
        <v>47</v>
      </c>
      <c r="B25" s="46">
        <v>10</v>
      </c>
      <c r="E25" s="102" t="s">
        <v>48</v>
      </c>
      <c r="F25" s="103"/>
      <c r="G25" s="104"/>
      <c r="H25" s="105">
        <v>-3.7583542</v>
      </c>
      <c r="I25" s="103" t="s">
        <v>49</v>
      </c>
      <c r="J25" s="104"/>
      <c r="K25" s="103"/>
      <c r="L25" s="106">
        <v>4.549377427438013</v>
      </c>
    </row>
    <row r="26" spans="1:12" ht="18" customHeight="1" thickBot="1">
      <c r="A26" s="57" t="s">
        <v>50</v>
      </c>
      <c r="B26" s="58" t="s">
        <v>51</v>
      </c>
      <c r="E26" s="107" t="s">
        <v>52</v>
      </c>
      <c r="F26" s="108"/>
      <c r="G26" s="109"/>
      <c r="H26" s="110">
        <v>3.078234632792931</v>
      </c>
      <c r="I26" s="108" t="s">
        <v>53</v>
      </c>
      <c r="J26" s="109"/>
      <c r="K26" s="108"/>
      <c r="L26" s="111">
        <v>0.1135192155061462</v>
      </c>
    </row>
    <row r="27" spans="1:2" ht="15" customHeight="1" thickBot="1" thickTop="1">
      <c r="A27" s="94" t="s">
        <v>54</v>
      </c>
      <c r="B27" s="95">
        <v>80</v>
      </c>
    </row>
    <row r="28" spans="1:14" s="2" customFormat="1" ht="18" customHeight="1" thickBot="1">
      <c r="A28" s="112" t="s">
        <v>55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HCMQAP114_pos4ap2res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8.802234E-06</v>
      </c>
      <c r="L2" s="55">
        <v>9.303402976322041E-08</v>
      </c>
      <c r="M2" s="55">
        <v>0.00010699313499999997</v>
      </c>
      <c r="N2" s="56">
        <v>1.5528150087071486E-07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-3.0844646E-05</v>
      </c>
      <c r="L3" s="55">
        <v>1.222589375640708E-07</v>
      </c>
      <c r="M3" s="55">
        <v>9.904925E-06</v>
      </c>
      <c r="N3" s="56">
        <v>1.9666584835704318E-07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-0.002088435287890555</v>
      </c>
      <c r="L4" s="55">
        <v>-4.48444849717541E-05</v>
      </c>
      <c r="M4" s="55">
        <v>3.9980757208172393E-08</v>
      </c>
      <c r="N4" s="56">
        <v>10.734734</v>
      </c>
    </row>
    <row r="5" spans="1:14" ht="15" customHeight="1" thickBot="1">
      <c r="A5" t="s">
        <v>18</v>
      </c>
      <c r="B5" s="59">
        <v>37917.37372685185</v>
      </c>
      <c r="D5" s="60"/>
      <c r="E5" s="61" t="s">
        <v>81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2442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9" t="s">
        <v>24</v>
      </c>
      <c r="J7" s="170"/>
      <c r="K7" s="169" t="s">
        <v>25</v>
      </c>
      <c r="L7" s="170"/>
      <c r="M7" s="169" t="s">
        <v>26</v>
      </c>
      <c r="N7" s="171"/>
    </row>
    <row r="8" spans="1:14" ht="15" customHeight="1">
      <c r="A8" s="57" t="s">
        <v>27</v>
      </c>
      <c r="B8" s="72" t="s">
        <v>28</v>
      </c>
      <c r="D8" s="77">
        <v>-3.5589405999999997</v>
      </c>
      <c r="E8" s="78">
        <v>0.004988154402593117</v>
      </c>
      <c r="F8" s="79">
        <v>10.578083000000001</v>
      </c>
      <c r="G8" s="78">
        <v>0.031478958464072504</v>
      </c>
      <c r="H8" s="80">
        <v>3</v>
      </c>
      <c r="I8" s="81">
        <v>0</v>
      </c>
      <c r="J8" s="81">
        <v>0</v>
      </c>
      <c r="K8" s="81">
        <v>2</v>
      </c>
      <c r="L8" s="81">
        <v>2</v>
      </c>
      <c r="M8" s="81">
        <v>1</v>
      </c>
      <c r="N8" s="82">
        <v>1</v>
      </c>
    </row>
    <row r="9" spans="1:14" ht="15" customHeight="1">
      <c r="A9" s="57" t="s">
        <v>29</v>
      </c>
      <c r="B9" s="83">
        <v>0.017</v>
      </c>
      <c r="D9" s="88">
        <v>-3.0147554</v>
      </c>
      <c r="E9" s="81">
        <v>0.024170873938309457</v>
      </c>
      <c r="F9" s="85">
        <v>3.2884474</v>
      </c>
      <c r="G9" s="81">
        <v>0.06464878100428277</v>
      </c>
      <c r="H9" s="80">
        <v>4</v>
      </c>
      <c r="I9" s="81">
        <v>0</v>
      </c>
      <c r="J9" s="81">
        <v>0</v>
      </c>
      <c r="K9" s="81">
        <v>0.5</v>
      </c>
      <c r="L9" s="81">
        <v>0.5</v>
      </c>
      <c r="M9" s="81">
        <v>0.7</v>
      </c>
      <c r="N9" s="82">
        <v>0.7</v>
      </c>
    </row>
    <row r="10" spans="1:14" ht="15" customHeight="1">
      <c r="A10" s="57" t="s">
        <v>30</v>
      </c>
      <c r="B10" s="72" t="s">
        <v>31</v>
      </c>
      <c r="D10" s="84">
        <v>0.74716683</v>
      </c>
      <c r="E10" s="81">
        <v>0.01022929166084426</v>
      </c>
      <c r="F10" s="85">
        <v>-8.192277999999998</v>
      </c>
      <c r="G10" s="81">
        <v>0.0191430067734432</v>
      </c>
      <c r="H10" s="80">
        <v>5</v>
      </c>
      <c r="I10" s="81">
        <v>0</v>
      </c>
      <c r="J10" s="81">
        <v>0</v>
      </c>
      <c r="K10" s="81">
        <v>0.5</v>
      </c>
      <c r="L10" s="81">
        <v>0.5</v>
      </c>
      <c r="M10" s="81">
        <v>0.6</v>
      </c>
      <c r="N10" s="82">
        <v>0.6</v>
      </c>
    </row>
    <row r="11" spans="1:14" ht="15" customHeight="1">
      <c r="A11" s="57" t="s">
        <v>32</v>
      </c>
      <c r="B11" s="58">
        <v>5</v>
      </c>
      <c r="D11" s="116">
        <v>15.02664</v>
      </c>
      <c r="E11" s="78">
        <v>0.0070917014863213</v>
      </c>
      <c r="F11" s="79">
        <v>2.2762019000000002</v>
      </c>
      <c r="G11" s="78">
        <v>0.014772581488670024</v>
      </c>
      <c r="H11" s="80">
        <v>6</v>
      </c>
      <c r="I11" s="81">
        <v>3.925</v>
      </c>
      <c r="J11" s="81">
        <v>0</v>
      </c>
      <c r="K11" s="81">
        <v>1</v>
      </c>
      <c r="L11" s="81">
        <v>0.3</v>
      </c>
      <c r="M11" s="81">
        <v>0.5</v>
      </c>
      <c r="N11" s="82">
        <v>0.5</v>
      </c>
    </row>
    <row r="12" spans="1:14" ht="15" customHeight="1">
      <c r="A12" s="57" t="s">
        <v>33</v>
      </c>
      <c r="B12" s="86">
        <v>0.7499</v>
      </c>
      <c r="D12" s="84">
        <v>-0.27132707</v>
      </c>
      <c r="E12" s="81">
        <v>0.007156714650004872</v>
      </c>
      <c r="F12" s="81">
        <v>0.5588681799999999</v>
      </c>
      <c r="G12" s="81">
        <v>0.00955803078001174</v>
      </c>
      <c r="H12" s="80">
        <v>7</v>
      </c>
      <c r="I12" s="81">
        <v>0</v>
      </c>
      <c r="J12" s="81">
        <v>0</v>
      </c>
      <c r="K12" s="81">
        <v>0.15</v>
      </c>
      <c r="L12" s="81">
        <v>0.15</v>
      </c>
      <c r="M12" s="81">
        <v>0.15</v>
      </c>
      <c r="N12" s="82">
        <v>0.15</v>
      </c>
    </row>
    <row r="13" spans="1:14" ht="15" customHeight="1">
      <c r="A13" s="57" t="s">
        <v>34</v>
      </c>
      <c r="B13" s="83">
        <v>18.881226</v>
      </c>
      <c r="D13" s="84">
        <v>-0.103784505</v>
      </c>
      <c r="E13" s="81">
        <v>0.004445436948988076</v>
      </c>
      <c r="F13" s="81">
        <v>0.108851908</v>
      </c>
      <c r="G13" s="81">
        <v>0.00514155658304258</v>
      </c>
      <c r="H13" s="80">
        <v>8</v>
      </c>
      <c r="I13" s="81">
        <v>0</v>
      </c>
      <c r="J13" s="81">
        <v>0</v>
      </c>
      <c r="K13" s="81">
        <v>0.1</v>
      </c>
      <c r="L13" s="81">
        <v>0.1</v>
      </c>
      <c r="M13" s="81">
        <v>0.1</v>
      </c>
      <c r="N13" s="82">
        <v>0.1</v>
      </c>
    </row>
    <row r="14" spans="1:14" ht="15" customHeight="1">
      <c r="A14" s="50" t="s">
        <v>35</v>
      </c>
      <c r="B14" s="87">
        <v>12.5</v>
      </c>
      <c r="D14" s="84">
        <v>0.2366019</v>
      </c>
      <c r="E14" s="81">
        <v>0.005761405547346842</v>
      </c>
      <c r="F14" s="81">
        <v>0.36650103</v>
      </c>
      <c r="G14" s="81">
        <v>0.004227327155732892</v>
      </c>
      <c r="H14" s="80">
        <v>9</v>
      </c>
      <c r="I14" s="81">
        <v>0</v>
      </c>
      <c r="J14" s="81">
        <v>0</v>
      </c>
      <c r="K14" s="81">
        <v>0.1</v>
      </c>
      <c r="L14" s="81">
        <v>0.1</v>
      </c>
      <c r="M14" s="81">
        <v>0.1</v>
      </c>
      <c r="N14" s="82">
        <v>0.1</v>
      </c>
    </row>
    <row r="15" spans="1:14" ht="15" customHeight="1">
      <c r="A15" s="57" t="s">
        <v>36</v>
      </c>
      <c r="B15" s="83">
        <v>0</v>
      </c>
      <c r="D15" s="77">
        <v>-0.31636517999999997</v>
      </c>
      <c r="E15" s="78">
        <v>0.0020019892953263376</v>
      </c>
      <c r="F15" s="78">
        <v>0.19445842</v>
      </c>
      <c r="G15" s="78">
        <v>0.0026842475311728304</v>
      </c>
      <c r="H15" s="80">
        <v>10</v>
      </c>
      <c r="I15" s="81">
        <v>-0.26</v>
      </c>
      <c r="J15" s="81">
        <v>0</v>
      </c>
      <c r="K15" s="81">
        <v>0.2</v>
      </c>
      <c r="L15" s="81">
        <v>0.1</v>
      </c>
      <c r="M15" s="81">
        <v>0.3</v>
      </c>
      <c r="N15" s="82">
        <v>0.3</v>
      </c>
    </row>
    <row r="16" spans="1:14" ht="15" customHeight="1">
      <c r="A16" s="57" t="s">
        <v>37</v>
      </c>
      <c r="B16" s="83">
        <v>12.506</v>
      </c>
      <c r="D16" s="84">
        <v>0.0035050540000000005</v>
      </c>
      <c r="E16" s="81">
        <v>0.005337302897105802</v>
      </c>
      <c r="F16" s="81">
        <v>0.015134159099999999</v>
      </c>
      <c r="G16" s="81">
        <v>0.0025717749392699966</v>
      </c>
      <c r="H16" s="80">
        <v>11</v>
      </c>
      <c r="I16" s="81">
        <v>0</v>
      </c>
      <c r="J16" s="81">
        <v>0</v>
      </c>
      <c r="K16" s="81">
        <v>0</v>
      </c>
      <c r="L16" s="81">
        <v>0</v>
      </c>
      <c r="M16" s="81">
        <v>0.05</v>
      </c>
      <c r="N16" s="82">
        <v>0.05</v>
      </c>
    </row>
    <row r="17" spans="1:14" ht="15" customHeight="1">
      <c r="A17" s="57" t="s">
        <v>38</v>
      </c>
      <c r="B17" s="83">
        <v>0.4399999976158142</v>
      </c>
      <c r="D17" s="84">
        <v>0.072432118</v>
      </c>
      <c r="E17" s="81">
        <v>0.0014548784797796593</v>
      </c>
      <c r="F17" s="81">
        <v>0.030541021900000003</v>
      </c>
      <c r="G17" s="81">
        <v>0.005737955465992754</v>
      </c>
      <c r="H17" s="80">
        <v>12</v>
      </c>
      <c r="I17" s="81">
        <v>0</v>
      </c>
      <c r="J17" s="81">
        <v>0</v>
      </c>
      <c r="K17" s="81">
        <v>0</v>
      </c>
      <c r="L17" s="81">
        <v>0</v>
      </c>
      <c r="M17" s="81">
        <v>0.05</v>
      </c>
      <c r="N17" s="82">
        <v>0.05</v>
      </c>
    </row>
    <row r="18" spans="1:14" ht="15" customHeight="1">
      <c r="A18" s="57" t="s">
        <v>39</v>
      </c>
      <c r="B18" s="83">
        <v>10.17300033569336</v>
      </c>
      <c r="D18" s="84">
        <v>-0.022952423</v>
      </c>
      <c r="E18" s="81">
        <v>0.0017550963090143847</v>
      </c>
      <c r="F18" s="81">
        <v>0.10536575</v>
      </c>
      <c r="G18" s="81">
        <v>0.0022080473423370405</v>
      </c>
      <c r="H18" s="80">
        <v>13</v>
      </c>
      <c r="I18" s="81">
        <v>0</v>
      </c>
      <c r="J18" s="81">
        <v>0</v>
      </c>
      <c r="K18" s="81">
        <v>0</v>
      </c>
      <c r="L18" s="81">
        <v>0</v>
      </c>
      <c r="M18" s="81">
        <v>0.05</v>
      </c>
      <c r="N18" s="82">
        <v>0.05</v>
      </c>
    </row>
    <row r="19" spans="1:14" ht="15" customHeight="1">
      <c r="A19" s="57" t="s">
        <v>40</v>
      </c>
      <c r="B19" s="83">
        <v>0.2329999953508377</v>
      </c>
      <c r="D19" s="84">
        <v>-0.12711111999999997</v>
      </c>
      <c r="E19" s="81">
        <v>0.001014189150802873</v>
      </c>
      <c r="F19" s="81">
        <v>-0.032920660000000004</v>
      </c>
      <c r="G19" s="81">
        <v>0.00202550641562056</v>
      </c>
      <c r="H19" s="80">
        <v>14</v>
      </c>
      <c r="I19" s="81">
        <v>0</v>
      </c>
      <c r="J19" s="81">
        <v>0</v>
      </c>
      <c r="K19" s="81">
        <v>0</v>
      </c>
      <c r="L19" s="81">
        <v>0</v>
      </c>
      <c r="M19" s="81">
        <v>0.05</v>
      </c>
      <c r="N19" s="82">
        <v>0.05</v>
      </c>
    </row>
    <row r="20" spans="1:14" ht="15" customHeight="1" thickBot="1">
      <c r="A20" s="57" t="s">
        <v>41</v>
      </c>
      <c r="B20" s="89">
        <v>0.05290089999999999</v>
      </c>
      <c r="D20" s="90">
        <v>0.0034625699999999995</v>
      </c>
      <c r="E20" s="91">
        <v>0.0013480565398984578</v>
      </c>
      <c r="F20" s="91">
        <v>0.0071167774000000005</v>
      </c>
      <c r="G20" s="91">
        <v>0.0018672433558880987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7" t="s">
        <v>42</v>
      </c>
      <c r="B21" s="89">
        <v>0.8720563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67</v>
      </c>
      <c r="B24" s="97">
        <v>0.6150554719107203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5" t="s">
        <v>47</v>
      </c>
      <c r="B25" s="46">
        <v>10</v>
      </c>
      <c r="E25" s="102" t="s">
        <v>48</v>
      </c>
      <c r="F25" s="103"/>
      <c r="G25" s="104"/>
      <c r="H25" s="105">
        <v>-2.0889166999999995</v>
      </c>
      <c r="I25" s="103" t="s">
        <v>49</v>
      </c>
      <c r="J25" s="104"/>
      <c r="K25" s="103"/>
      <c r="L25" s="106">
        <v>15.198059243836484</v>
      </c>
    </row>
    <row r="26" spans="1:12" ht="18" customHeight="1" thickBot="1">
      <c r="A26" s="57" t="s">
        <v>50</v>
      </c>
      <c r="B26" s="58" t="s">
        <v>51</v>
      </c>
      <c r="E26" s="107" t="s">
        <v>52</v>
      </c>
      <c r="F26" s="108"/>
      <c r="G26" s="109"/>
      <c r="H26" s="110">
        <v>11.160730179930765</v>
      </c>
      <c r="I26" s="108" t="s">
        <v>53</v>
      </c>
      <c r="J26" s="109"/>
      <c r="K26" s="108"/>
      <c r="L26" s="111">
        <v>0.37135024468192934</v>
      </c>
    </row>
    <row r="27" spans="1:2" ht="15" customHeight="1" thickBot="1" thickTop="1">
      <c r="A27" s="94" t="s">
        <v>54</v>
      </c>
      <c r="B27" s="95">
        <v>80</v>
      </c>
    </row>
    <row r="28" spans="1:14" s="2" customFormat="1" ht="18" customHeight="1" thickBot="1">
      <c r="A28" s="112" t="s">
        <v>55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HCMQAP114_pos5ap2res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40" t="s">
        <v>121</v>
      </c>
      <c r="B1" s="131" t="s">
        <v>68</v>
      </c>
      <c r="C1" s="121" t="s">
        <v>73</v>
      </c>
      <c r="D1" s="121" t="s">
        <v>76</v>
      </c>
      <c r="E1" s="121" t="s">
        <v>79</v>
      </c>
      <c r="F1" s="128" t="s">
        <v>82</v>
      </c>
      <c r="G1" s="164" t="s">
        <v>122</v>
      </c>
    </row>
    <row r="2" spans="1:7" ht="13.5" thickBot="1">
      <c r="A2" s="141" t="s">
        <v>91</v>
      </c>
      <c r="B2" s="132">
        <v>-2.2579304</v>
      </c>
      <c r="C2" s="123">
        <v>-3.759542699999999</v>
      </c>
      <c r="D2" s="123">
        <v>-3.7592447</v>
      </c>
      <c r="E2" s="123">
        <v>-3.7583542</v>
      </c>
      <c r="F2" s="129">
        <v>-2.0889166999999995</v>
      </c>
      <c r="G2" s="165">
        <v>3.1168614020409215</v>
      </c>
    </row>
    <row r="3" spans="1:7" ht="14.25" thickBot="1" thickTop="1">
      <c r="A3" s="149" t="s">
        <v>90</v>
      </c>
      <c r="B3" s="150" t="s">
        <v>85</v>
      </c>
      <c r="C3" s="151" t="s">
        <v>86</v>
      </c>
      <c r="D3" s="151" t="s">
        <v>87</v>
      </c>
      <c r="E3" s="151" t="s">
        <v>88</v>
      </c>
      <c r="F3" s="152" t="s">
        <v>89</v>
      </c>
      <c r="G3" s="159" t="s">
        <v>123</v>
      </c>
    </row>
    <row r="4" spans="1:7" ht="12.75">
      <c r="A4" s="146" t="s">
        <v>92</v>
      </c>
      <c r="B4" s="147">
        <v>-1.0934631400000001</v>
      </c>
      <c r="C4" s="148">
        <v>-3.7601083</v>
      </c>
      <c r="D4" s="148">
        <v>-1.9435150999999997</v>
      </c>
      <c r="E4" s="148">
        <v>-3.0651300000000004</v>
      </c>
      <c r="F4" s="153">
        <v>-3.5589405999999997</v>
      </c>
      <c r="G4" s="160">
        <v>-2.7435743650594713</v>
      </c>
    </row>
    <row r="5" spans="1:7" ht="12.75">
      <c r="A5" s="141" t="s">
        <v>94</v>
      </c>
      <c r="B5" s="134">
        <v>0.40272990000000003</v>
      </c>
      <c r="C5" s="119">
        <v>0.27210609100000005</v>
      </c>
      <c r="D5" s="119">
        <v>-0.42690551</v>
      </c>
      <c r="E5" s="119">
        <v>-0.012509750000000004</v>
      </c>
      <c r="F5" s="154">
        <v>-3.0147554</v>
      </c>
      <c r="G5" s="161">
        <v>-0.38511937073747243</v>
      </c>
    </row>
    <row r="6" spans="1:7" ht="12.75">
      <c r="A6" s="141" t="s">
        <v>96</v>
      </c>
      <c r="B6" s="134">
        <v>0.97093835</v>
      </c>
      <c r="C6" s="118">
        <v>2.9859971</v>
      </c>
      <c r="D6" s="119">
        <v>0.8655286500000001</v>
      </c>
      <c r="E6" s="119">
        <v>1.8731147</v>
      </c>
      <c r="F6" s="155">
        <v>0.74716683</v>
      </c>
      <c r="G6" s="161">
        <v>1.6175527940203556</v>
      </c>
    </row>
    <row r="7" spans="1:7" ht="12.75">
      <c r="A7" s="141" t="s">
        <v>98</v>
      </c>
      <c r="B7" s="133">
        <v>4.5761499</v>
      </c>
      <c r="C7" s="117">
        <v>4.9682411</v>
      </c>
      <c r="D7" s="117">
        <v>5.0442251</v>
      </c>
      <c r="E7" s="117">
        <v>4.5461411</v>
      </c>
      <c r="F7" s="156">
        <v>15.02664</v>
      </c>
      <c r="G7" s="162">
        <v>6.173124455995</v>
      </c>
    </row>
    <row r="8" spans="1:7" ht="12.75">
      <c r="A8" s="141" t="s">
        <v>100</v>
      </c>
      <c r="B8" s="134">
        <v>-0.108122936</v>
      </c>
      <c r="C8" s="119">
        <v>0.042397505999999995</v>
      </c>
      <c r="D8" s="119">
        <v>-0.04244743</v>
      </c>
      <c r="E8" s="119">
        <v>0.08140703899999999</v>
      </c>
      <c r="F8" s="155">
        <v>-0.27132707</v>
      </c>
      <c r="G8" s="161">
        <v>-0.03233055762240307</v>
      </c>
    </row>
    <row r="9" spans="1:7" ht="12.75">
      <c r="A9" s="141" t="s">
        <v>102</v>
      </c>
      <c r="B9" s="134">
        <v>0.15123612</v>
      </c>
      <c r="C9" s="119">
        <v>0.16188279</v>
      </c>
      <c r="D9" s="119">
        <v>0.012203071360000001</v>
      </c>
      <c r="E9" s="119">
        <v>-0.068983441</v>
      </c>
      <c r="F9" s="155">
        <v>-0.103784505</v>
      </c>
      <c r="G9" s="161">
        <v>0.03327567913252824</v>
      </c>
    </row>
    <row r="10" spans="1:7" ht="12.75">
      <c r="A10" s="141" t="s">
        <v>104</v>
      </c>
      <c r="B10" s="134">
        <v>0.0223777661</v>
      </c>
      <c r="C10" s="119">
        <v>0.033302662999999996</v>
      </c>
      <c r="D10" s="119">
        <v>0.19752478</v>
      </c>
      <c r="E10" s="119">
        <v>-0.025407384999999998</v>
      </c>
      <c r="F10" s="155">
        <v>0.2366019</v>
      </c>
      <c r="G10" s="161">
        <v>0.08429511423693738</v>
      </c>
    </row>
    <row r="11" spans="1:7" ht="12.75">
      <c r="A11" s="141" t="s">
        <v>106</v>
      </c>
      <c r="B11" s="133">
        <v>-0.41319926</v>
      </c>
      <c r="C11" s="117">
        <v>-0.053212144</v>
      </c>
      <c r="D11" s="117">
        <v>-0.07732910600000001</v>
      </c>
      <c r="E11" s="117">
        <v>-0.079288165</v>
      </c>
      <c r="F11" s="157">
        <v>-0.31636517999999997</v>
      </c>
      <c r="G11" s="161">
        <v>-0.1524950568840875</v>
      </c>
    </row>
    <row r="12" spans="1:7" ht="12.75">
      <c r="A12" s="141" t="s">
        <v>108</v>
      </c>
      <c r="B12" s="134">
        <v>-0.055771675</v>
      </c>
      <c r="C12" s="119">
        <v>0.058829134000000005</v>
      </c>
      <c r="D12" s="119">
        <v>-0.026374593</v>
      </c>
      <c r="E12" s="119">
        <v>0.041635553000000006</v>
      </c>
      <c r="F12" s="155">
        <v>0.0035050540000000005</v>
      </c>
      <c r="G12" s="161">
        <v>0.010234035384803442</v>
      </c>
    </row>
    <row r="13" spans="1:7" ht="12.75">
      <c r="A13" s="141" t="s">
        <v>110</v>
      </c>
      <c r="B13" s="134">
        <v>0.082035495</v>
      </c>
      <c r="C13" s="119">
        <v>0.021216136000000003</v>
      </c>
      <c r="D13" s="119">
        <v>0.110171023</v>
      </c>
      <c r="E13" s="119">
        <v>0.06268311499999998</v>
      </c>
      <c r="F13" s="155">
        <v>0.072432118</v>
      </c>
      <c r="G13" s="161">
        <v>0.06823118420475988</v>
      </c>
    </row>
    <row r="14" spans="1:7" ht="12.75">
      <c r="A14" s="141" t="s">
        <v>112</v>
      </c>
      <c r="B14" s="134">
        <v>0.022047631130000002</v>
      </c>
      <c r="C14" s="119">
        <v>-0.088956727</v>
      </c>
      <c r="D14" s="119">
        <v>0.042582856999999995</v>
      </c>
      <c r="E14" s="119">
        <v>-0.040452091</v>
      </c>
      <c r="F14" s="155">
        <v>-0.022952423</v>
      </c>
      <c r="G14" s="161">
        <v>-0.020772813498195757</v>
      </c>
    </row>
    <row r="15" spans="1:7" ht="12.75">
      <c r="A15" s="141" t="s">
        <v>114</v>
      </c>
      <c r="B15" s="135">
        <v>-0.18888584000000003</v>
      </c>
      <c r="C15" s="118">
        <v>-0.17747407</v>
      </c>
      <c r="D15" s="118">
        <v>-0.17635722</v>
      </c>
      <c r="E15" s="118">
        <v>-0.17650156</v>
      </c>
      <c r="F15" s="155">
        <v>-0.12711111999999997</v>
      </c>
      <c r="G15" s="161">
        <v>-0.17188711163246778</v>
      </c>
    </row>
    <row r="16" spans="1:7" ht="12.75">
      <c r="A16" s="141" t="s">
        <v>116</v>
      </c>
      <c r="B16" s="134">
        <v>-0.004968038199999999</v>
      </c>
      <c r="C16" s="119">
        <v>-0.003250976452</v>
      </c>
      <c r="D16" s="119">
        <v>-0.007063261499999999</v>
      </c>
      <c r="E16" s="119">
        <v>-0.00292136999</v>
      </c>
      <c r="F16" s="155">
        <v>0.0034625699999999995</v>
      </c>
      <c r="G16" s="161">
        <v>-0.003439500727523586</v>
      </c>
    </row>
    <row r="17" spans="1:7" ht="12.75">
      <c r="A17" s="141" t="s">
        <v>93</v>
      </c>
      <c r="B17" s="136">
        <v>6.4535736</v>
      </c>
      <c r="C17" s="117">
        <v>0.63142306</v>
      </c>
      <c r="D17" s="117">
        <v>-0.033282929069999995</v>
      </c>
      <c r="E17" s="117">
        <v>0.28373674</v>
      </c>
      <c r="F17" s="156">
        <v>10.578083000000001</v>
      </c>
      <c r="G17" s="161">
        <v>2.559114799050299</v>
      </c>
    </row>
    <row r="18" spans="1:7" ht="12.75">
      <c r="A18" s="141" t="s">
        <v>95</v>
      </c>
      <c r="B18" s="135">
        <v>3.1679871</v>
      </c>
      <c r="C18" s="118">
        <v>3.0086187</v>
      </c>
      <c r="D18" s="118">
        <v>2.7172969</v>
      </c>
      <c r="E18" s="119">
        <v>2.0239601</v>
      </c>
      <c r="F18" s="154">
        <v>3.2884474</v>
      </c>
      <c r="G18" s="162">
        <v>2.762109041567392</v>
      </c>
    </row>
    <row r="19" spans="1:7" ht="12.75">
      <c r="A19" s="141" t="s">
        <v>97</v>
      </c>
      <c r="B19" s="134">
        <v>0.10059189766999999</v>
      </c>
      <c r="C19" s="119">
        <v>-1.5353265</v>
      </c>
      <c r="D19" s="118">
        <v>-2.583385</v>
      </c>
      <c r="E19" s="119">
        <v>-1.6936130999999999</v>
      </c>
      <c r="F19" s="154">
        <v>-8.192277999999998</v>
      </c>
      <c r="G19" s="162">
        <v>-2.4791848853270664</v>
      </c>
    </row>
    <row r="20" spans="1:7" ht="12.75">
      <c r="A20" s="141" t="s">
        <v>99</v>
      </c>
      <c r="B20" s="133">
        <v>0.8186950100000001</v>
      </c>
      <c r="C20" s="117">
        <v>0.0016517594010000004</v>
      </c>
      <c r="D20" s="117">
        <v>0.17672133</v>
      </c>
      <c r="E20" s="117">
        <v>0.17156945</v>
      </c>
      <c r="F20" s="156">
        <v>2.2762019000000002</v>
      </c>
      <c r="G20" s="161">
        <v>0.5068308746962842</v>
      </c>
    </row>
    <row r="21" spans="1:7" ht="12.75">
      <c r="A21" s="141" t="s">
        <v>101</v>
      </c>
      <c r="B21" s="134">
        <v>0.25561386</v>
      </c>
      <c r="C21" s="119">
        <v>0.32046271000000004</v>
      </c>
      <c r="D21" s="119">
        <v>0.03070252651</v>
      </c>
      <c r="E21" s="119">
        <v>0.27633736999999997</v>
      </c>
      <c r="F21" s="155">
        <v>0.5588681799999999</v>
      </c>
      <c r="G21" s="161">
        <v>0.26263284782550106</v>
      </c>
    </row>
    <row r="22" spans="1:7" ht="12.75">
      <c r="A22" s="141" t="s">
        <v>103</v>
      </c>
      <c r="B22" s="134">
        <v>0.069880322</v>
      </c>
      <c r="C22" s="119">
        <v>0.26220175</v>
      </c>
      <c r="D22" s="119">
        <v>0.11501814499999999</v>
      </c>
      <c r="E22" s="119">
        <v>0.0050143415</v>
      </c>
      <c r="F22" s="155">
        <v>0.108851908</v>
      </c>
      <c r="G22" s="161">
        <v>0.11662535127314948</v>
      </c>
    </row>
    <row r="23" spans="1:7" ht="12.75">
      <c r="A23" s="141" t="s">
        <v>105</v>
      </c>
      <c r="B23" s="134">
        <v>0.3820051400000001</v>
      </c>
      <c r="C23" s="119">
        <v>0.088923912</v>
      </c>
      <c r="D23" s="119">
        <v>0.033493482</v>
      </c>
      <c r="E23" s="119">
        <v>0.014288689599999998</v>
      </c>
      <c r="F23" s="155">
        <v>0.36650103</v>
      </c>
      <c r="G23" s="161">
        <v>0.13710049189777007</v>
      </c>
    </row>
    <row r="24" spans="1:7" ht="12.75">
      <c r="A24" s="141" t="s">
        <v>107</v>
      </c>
      <c r="B24" s="133">
        <v>0.07532225000000001</v>
      </c>
      <c r="C24" s="117">
        <v>0.040357184000000004</v>
      </c>
      <c r="D24" s="117">
        <v>0.08028430900000001</v>
      </c>
      <c r="E24" s="117">
        <v>-0.081240379</v>
      </c>
      <c r="F24" s="157">
        <v>0.19445842</v>
      </c>
      <c r="G24" s="161">
        <v>0.046369890106355574</v>
      </c>
    </row>
    <row r="25" spans="1:7" ht="12.75">
      <c r="A25" s="141" t="s">
        <v>109</v>
      </c>
      <c r="B25" s="134">
        <v>-0.026376458600000003</v>
      </c>
      <c r="C25" s="119">
        <v>0.060644924</v>
      </c>
      <c r="D25" s="119">
        <v>-0.037628191</v>
      </c>
      <c r="E25" s="119">
        <v>0.020445321</v>
      </c>
      <c r="F25" s="155">
        <v>0.015134159099999999</v>
      </c>
      <c r="G25" s="161">
        <v>0.008668858788075082</v>
      </c>
    </row>
    <row r="26" spans="1:7" ht="12.75">
      <c r="A26" s="141" t="s">
        <v>111</v>
      </c>
      <c r="B26" s="134">
        <v>-0.030566777</v>
      </c>
      <c r="C26" s="119">
        <v>0.113133438</v>
      </c>
      <c r="D26" s="119">
        <v>-0.01628946585</v>
      </c>
      <c r="E26" s="119">
        <v>0.045754620999999995</v>
      </c>
      <c r="F26" s="155">
        <v>0.030541021900000003</v>
      </c>
      <c r="G26" s="161">
        <v>0.03397570112584453</v>
      </c>
    </row>
    <row r="27" spans="1:7" ht="12.75">
      <c r="A27" s="141" t="s">
        <v>113</v>
      </c>
      <c r="B27" s="134">
        <v>0.13018673</v>
      </c>
      <c r="C27" s="119">
        <v>0.09823088399999999</v>
      </c>
      <c r="D27" s="119">
        <v>0.14790141</v>
      </c>
      <c r="E27" s="119">
        <v>0.11539641999999999</v>
      </c>
      <c r="F27" s="155">
        <v>0.10536575</v>
      </c>
      <c r="G27" s="162">
        <v>0.11988323214931375</v>
      </c>
    </row>
    <row r="28" spans="1:7" ht="12.75">
      <c r="A28" s="141" t="s">
        <v>115</v>
      </c>
      <c r="B28" s="134">
        <v>0.006860094999999999</v>
      </c>
      <c r="C28" s="119">
        <v>0.010577993300000001</v>
      </c>
      <c r="D28" s="119">
        <v>0.012805064200000002</v>
      </c>
      <c r="E28" s="119">
        <v>0.0008893967200000001</v>
      </c>
      <c r="F28" s="155">
        <v>-0.032920660000000004</v>
      </c>
      <c r="G28" s="161">
        <v>0.0024302088566614164</v>
      </c>
    </row>
    <row r="29" spans="1:7" ht="13.5" thickBot="1">
      <c r="A29" s="142" t="s">
        <v>117</v>
      </c>
      <c r="B29" s="137">
        <v>-0.002863724007</v>
      </c>
      <c r="C29" s="120">
        <v>-0.0064768911</v>
      </c>
      <c r="D29" s="120">
        <v>-0.0071004643</v>
      </c>
      <c r="E29" s="120">
        <v>-0.006831234699999999</v>
      </c>
      <c r="F29" s="158">
        <v>0.0071167774000000005</v>
      </c>
      <c r="G29" s="163">
        <v>-0.004372536790078288</v>
      </c>
    </row>
    <row r="30" spans="1:7" ht="13.5" thickTop="1">
      <c r="A30" s="143" t="s">
        <v>118</v>
      </c>
      <c r="B30" s="138">
        <v>0.1513545956028635</v>
      </c>
      <c r="C30" s="126">
        <v>0.25931574330195856</v>
      </c>
      <c r="D30" s="126">
        <v>0.3738338599244332</v>
      </c>
      <c r="E30" s="126">
        <v>0.4430063853017102</v>
      </c>
      <c r="F30" s="122">
        <v>0.6150554719107203</v>
      </c>
      <c r="G30" s="164" t="s">
        <v>129</v>
      </c>
    </row>
    <row r="31" spans="1:7" ht="13.5" thickBot="1">
      <c r="A31" s="144" t="s">
        <v>119</v>
      </c>
      <c r="B31" s="132">
        <v>18.83545</v>
      </c>
      <c r="C31" s="123">
        <v>18.83545</v>
      </c>
      <c r="D31" s="123">
        <v>18.83545</v>
      </c>
      <c r="E31" s="123">
        <v>18.847657</v>
      </c>
      <c r="F31" s="124">
        <v>18.881226</v>
      </c>
      <c r="G31" s="166">
        <v>-209.98</v>
      </c>
    </row>
    <row r="32" spans="1:7" ht="15.75" thickBot="1" thickTop="1">
      <c r="A32" s="145" t="s">
        <v>120</v>
      </c>
      <c r="B32" s="139">
        <v>-0.13200000301003456</v>
      </c>
      <c r="C32" s="127">
        <v>-0.23750000074505806</v>
      </c>
      <c r="D32" s="127">
        <v>0.08450000733137131</v>
      </c>
      <c r="E32" s="127">
        <v>-0.1305000060237944</v>
      </c>
      <c r="F32" s="125">
        <v>0.33649999648332596</v>
      </c>
      <c r="G32" s="130" t="s">
        <v>128</v>
      </c>
    </row>
    <row r="33" spans="1:7" ht="15" thickTop="1">
      <c r="A33" t="s">
        <v>124</v>
      </c>
      <c r="G33" s="32" t="s">
        <v>125</v>
      </c>
    </row>
    <row r="34" ht="14.25">
      <c r="A34" t="s">
        <v>126</v>
      </c>
    </row>
    <row r="35" spans="1:2" ht="12.75">
      <c r="A35" t="s">
        <v>127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9.33203125" style="167" bestFit="1" customWidth="1"/>
    <col min="2" max="2" width="15.66015625" style="167" bestFit="1" customWidth="1"/>
    <col min="3" max="3" width="14.83203125" style="167" bestFit="1" customWidth="1"/>
    <col min="4" max="4" width="16" style="167" bestFit="1" customWidth="1"/>
    <col min="5" max="5" width="21.33203125" style="167" bestFit="1" customWidth="1"/>
    <col min="6" max="6" width="15.33203125" style="167" bestFit="1" customWidth="1"/>
    <col min="7" max="7" width="14.83203125" style="167" bestFit="1" customWidth="1"/>
    <col min="8" max="8" width="14.16015625" style="167" bestFit="1" customWidth="1"/>
    <col min="9" max="9" width="14.83203125" style="167" bestFit="1" customWidth="1"/>
    <col min="10" max="10" width="6.33203125" style="167" bestFit="1" customWidth="1"/>
    <col min="11" max="11" width="15" style="167" bestFit="1" customWidth="1"/>
    <col min="12" max="16384" width="10.66015625" style="167" customWidth="1"/>
  </cols>
  <sheetData>
    <row r="1" spans="1:5" ht="12.75">
      <c r="A1" s="167" t="s">
        <v>130</v>
      </c>
      <c r="B1" s="167" t="s">
        <v>131</v>
      </c>
      <c r="C1" s="167" t="s">
        <v>132</v>
      </c>
      <c r="D1" s="167" t="s">
        <v>133</v>
      </c>
      <c r="E1" s="167" t="s">
        <v>134</v>
      </c>
    </row>
    <row r="3" spans="1:7" ht="12.75">
      <c r="A3" s="167" t="s">
        <v>135</v>
      </c>
      <c r="B3" s="167" t="s">
        <v>85</v>
      </c>
      <c r="C3" s="167" t="s">
        <v>86</v>
      </c>
      <c r="D3" s="167" t="s">
        <v>87</v>
      </c>
      <c r="E3" s="167" t="s">
        <v>88</v>
      </c>
      <c r="F3" s="167" t="s">
        <v>89</v>
      </c>
      <c r="G3" s="167" t="s">
        <v>136</v>
      </c>
    </row>
    <row r="4" spans="1:7" ht="12.75">
      <c r="A4" s="167" t="s">
        <v>137</v>
      </c>
      <c r="B4" s="167">
        <v>0.002257</v>
      </c>
      <c r="C4" s="167">
        <v>0.003758</v>
      </c>
      <c r="D4" s="167">
        <v>0.003757</v>
      </c>
      <c r="E4" s="167">
        <v>0.003756</v>
      </c>
      <c r="F4" s="167">
        <v>0.002088</v>
      </c>
      <c r="G4" s="167">
        <v>0.01171</v>
      </c>
    </row>
    <row r="5" spans="1:7" ht="12.75">
      <c r="A5" s="167" t="s">
        <v>138</v>
      </c>
      <c r="B5" s="167">
        <v>3.670758</v>
      </c>
      <c r="C5" s="167">
        <v>1.86439</v>
      </c>
      <c r="D5" s="167">
        <v>-0.17084</v>
      </c>
      <c r="E5" s="167">
        <v>-1.412726</v>
      </c>
      <c r="F5" s="167">
        <v>-4.449112</v>
      </c>
      <c r="G5" s="167">
        <v>-6.235885</v>
      </c>
    </row>
    <row r="6" spans="1:7" ht="12.75">
      <c r="A6" s="167" t="s">
        <v>139</v>
      </c>
      <c r="B6" s="168">
        <v>26.11996</v>
      </c>
      <c r="C6" s="168">
        <v>297.6148</v>
      </c>
      <c r="D6" s="168">
        <v>-46.31306</v>
      </c>
      <c r="E6" s="168">
        <v>139.369</v>
      </c>
      <c r="F6" s="168">
        <v>6.944512</v>
      </c>
      <c r="G6" s="168">
        <v>779.4632</v>
      </c>
    </row>
    <row r="7" spans="1:7" ht="12.75">
      <c r="A7" s="167" t="s">
        <v>140</v>
      </c>
      <c r="B7" s="168">
        <v>10000</v>
      </c>
      <c r="C7" s="168">
        <v>10000</v>
      </c>
      <c r="D7" s="168">
        <v>10000</v>
      </c>
      <c r="E7" s="168">
        <v>10000</v>
      </c>
      <c r="F7" s="168">
        <v>10000</v>
      </c>
      <c r="G7" s="168">
        <v>10000</v>
      </c>
    </row>
    <row r="8" spans="1:7" ht="12.75">
      <c r="A8" s="167" t="s">
        <v>92</v>
      </c>
      <c r="B8" s="168">
        <v>-1.17585</v>
      </c>
      <c r="C8" s="168">
        <v>-3.678607</v>
      </c>
      <c r="D8" s="168">
        <v>-2.01898</v>
      </c>
      <c r="E8" s="168">
        <v>-3.039303</v>
      </c>
      <c r="F8" s="168">
        <v>-3.603426</v>
      </c>
      <c r="G8" s="168">
        <v>2.54953</v>
      </c>
    </row>
    <row r="9" spans="1:7" ht="12.75">
      <c r="A9" s="167" t="s">
        <v>94</v>
      </c>
      <c r="B9" s="168">
        <v>0.3818871</v>
      </c>
      <c r="C9" s="168">
        <v>-0.03781151</v>
      </c>
      <c r="D9" s="168">
        <v>-0.2943625</v>
      </c>
      <c r="E9" s="168">
        <v>-0.06558243</v>
      </c>
      <c r="F9" s="168">
        <v>-2.582207</v>
      </c>
      <c r="G9" s="168">
        <v>0.3857239</v>
      </c>
    </row>
    <row r="10" spans="1:7" ht="12.75">
      <c r="A10" s="167" t="s">
        <v>141</v>
      </c>
      <c r="B10" s="168">
        <v>1.13988</v>
      </c>
      <c r="C10" s="168">
        <v>2.513684</v>
      </c>
      <c r="D10" s="168">
        <v>1.221725</v>
      </c>
      <c r="E10" s="168">
        <v>1.766337</v>
      </c>
      <c r="F10" s="168">
        <v>1.078272</v>
      </c>
      <c r="G10" s="168">
        <v>2.372284</v>
      </c>
    </row>
    <row r="11" spans="1:7" ht="12.75">
      <c r="A11" s="167" t="s">
        <v>142</v>
      </c>
      <c r="B11" s="168">
        <v>4.547947</v>
      </c>
      <c r="C11" s="168">
        <v>4.981616</v>
      </c>
      <c r="D11" s="168">
        <v>5.038347</v>
      </c>
      <c r="E11" s="168">
        <v>4.552397</v>
      </c>
      <c r="F11" s="168">
        <v>15.02888</v>
      </c>
      <c r="G11" s="168">
        <v>6.172711</v>
      </c>
    </row>
    <row r="12" spans="1:7" ht="12.75">
      <c r="A12" s="167" t="s">
        <v>100</v>
      </c>
      <c r="B12" s="168">
        <v>-0.1059964</v>
      </c>
      <c r="C12" s="168">
        <v>0.03616335</v>
      </c>
      <c r="D12" s="168">
        <v>-0.04485399</v>
      </c>
      <c r="E12" s="168">
        <v>0.0877697</v>
      </c>
      <c r="F12" s="168">
        <v>-0.2726081</v>
      </c>
      <c r="G12" s="168">
        <v>0.2564556</v>
      </c>
    </row>
    <row r="13" spans="1:7" ht="12.75">
      <c r="A13" s="167" t="s">
        <v>102</v>
      </c>
      <c r="B13" s="168">
        <v>0.1445199</v>
      </c>
      <c r="C13" s="168">
        <v>0.1590737</v>
      </c>
      <c r="D13" s="168">
        <v>0.03204869</v>
      </c>
      <c r="E13" s="168">
        <v>-0.06709</v>
      </c>
      <c r="F13" s="168">
        <v>-0.1181276</v>
      </c>
      <c r="G13" s="168">
        <v>-0.03494477</v>
      </c>
    </row>
    <row r="14" spans="1:7" ht="12.75">
      <c r="A14" s="167" t="s">
        <v>104</v>
      </c>
      <c r="B14" s="168">
        <v>-0.01985065</v>
      </c>
      <c r="C14" s="168">
        <v>0.04466447</v>
      </c>
      <c r="D14" s="168">
        <v>0.1826542</v>
      </c>
      <c r="E14" s="168">
        <v>-0.02524221</v>
      </c>
      <c r="F14" s="168">
        <v>0.2048125</v>
      </c>
      <c r="G14" s="168">
        <v>-0.135745</v>
      </c>
    </row>
    <row r="15" spans="1:7" ht="12.75">
      <c r="A15" s="167" t="s">
        <v>106</v>
      </c>
      <c r="B15" s="168">
        <v>-0.4198617</v>
      </c>
      <c r="C15" s="168">
        <v>-0.06132398</v>
      </c>
      <c r="D15" s="168">
        <v>-0.07721234</v>
      </c>
      <c r="E15" s="168">
        <v>-0.08155121</v>
      </c>
      <c r="F15" s="168">
        <v>-0.3114877</v>
      </c>
      <c r="G15" s="168">
        <v>-0.1552745</v>
      </c>
    </row>
    <row r="16" spans="1:7" ht="12.75">
      <c r="A16" s="167" t="s">
        <v>108</v>
      </c>
      <c r="B16" s="168">
        <v>-0.04935468</v>
      </c>
      <c r="C16" s="168">
        <v>0.06195686</v>
      </c>
      <c r="D16" s="168">
        <v>-0.01032179</v>
      </c>
      <c r="E16" s="168">
        <v>0.04056066</v>
      </c>
      <c r="F16" s="168">
        <v>0.00554267</v>
      </c>
      <c r="G16" s="168">
        <v>0.003095584</v>
      </c>
    </row>
    <row r="17" spans="1:7" ht="12.75">
      <c r="A17" s="167" t="s">
        <v>110</v>
      </c>
      <c r="B17" s="168">
        <v>0.08322894</v>
      </c>
      <c r="C17" s="168">
        <v>0.05127877</v>
      </c>
      <c r="D17" s="168">
        <v>0.1041218</v>
      </c>
      <c r="E17" s="168">
        <v>0.07193916</v>
      </c>
      <c r="F17" s="168">
        <v>0.05748304</v>
      </c>
      <c r="G17" s="168">
        <v>-0.07441142</v>
      </c>
    </row>
    <row r="18" spans="1:7" ht="12.75">
      <c r="A18" s="167" t="s">
        <v>143</v>
      </c>
      <c r="B18" s="168">
        <v>0.009999368</v>
      </c>
      <c r="C18" s="168">
        <v>-0.07699737</v>
      </c>
      <c r="D18" s="168">
        <v>0.03218549</v>
      </c>
      <c r="E18" s="168">
        <v>-0.03530309</v>
      </c>
      <c r="F18" s="168">
        <v>-0.02006628</v>
      </c>
      <c r="G18" s="168">
        <v>-0.1200754</v>
      </c>
    </row>
    <row r="19" spans="1:7" ht="12.75">
      <c r="A19" s="167" t="s">
        <v>114</v>
      </c>
      <c r="B19" s="168">
        <v>-0.1891287</v>
      </c>
      <c r="C19" s="168">
        <v>-0.1777142</v>
      </c>
      <c r="D19" s="168">
        <v>-0.1762313</v>
      </c>
      <c r="E19" s="168">
        <v>-0.176552</v>
      </c>
      <c r="F19" s="168">
        <v>-0.1290353</v>
      </c>
      <c r="G19" s="168">
        <v>-0.1722188</v>
      </c>
    </row>
    <row r="20" spans="1:7" ht="12.75">
      <c r="A20" s="167" t="s">
        <v>116</v>
      </c>
      <c r="B20" s="168">
        <v>-0.004868707</v>
      </c>
      <c r="C20" s="168">
        <v>-0.003152493</v>
      </c>
      <c r="D20" s="168">
        <v>-0.007030932</v>
      </c>
      <c r="E20" s="168">
        <v>-0.002977838</v>
      </c>
      <c r="F20" s="168">
        <v>0.003940452</v>
      </c>
      <c r="G20" s="168">
        <v>-0.004445679</v>
      </c>
    </row>
    <row r="21" spans="1:7" ht="12.75">
      <c r="A21" s="167" t="s">
        <v>144</v>
      </c>
      <c r="B21" s="168">
        <v>-795.4788</v>
      </c>
      <c r="C21" s="168">
        <v>-673.5085</v>
      </c>
      <c r="D21" s="168">
        <v>-852.0992</v>
      </c>
      <c r="E21" s="168">
        <v>-734.7334</v>
      </c>
      <c r="F21" s="168">
        <v>-902.596</v>
      </c>
      <c r="G21" s="168">
        <v>98.69555</v>
      </c>
    </row>
    <row r="22" spans="1:7" ht="12.75">
      <c r="A22" s="167" t="s">
        <v>145</v>
      </c>
      <c r="B22" s="168">
        <v>73.41648</v>
      </c>
      <c r="C22" s="168">
        <v>37.28798</v>
      </c>
      <c r="D22" s="168">
        <v>-3.416797</v>
      </c>
      <c r="E22" s="168">
        <v>-28.25459</v>
      </c>
      <c r="F22" s="168">
        <v>-88.98459</v>
      </c>
      <c r="G22" s="168">
        <v>0</v>
      </c>
    </row>
    <row r="23" spans="1:7" ht="12.75">
      <c r="A23" s="167" t="s">
        <v>93</v>
      </c>
      <c r="B23" s="168">
        <v>6.522428</v>
      </c>
      <c r="C23" s="168">
        <v>0.4307415</v>
      </c>
      <c r="D23" s="168">
        <v>0.07707294</v>
      </c>
      <c r="E23" s="168">
        <v>0.272848</v>
      </c>
      <c r="F23" s="168">
        <v>10.61349</v>
      </c>
      <c r="G23" s="168">
        <v>2.753734</v>
      </c>
    </row>
    <row r="24" spans="1:7" ht="12.75">
      <c r="A24" s="167" t="s">
        <v>146</v>
      </c>
      <c r="B24" s="168">
        <v>3.191084</v>
      </c>
      <c r="C24" s="168">
        <v>3.025218</v>
      </c>
      <c r="D24" s="168">
        <v>2.605152</v>
      </c>
      <c r="E24" s="168">
        <v>2.022535</v>
      </c>
      <c r="F24" s="168">
        <v>3.14262</v>
      </c>
      <c r="G24" s="168">
        <v>-2.722627</v>
      </c>
    </row>
    <row r="25" spans="1:7" ht="12.75">
      <c r="A25" s="167" t="s">
        <v>97</v>
      </c>
      <c r="B25" s="168">
        <v>0.1932069</v>
      </c>
      <c r="C25" s="168">
        <v>-1.771592</v>
      </c>
      <c r="D25" s="168">
        <v>-2.388004</v>
      </c>
      <c r="E25" s="168">
        <v>-1.812455</v>
      </c>
      <c r="F25" s="168">
        <v>-7.205058</v>
      </c>
      <c r="G25" s="168">
        <v>1.632558</v>
      </c>
    </row>
    <row r="26" spans="1:7" ht="12.75">
      <c r="A26" s="167" t="s">
        <v>99</v>
      </c>
      <c r="B26" s="168">
        <v>0.9278164</v>
      </c>
      <c r="C26" s="168">
        <v>0.01886511</v>
      </c>
      <c r="D26" s="168">
        <v>0.1719084</v>
      </c>
      <c r="E26" s="168">
        <v>0.1227232</v>
      </c>
      <c r="F26" s="168">
        <v>1.881718</v>
      </c>
      <c r="G26" s="168">
        <v>0.4609797</v>
      </c>
    </row>
    <row r="27" spans="1:7" ht="12.75">
      <c r="A27" s="167" t="s">
        <v>101</v>
      </c>
      <c r="B27" s="168">
        <v>0.2585345</v>
      </c>
      <c r="C27" s="168">
        <v>0.2743318</v>
      </c>
      <c r="D27" s="168">
        <v>0.04457467</v>
      </c>
      <c r="E27" s="168">
        <v>0.2774048</v>
      </c>
      <c r="F27" s="168">
        <v>0.5656311</v>
      </c>
      <c r="G27" s="168">
        <v>0.03273887</v>
      </c>
    </row>
    <row r="28" spans="1:7" ht="12.75">
      <c r="A28" s="167" t="s">
        <v>103</v>
      </c>
      <c r="B28" s="168">
        <v>0.09630078</v>
      </c>
      <c r="C28" s="168">
        <v>0.2475195</v>
      </c>
      <c r="D28" s="168">
        <v>0.1302728</v>
      </c>
      <c r="E28" s="168">
        <v>0.006163229</v>
      </c>
      <c r="F28" s="168">
        <v>0.155291</v>
      </c>
      <c r="G28" s="168">
        <v>-0.1270653</v>
      </c>
    </row>
    <row r="29" spans="1:7" ht="12.75">
      <c r="A29" s="167" t="s">
        <v>105</v>
      </c>
      <c r="B29" s="168">
        <v>0.3795023</v>
      </c>
      <c r="C29" s="168">
        <v>0.08930069</v>
      </c>
      <c r="D29" s="168">
        <v>0.03776698</v>
      </c>
      <c r="E29" s="168">
        <v>0.02081307</v>
      </c>
      <c r="F29" s="168">
        <v>0.3389617</v>
      </c>
      <c r="G29" s="168">
        <v>0.07314245</v>
      </c>
    </row>
    <row r="30" spans="1:7" ht="12.75">
      <c r="A30" s="167" t="s">
        <v>107</v>
      </c>
      <c r="B30" s="168">
        <v>0.0586733</v>
      </c>
      <c r="C30" s="168">
        <v>0.02356536</v>
      </c>
      <c r="D30" s="168">
        <v>0.07476176</v>
      </c>
      <c r="E30" s="168">
        <v>-0.0824251</v>
      </c>
      <c r="F30" s="168">
        <v>0.2114994</v>
      </c>
      <c r="G30" s="168">
        <v>0.04059413</v>
      </c>
    </row>
    <row r="31" spans="1:7" ht="12.75">
      <c r="A31" s="167" t="s">
        <v>109</v>
      </c>
      <c r="B31" s="168">
        <v>-0.03080033</v>
      </c>
      <c r="C31" s="168">
        <v>0.0338948</v>
      </c>
      <c r="D31" s="168">
        <v>-0.02983547</v>
      </c>
      <c r="E31" s="168">
        <v>0.01372606</v>
      </c>
      <c r="F31" s="168">
        <v>0.0244446</v>
      </c>
      <c r="G31" s="168">
        <v>-0.01579005</v>
      </c>
    </row>
    <row r="32" spans="1:7" ht="12.75">
      <c r="A32" s="167" t="s">
        <v>111</v>
      </c>
      <c r="B32" s="168">
        <v>-0.01560768</v>
      </c>
      <c r="C32" s="168">
        <v>0.1004557</v>
      </c>
      <c r="D32" s="168">
        <v>0.01172856</v>
      </c>
      <c r="E32" s="168">
        <v>0.04046883</v>
      </c>
      <c r="F32" s="168">
        <v>0.03431676</v>
      </c>
      <c r="G32" s="168">
        <v>-0.03905836</v>
      </c>
    </row>
    <row r="33" spans="1:7" ht="12.75">
      <c r="A33" s="167" t="s">
        <v>113</v>
      </c>
      <c r="B33" s="168">
        <v>0.129996</v>
      </c>
      <c r="C33" s="168">
        <v>0.1031098</v>
      </c>
      <c r="D33" s="168">
        <v>0.1434301</v>
      </c>
      <c r="E33" s="168">
        <v>0.1192571</v>
      </c>
      <c r="F33" s="168">
        <v>0.09932247</v>
      </c>
      <c r="G33" s="168">
        <v>-0.0205081</v>
      </c>
    </row>
    <row r="34" spans="1:7" ht="12.75">
      <c r="A34" s="167" t="s">
        <v>115</v>
      </c>
      <c r="B34" s="168">
        <v>-0.002872465</v>
      </c>
      <c r="C34" s="168">
        <v>0.006068953</v>
      </c>
      <c r="D34" s="168">
        <v>0.01312303</v>
      </c>
      <c r="E34" s="168">
        <v>0.004400864</v>
      </c>
      <c r="F34" s="168">
        <v>-0.02487137</v>
      </c>
      <c r="G34" s="168">
        <v>0.001943889</v>
      </c>
    </row>
    <row r="35" spans="1:7" ht="12.75">
      <c r="A35" s="167" t="s">
        <v>117</v>
      </c>
      <c r="B35" s="168">
        <v>-0.003139941</v>
      </c>
      <c r="C35" s="168">
        <v>-0.006573807</v>
      </c>
      <c r="D35" s="168">
        <v>-0.00707848</v>
      </c>
      <c r="E35" s="168">
        <v>-0.006759089</v>
      </c>
      <c r="F35" s="168">
        <v>0.006871588</v>
      </c>
      <c r="G35" s="168">
        <v>0.003343549</v>
      </c>
    </row>
    <row r="36" spans="1:6" ht="12.75">
      <c r="A36" s="167" t="s">
        <v>147</v>
      </c>
      <c r="B36" s="168">
        <v>18.88123</v>
      </c>
      <c r="C36" s="168">
        <v>18.88123</v>
      </c>
      <c r="D36" s="168">
        <v>18.88428</v>
      </c>
      <c r="E36" s="168">
        <v>18.88123</v>
      </c>
      <c r="F36" s="168">
        <v>18.89038</v>
      </c>
    </row>
    <row r="37" spans="1:6" ht="12.75">
      <c r="A37" s="167" t="s">
        <v>148</v>
      </c>
      <c r="B37" s="168">
        <v>0.3417969</v>
      </c>
      <c r="C37" s="168">
        <v>0.3000895</v>
      </c>
      <c r="D37" s="168">
        <v>0.2772013</v>
      </c>
      <c r="E37" s="168">
        <v>0.2614339</v>
      </c>
      <c r="F37" s="168">
        <v>0.2573649</v>
      </c>
    </row>
    <row r="38" spans="1:7" ht="12.75">
      <c r="A38" s="167" t="s">
        <v>149</v>
      </c>
      <c r="B38" s="168">
        <v>-3.447385E-05</v>
      </c>
      <c r="C38" s="168">
        <v>-0.0005016688</v>
      </c>
      <c r="D38" s="168">
        <v>7.823724E-05</v>
      </c>
      <c r="E38" s="168">
        <v>-0.0002404544</v>
      </c>
      <c r="F38" s="168">
        <v>-2.545757E-05</v>
      </c>
      <c r="G38" s="168">
        <v>-8.802171E-05</v>
      </c>
    </row>
    <row r="39" spans="1:7" ht="12.75">
      <c r="A39" s="167" t="s">
        <v>150</v>
      </c>
      <c r="B39" s="168">
        <v>0.001352567</v>
      </c>
      <c r="C39" s="168">
        <v>0.001146835</v>
      </c>
      <c r="D39" s="168">
        <v>0.001448595</v>
      </c>
      <c r="E39" s="168">
        <v>0.001248367</v>
      </c>
      <c r="F39" s="168">
        <v>0.001534187</v>
      </c>
      <c r="G39" s="168">
        <v>0.0006620044</v>
      </c>
    </row>
    <row r="40" spans="2:5" ht="12.75">
      <c r="B40" s="167" t="s">
        <v>151</v>
      </c>
      <c r="C40" s="167">
        <v>0.003757</v>
      </c>
      <c r="D40" s="167" t="s">
        <v>152</v>
      </c>
      <c r="E40" s="167">
        <v>3.116861</v>
      </c>
    </row>
    <row r="42" ht="12.75">
      <c r="A42" s="167" t="s">
        <v>153</v>
      </c>
    </row>
    <row r="50" spans="1:7" ht="12.75">
      <c r="A50" s="167" t="s">
        <v>154</v>
      </c>
      <c r="B50" s="167">
        <f>-0.017/(B7*B7+B22*B22)*(B21*B22+B6*B7)</f>
        <v>-3.447386078615242E-05</v>
      </c>
      <c r="C50" s="167">
        <f>-0.017/(C7*C7+C22*C22)*(C21*C22+C6*C7)</f>
        <v>-0.0005016688436780133</v>
      </c>
      <c r="D50" s="167">
        <f>-0.017/(D7*D7+D22*D22)*(D21*D22+D6*D7)</f>
        <v>7.823724636784671E-05</v>
      </c>
      <c r="E50" s="167">
        <f>-0.017/(E7*E7+E22*E22)*(E21*E22+E6*E7)</f>
        <v>-0.0002404545108650579</v>
      </c>
      <c r="F50" s="167">
        <f>-0.017/(F7*F7+F22*F22)*(F21*F22+F6*F7)</f>
        <v>-2.545756755356842E-05</v>
      </c>
      <c r="G50" s="167">
        <f>(B50*B$4+C50*C$4+D50*D$4+E50*E$4+F50*F$4)/SUM(B$4:F$4)</f>
        <v>-0.00016812527072190885</v>
      </c>
    </row>
    <row r="51" spans="1:7" ht="12.75">
      <c r="A51" s="167" t="s">
        <v>155</v>
      </c>
      <c r="B51" s="167">
        <f>-0.017/(B7*B7+B22*B22)*(B21*B7-B6*B22)</f>
        <v>0.001352567054951093</v>
      </c>
      <c r="C51" s="167">
        <f>-0.017/(C7*C7+C22*C22)*(C21*C7-C6*C22)</f>
        <v>0.0011468350717809689</v>
      </c>
      <c r="D51" s="167">
        <f>-0.017/(D7*D7+D22*D22)*(D21*D7-D6*D22)</f>
        <v>0.0014485953720788682</v>
      </c>
      <c r="E51" s="167">
        <f>-0.017/(E7*E7+E22*E22)*(E21*E7-E6*E22)</f>
        <v>0.0012483673856381859</v>
      </c>
      <c r="F51" s="167">
        <f>-0.017/(F7*F7+F22*F22)*(F21*F7-F6*F22)</f>
        <v>0.0015341866668788853</v>
      </c>
      <c r="G51" s="167">
        <f>(B51*B$4+C51*C$4+D51*D$4+E51*E$4+F51*F$4)/SUM(B$4:F$4)</f>
        <v>0.0013253824613587311</v>
      </c>
    </row>
    <row r="58" ht="12.75">
      <c r="A58" s="167" t="s">
        <v>157</v>
      </c>
    </row>
    <row r="60" spans="2:6" ht="12.75">
      <c r="B60" s="167" t="s">
        <v>85</v>
      </c>
      <c r="C60" s="167" t="s">
        <v>86</v>
      </c>
      <c r="D60" s="167" t="s">
        <v>87</v>
      </c>
      <c r="E60" s="167" t="s">
        <v>88</v>
      </c>
      <c r="F60" s="167" t="s">
        <v>89</v>
      </c>
    </row>
    <row r="61" spans="1:6" ht="12.75">
      <c r="A61" s="167" t="s">
        <v>159</v>
      </c>
      <c r="B61" s="167">
        <f>B6+(1/0.017)*(B7*B50-B22*B51)</f>
        <v>0</v>
      </c>
      <c r="C61" s="167">
        <f>C6+(1/0.017)*(C7*C50-C22*C51)</f>
        <v>0</v>
      </c>
      <c r="D61" s="167">
        <f>D6+(1/0.017)*(D7*D50-D22*D51)</f>
        <v>0</v>
      </c>
      <c r="E61" s="167">
        <f>E6+(1/0.017)*(E7*E50-E22*E51)</f>
        <v>0</v>
      </c>
      <c r="F61" s="167">
        <f>F6+(1/0.017)*(F7*F50-F22*F51)</f>
        <v>0</v>
      </c>
    </row>
    <row r="62" spans="1:6" ht="12.75">
      <c r="A62" s="167" t="s">
        <v>162</v>
      </c>
      <c r="B62" s="167">
        <f>B7+(2/0.017)*(B8*B50-B23*B51)</f>
        <v>9998.966884100955</v>
      </c>
      <c r="C62" s="167">
        <f>C7+(2/0.017)*(C8*C50-C23*C51)</f>
        <v>10000.15899447776</v>
      </c>
      <c r="D62" s="167">
        <f>D7+(2/0.017)*(D8*D50-D23*D51)</f>
        <v>9999.968281536487</v>
      </c>
      <c r="E62" s="167">
        <f>E7+(2/0.017)*(E8*E50-E23*E51)</f>
        <v>10000.045905831976</v>
      </c>
      <c r="F62" s="167">
        <f>F7+(2/0.017)*(F8*F50-F23*F51)</f>
        <v>9998.095136425149</v>
      </c>
    </row>
    <row r="63" spans="1:6" ht="12.75">
      <c r="A63" s="167" t="s">
        <v>163</v>
      </c>
      <c r="B63" s="167">
        <f>B8+(3/0.017)*(B9*B50-B24*B51)</f>
        <v>-1.9398476842417027</v>
      </c>
      <c r="C63" s="167">
        <f>C8+(3/0.017)*(C9*C50-C24*C51)</f>
        <v>-4.287511219826528</v>
      </c>
      <c r="D63" s="167">
        <f>D8+(3/0.017)*(D9*D50-D24*D51)</f>
        <v>-2.6890108074463464</v>
      </c>
      <c r="E63" s="167">
        <f>E8+(3/0.017)*(E9*E50-E24*E51)</f>
        <v>-3.482084848091424</v>
      </c>
      <c r="F63" s="167">
        <f>F8+(3/0.017)*(F9*F50-F24*F51)</f>
        <v>-4.442654645987139</v>
      </c>
    </row>
    <row r="64" spans="1:6" ht="12.75">
      <c r="A64" s="167" t="s">
        <v>164</v>
      </c>
      <c r="B64" s="167">
        <f>B9+(4/0.017)*(B10*B50-B25*B51)</f>
        <v>0.3111526641971412</v>
      </c>
      <c r="C64" s="167">
        <f>C9+(4/0.017)*(C10*C50-C25*C51)</f>
        <v>0.14352658243168634</v>
      </c>
      <c r="D64" s="167">
        <f>D9+(4/0.017)*(D10*D50-D25*D51)</f>
        <v>0.5420694865234312</v>
      </c>
      <c r="E64" s="167">
        <f>E9+(4/0.017)*(E10*E50-E25*E51)</f>
        <v>0.36686133719505976</v>
      </c>
      <c r="F64" s="167">
        <f>F9+(4/0.017)*(F10*F50-F25*F51)</f>
        <v>0.012252702448924069</v>
      </c>
    </row>
    <row r="65" spans="1:6" ht="12.75">
      <c r="A65" s="167" t="s">
        <v>165</v>
      </c>
      <c r="B65" s="167">
        <f>B10+(5/0.017)*(B11*B50-B26*B51)</f>
        <v>0.7246684742870222</v>
      </c>
      <c r="C65" s="167">
        <f>C10+(5/0.017)*(C11*C50-C26*C51)</f>
        <v>1.7722849681915012</v>
      </c>
      <c r="D65" s="167">
        <f>D10+(5/0.017)*(D11*D50-D26*D51)</f>
        <v>1.2644193184894759</v>
      </c>
      <c r="E65" s="167">
        <f>E10+(5/0.017)*(E11*E50-E26*E51)</f>
        <v>1.3993228722824385</v>
      </c>
      <c r="F65" s="167">
        <f>F10+(5/0.017)*(F11*F50-F26*F51)</f>
        <v>0.1166527663880953</v>
      </c>
    </row>
    <row r="66" spans="1:6" ht="12.75">
      <c r="A66" s="167" t="s">
        <v>166</v>
      </c>
      <c r="B66" s="167">
        <f>B11+(6/0.017)*(B12*B50-B27*B51)</f>
        <v>4.425818361600887</v>
      </c>
      <c r="C66" s="167">
        <f>C11+(6/0.017)*(C12*C50-C27*C51)</f>
        <v>4.864172933344885</v>
      </c>
      <c r="D66" s="167">
        <f>D11+(6/0.017)*(D12*D50-D27*D51)</f>
        <v>5.01431879529171</v>
      </c>
      <c r="E66" s="167">
        <f>E11+(6/0.017)*(E12*E50-E27*E51)</f>
        <v>4.422723685215851</v>
      </c>
      <c r="F66" s="167">
        <f>F11+(6/0.017)*(F12*F50-F27*F51)</f>
        <v>14.72505279310448</v>
      </c>
    </row>
    <row r="67" spans="1:6" ht="12.75">
      <c r="A67" s="167" t="s">
        <v>167</v>
      </c>
      <c r="B67" s="167">
        <f>B12+(7/0.017)*(B13*B50-B28*B51)</f>
        <v>-0.1616815734795678</v>
      </c>
      <c r="C67" s="167">
        <f>C12+(7/0.017)*(C13*C50-C28*C51)</f>
        <v>-0.11358162287164171</v>
      </c>
      <c r="D67" s="167">
        <f>D12+(7/0.017)*(D13*D50-D28*D51)</f>
        <v>-0.12152670867807144</v>
      </c>
      <c r="E67" s="167">
        <f>E12+(7/0.017)*(E13*E50-E28*E51)</f>
        <v>0.09124421961298948</v>
      </c>
      <c r="F67" s="167">
        <f>F12+(7/0.017)*(F13*F50-F28*F51)</f>
        <v>-0.3694708636650257</v>
      </c>
    </row>
    <row r="68" spans="1:6" ht="12.75">
      <c r="A68" s="167" t="s">
        <v>168</v>
      </c>
      <c r="B68" s="167">
        <f>B13+(8/0.017)*(B14*B50-B29*B51)</f>
        <v>-0.09671209045343601</v>
      </c>
      <c r="C68" s="167">
        <f>C13+(8/0.017)*(C14*C50-C29*C51)</f>
        <v>0.10033490647311466</v>
      </c>
      <c r="D68" s="167">
        <f>D13+(8/0.017)*(D14*D50-D29*D51)</f>
        <v>0.013028120211824364</v>
      </c>
      <c r="E68" s="167">
        <f>E13+(8/0.017)*(E14*E50-E29*E51)</f>
        <v>-0.076460708011436</v>
      </c>
      <c r="F68" s="167">
        <f>F13+(8/0.017)*(F14*F50-F29*F51)</f>
        <v>-0.36530150530690153</v>
      </c>
    </row>
    <row r="69" spans="1:6" ht="12.75">
      <c r="A69" s="167" t="s">
        <v>169</v>
      </c>
      <c r="B69" s="167">
        <f>B14+(9/0.017)*(B15*B50-B30*B51)</f>
        <v>-0.0542017011241307</v>
      </c>
      <c r="C69" s="167">
        <f>C14+(9/0.017)*(C15*C50-C30*C51)</f>
        <v>0.04664380760486489</v>
      </c>
      <c r="D69" s="167">
        <f>D14+(9/0.017)*(D15*D50-D30*D51)</f>
        <v>0.12212103625263523</v>
      </c>
      <c r="E69" s="167">
        <f>E14+(9/0.017)*(E15*E50-E30*E51)</f>
        <v>0.03961399389298394</v>
      </c>
      <c r="F69" s="167">
        <f>F14+(9/0.017)*(F15*F50-F30*F51)</f>
        <v>0.0372272903933967</v>
      </c>
    </row>
    <row r="70" spans="1:6" ht="12.75">
      <c r="A70" s="167" t="s">
        <v>170</v>
      </c>
      <c r="B70" s="167">
        <f>B15+(10/0.017)*(B16*B50-B31*B51)</f>
        <v>-0.39435525411347827</v>
      </c>
      <c r="C70" s="167">
        <f>C15+(10/0.017)*(C16*C50-C31*C51)</f>
        <v>-0.10247313982654244</v>
      </c>
      <c r="D70" s="167">
        <f>D15+(10/0.017)*(D16*D50-D31*D51)</f>
        <v>-0.05226411921258193</v>
      </c>
      <c r="E70" s="167">
        <f>E15+(10/0.017)*(E16*E50-E31*E51)</f>
        <v>-0.09736777429292753</v>
      </c>
      <c r="F70" s="167">
        <f>F15+(10/0.017)*(F16*F50-F31*F51)</f>
        <v>-0.3336310425253763</v>
      </c>
    </row>
    <row r="71" spans="1:6" ht="12.75">
      <c r="A71" s="167" t="s">
        <v>171</v>
      </c>
      <c r="B71" s="167">
        <f>B16+(11/0.017)*(B17*B50-B32*B51)</f>
        <v>-0.03755154354740703</v>
      </c>
      <c r="C71" s="167">
        <f>C16+(11/0.017)*(C17*C50-C32*C51)</f>
        <v>-0.02923383958151886</v>
      </c>
      <c r="D71" s="167">
        <f>D16+(11/0.017)*(D17*D50-D32*D51)</f>
        <v>-0.01604420664712602</v>
      </c>
      <c r="E71" s="167">
        <f>E16+(11/0.017)*(E17*E50-E32*E51)</f>
        <v>-0.0033216160826219088</v>
      </c>
      <c r="F71" s="167">
        <f>F16+(11/0.017)*(F17*F50-F32*F51)</f>
        <v>-0.02947077906947873</v>
      </c>
    </row>
    <row r="72" spans="1:6" ht="12.75">
      <c r="A72" s="167" t="s">
        <v>172</v>
      </c>
      <c r="B72" s="167">
        <f>B17+(12/0.017)*(B18*B50-B33*B51)</f>
        <v>-0.04112848849115562</v>
      </c>
      <c r="C72" s="167">
        <f>C17+(12/0.017)*(C18*C50-C33*C51)</f>
        <v>-0.004925526454239902</v>
      </c>
      <c r="D72" s="167">
        <f>D17+(12/0.017)*(D18*D50-D33*D51)</f>
        <v>-0.04076342938791251</v>
      </c>
      <c r="E72" s="167">
        <f>E17+(12/0.017)*(E18*E50-E33*E51)</f>
        <v>-0.027158171934929337</v>
      </c>
      <c r="F72" s="167">
        <f>F17+(12/0.017)*(F18*F50-F33*F51)</f>
        <v>-0.04971816271776183</v>
      </c>
    </row>
    <row r="73" spans="1:6" ht="12.75">
      <c r="A73" s="167" t="s">
        <v>173</v>
      </c>
      <c r="B73" s="167">
        <f>B18+(13/0.017)*(B19*B50-B34*B51)</f>
        <v>0.017956284117621117</v>
      </c>
      <c r="C73" s="167">
        <f>C18+(13/0.017)*(C19*C50-C34*C51)</f>
        <v>-0.014143448946644266</v>
      </c>
      <c r="D73" s="167">
        <f>D18+(13/0.017)*(D19*D50-D34*D51)</f>
        <v>0.007104810111810897</v>
      </c>
      <c r="E73" s="167">
        <f>E18+(13/0.017)*(E19*E50-E34*E51)</f>
        <v>-0.007040455511279985</v>
      </c>
      <c r="F73" s="167">
        <f>F18+(13/0.017)*(F19*F50-F34*F51)</f>
        <v>0.011624851670484354</v>
      </c>
    </row>
    <row r="74" spans="1:6" ht="12.75">
      <c r="A74" s="167" t="s">
        <v>174</v>
      </c>
      <c r="B74" s="167">
        <f>B19+(14/0.017)*(B20*B50-B35*B51)</f>
        <v>-0.18549296268836268</v>
      </c>
      <c r="C74" s="167">
        <f>C19+(14/0.017)*(C20*C50-C35*C51)</f>
        <v>-0.17020313416645577</v>
      </c>
      <c r="D74" s="167">
        <f>D19+(14/0.017)*(D20*D50-D35*D51)</f>
        <v>-0.16823995785036322</v>
      </c>
      <c r="E74" s="167">
        <f>E19+(14/0.017)*(E20*E50-E35*E51)</f>
        <v>-0.16901352636380487</v>
      </c>
      <c r="F74" s="167">
        <f>F19+(14/0.017)*(F20*F50-F35*F51)</f>
        <v>-0.13779980483412538</v>
      </c>
    </row>
    <row r="75" spans="1:6" ht="12.75">
      <c r="A75" s="167" t="s">
        <v>175</v>
      </c>
      <c r="B75" s="168">
        <f>B20</f>
        <v>-0.004868707</v>
      </c>
      <c r="C75" s="168">
        <f>C20</f>
        <v>-0.003152493</v>
      </c>
      <c r="D75" s="168">
        <f>D20</f>
        <v>-0.007030932</v>
      </c>
      <c r="E75" s="168">
        <f>E20</f>
        <v>-0.002977838</v>
      </c>
      <c r="F75" s="168">
        <f>F20</f>
        <v>0.003940452</v>
      </c>
    </row>
    <row r="78" ht="12.75">
      <c r="A78" s="167" t="s">
        <v>157</v>
      </c>
    </row>
    <row r="80" spans="2:6" ht="12.75">
      <c r="B80" s="167" t="s">
        <v>85</v>
      </c>
      <c r="C80" s="167" t="s">
        <v>86</v>
      </c>
      <c r="D80" s="167" t="s">
        <v>87</v>
      </c>
      <c r="E80" s="167" t="s">
        <v>88</v>
      </c>
      <c r="F80" s="167" t="s">
        <v>89</v>
      </c>
    </row>
    <row r="81" spans="1:6" ht="12.75">
      <c r="A81" s="167" t="s">
        <v>176</v>
      </c>
      <c r="B81" s="167">
        <f>B21+(1/0.017)*(B7*B51+B22*B50)</f>
        <v>0</v>
      </c>
      <c r="C81" s="167">
        <f>C21+(1/0.017)*(C7*C51+C22*C50)</f>
        <v>0</v>
      </c>
      <c r="D81" s="167">
        <f>D21+(1/0.017)*(D7*D51+D22*D50)</f>
        <v>0</v>
      </c>
      <c r="E81" s="167">
        <f>E21+(1/0.017)*(E7*E51+E22*E50)</f>
        <v>0</v>
      </c>
      <c r="F81" s="167">
        <f>F21+(1/0.017)*(F7*F51+F22*F50)</f>
        <v>0</v>
      </c>
    </row>
    <row r="82" spans="1:6" ht="12.75">
      <c r="A82" s="167" t="s">
        <v>177</v>
      </c>
      <c r="B82" s="167">
        <f>B22+(2/0.017)*(B8*B51+B23*B50)</f>
        <v>73.20291891218542</v>
      </c>
      <c r="C82" s="167">
        <f>C22+(2/0.017)*(C8*C51+C23*C50)</f>
        <v>36.766233516102574</v>
      </c>
      <c r="D82" s="167">
        <f>D22+(2/0.017)*(D8*D51+D23*D50)</f>
        <v>-3.7601681893793786</v>
      </c>
      <c r="E82" s="167">
        <f>E22+(2/0.017)*(E8*E51+E23*E50)</f>
        <v>-28.70868109090033</v>
      </c>
      <c r="F82" s="167">
        <f>F22+(2/0.017)*(F8*F51+F23*F50)</f>
        <v>-89.66676903093398</v>
      </c>
    </row>
    <row r="83" spans="1:6" ht="12.75">
      <c r="A83" s="167" t="s">
        <v>178</v>
      </c>
      <c r="B83" s="167">
        <f>B23+(3/0.017)*(B9*B51+B24*B50)</f>
        <v>6.594166633752569</v>
      </c>
      <c r="C83" s="167">
        <f>C23+(3/0.017)*(C9*C51+C24*C50)</f>
        <v>0.15526717381431016</v>
      </c>
      <c r="D83" s="167">
        <f>D23+(3/0.017)*(D9*D51+D24*D50)</f>
        <v>0.037791957112256955</v>
      </c>
      <c r="E83" s="167">
        <f>E23+(3/0.017)*(E9*E51+E24*E50)</f>
        <v>0.17257765338552483</v>
      </c>
      <c r="F83" s="167">
        <f>F23+(3/0.017)*(F9*F51+F24*F50)</f>
        <v>9.900268056800027</v>
      </c>
    </row>
    <row r="84" spans="1:6" ht="12.75">
      <c r="A84" s="167" t="s">
        <v>179</v>
      </c>
      <c r="B84" s="167">
        <f>B24+(4/0.017)*(B10*B51+B25*B50)</f>
        <v>3.5522848345468536</v>
      </c>
      <c r="C84" s="167">
        <f>C24+(4/0.017)*(C10*C51+C25*C50)</f>
        <v>3.912637642513857</v>
      </c>
      <c r="D84" s="167">
        <f>D24+(4/0.017)*(D10*D51+D25*D50)</f>
        <v>2.97761184086533</v>
      </c>
      <c r="E84" s="167">
        <f>E24+(4/0.017)*(E10*E51+E25*E50)</f>
        <v>2.6439115843143353</v>
      </c>
      <c r="F84" s="167">
        <f>F24+(4/0.017)*(F10*F51+F25*F50)</f>
        <v>3.575018535630872</v>
      </c>
    </row>
    <row r="85" spans="1:6" ht="12.75">
      <c r="A85" s="167" t="s">
        <v>180</v>
      </c>
      <c r="B85" s="167">
        <f>B25+(5/0.017)*(B11*B51+B26*B50)</f>
        <v>1.9930356842514556</v>
      </c>
      <c r="C85" s="167">
        <f>C25+(5/0.017)*(C11*C51+C26*C50)</f>
        <v>-0.09405438087480467</v>
      </c>
      <c r="D85" s="167">
        <f>D25+(5/0.017)*(D11*D51+D26*D50)</f>
        <v>-0.23742288618501428</v>
      </c>
      <c r="E85" s="167">
        <f>E25+(5/0.017)*(E11*E51+E26*E50)</f>
        <v>-0.14964482522078648</v>
      </c>
      <c r="F85" s="167">
        <f>F25+(5/0.017)*(F11*F51+F26*F50)</f>
        <v>-0.4376452496997132</v>
      </c>
    </row>
    <row r="86" spans="1:6" ht="12.75">
      <c r="A86" s="167" t="s">
        <v>181</v>
      </c>
      <c r="B86" s="167">
        <f>B26+(6/0.017)*(B12*B51+B27*B50)</f>
        <v>0.8740705455488815</v>
      </c>
      <c r="C86" s="167">
        <f>C26+(6/0.017)*(C12*C51+C27*C50)</f>
        <v>-0.015070296634241555</v>
      </c>
      <c r="D86" s="167">
        <f>D26+(6/0.017)*(D12*D51+D27*D50)</f>
        <v>0.15020679427245304</v>
      </c>
      <c r="E86" s="167">
        <f>E26+(6/0.017)*(E12*E51+E27*E50)</f>
        <v>0.1378522336817513</v>
      </c>
      <c r="F86" s="167">
        <f>F26+(6/0.017)*(F12*F51+F27*F50)</f>
        <v>1.7290245985028818</v>
      </c>
    </row>
    <row r="87" spans="1:6" ht="12.75">
      <c r="A87" s="167" t="s">
        <v>182</v>
      </c>
      <c r="B87" s="167">
        <f>B27+(7/0.017)*(B13*B51+B28*B50)</f>
        <v>0.33765632181709176</v>
      </c>
      <c r="C87" s="167">
        <f>C27+(7/0.017)*(C13*C51+C28*C50)</f>
        <v>0.29832058456684885</v>
      </c>
      <c r="D87" s="167">
        <f>D27+(7/0.017)*(D13*D51+D28*D50)</f>
        <v>0.06788786906745509</v>
      </c>
      <c r="E87" s="167">
        <f>E27+(7/0.017)*(E13*E51+E28*E50)</f>
        <v>0.2423080583047605</v>
      </c>
      <c r="F87" s="167">
        <f>F27+(7/0.017)*(F13*F51+F28*F50)</f>
        <v>0.48937922704508574</v>
      </c>
    </row>
    <row r="88" spans="1:6" ht="12.75">
      <c r="A88" s="167" t="s">
        <v>183</v>
      </c>
      <c r="B88" s="167">
        <f>B28+(8/0.017)*(B14*B51+B29*B50)</f>
        <v>0.07750913545054608</v>
      </c>
      <c r="C88" s="167">
        <f>C28+(8/0.017)*(C14*C51+C29*C50)</f>
        <v>0.2505422796548519</v>
      </c>
      <c r="D88" s="167">
        <f>D28+(8/0.017)*(D14*D51+D29*D50)</f>
        <v>0.25617718274334</v>
      </c>
      <c r="E88" s="167">
        <f>E28+(8/0.017)*(E14*E51+E29*E50)</f>
        <v>-0.01102084077500249</v>
      </c>
      <c r="F88" s="167">
        <f>F28+(8/0.017)*(F14*F51+F29*F50)</f>
        <v>0.2990987488632044</v>
      </c>
    </row>
    <row r="89" spans="1:6" ht="12.75">
      <c r="A89" s="167" t="s">
        <v>184</v>
      </c>
      <c r="B89" s="167">
        <f>B29+(9/0.017)*(B15*B51+B30*B50)</f>
        <v>0.07778323034785822</v>
      </c>
      <c r="C89" s="167">
        <f>C29+(9/0.017)*(C15*C51+C30*C50)</f>
        <v>0.04580924993145546</v>
      </c>
      <c r="D89" s="167">
        <f>D29+(9/0.017)*(D15*D51+D30*D50)</f>
        <v>-0.018350817494017423</v>
      </c>
      <c r="E89" s="167">
        <f>E29+(9/0.017)*(E15*E51+E30*E50)</f>
        <v>-0.02259148608696734</v>
      </c>
      <c r="F89" s="167">
        <f>F29+(9/0.017)*(F15*F51+F30*F50)</f>
        <v>0.08311576891186562</v>
      </c>
    </row>
    <row r="90" spans="1:6" ht="12.75">
      <c r="A90" s="167" t="s">
        <v>185</v>
      </c>
      <c r="B90" s="167">
        <f>B30+(10/0.017)*(B16*B51+B31*B50)</f>
        <v>0.020029942419372906</v>
      </c>
      <c r="C90" s="167">
        <f>C30+(10/0.017)*(C16*C51+C31*C50)</f>
        <v>0.055359674625132894</v>
      </c>
      <c r="D90" s="167">
        <f>D30+(10/0.017)*(D16*D51+D31*D50)</f>
        <v>0.06459332338678797</v>
      </c>
      <c r="E90" s="167">
        <f>E30+(10/0.017)*(E16*E51+E31*E50)</f>
        <v>-0.05458150468202653</v>
      </c>
      <c r="F90" s="167">
        <f>F30+(10/0.017)*(F16*F51+F31*F50)</f>
        <v>0.2161353943276998</v>
      </c>
    </row>
    <row r="91" spans="1:6" ht="12.75">
      <c r="A91" s="167" t="s">
        <v>186</v>
      </c>
      <c r="B91" s="167">
        <f>B31+(11/0.017)*(B17*B51+B32*B50)</f>
        <v>0.04238899775001037</v>
      </c>
      <c r="C91" s="167">
        <f>C31+(11/0.017)*(C17*C51+C32*C50)</f>
        <v>0.03933837453842167</v>
      </c>
      <c r="D91" s="167">
        <f>D31+(11/0.017)*(D17*D51+D32*D50)</f>
        <v>0.0683543915505057</v>
      </c>
      <c r="E91" s="167">
        <f>E31+(11/0.017)*(E17*E51+E32*E50)</f>
        <v>0.06553967600494327</v>
      </c>
      <c r="F91" s="167">
        <f>F31+(11/0.017)*(F17*F51+F32*F50)</f>
        <v>0.08094324796124744</v>
      </c>
    </row>
    <row r="92" spans="1:6" ht="12.75">
      <c r="A92" s="167" t="s">
        <v>187</v>
      </c>
      <c r="B92" s="167">
        <f>B32+(12/0.017)*(B18*B51+B33*B50)</f>
        <v>-0.009224137609146685</v>
      </c>
      <c r="C92" s="167">
        <f>C32+(12/0.017)*(C18*C51+C33*C50)</f>
        <v>0.0016108116549879703</v>
      </c>
      <c r="D92" s="167">
        <f>D32+(12/0.017)*(D18*D51+D33*D50)</f>
        <v>0.052560556187545106</v>
      </c>
      <c r="E92" s="167">
        <f>E32+(12/0.017)*(E18*E51+E33*E50)</f>
        <v>-0.010882087987718746</v>
      </c>
      <c r="F92" s="167">
        <f>F32+(12/0.017)*(F18*F51+F33*F50)</f>
        <v>0.010801046315667733</v>
      </c>
    </row>
    <row r="93" spans="1:6" ht="12.75">
      <c r="A93" s="167" t="s">
        <v>188</v>
      </c>
      <c r="B93" s="167">
        <f>B33+(13/0.017)*(B19*B51+B34*B50)</f>
        <v>-0.0655471123231573</v>
      </c>
      <c r="C93" s="167">
        <f>C33+(13/0.017)*(C19*C51+C34*C50)</f>
        <v>-0.05507227443032159</v>
      </c>
      <c r="D93" s="167">
        <f>D33+(13/0.017)*(D19*D51+D34*D50)</f>
        <v>-0.05100488624912472</v>
      </c>
      <c r="E93" s="167">
        <f>E33+(13/0.017)*(E19*E51+E34*E50)</f>
        <v>-0.05009463891212093</v>
      </c>
      <c r="F93" s="167">
        <f>F33+(13/0.017)*(F19*F51+F34*F50)</f>
        <v>-0.05157776170895875</v>
      </c>
    </row>
    <row r="94" spans="1:6" ht="12.75">
      <c r="A94" s="167" t="s">
        <v>189</v>
      </c>
      <c r="B94" s="167">
        <f>B34+(14/0.017)*(B20*B51+B35*B50)</f>
        <v>-0.008206470599587443</v>
      </c>
      <c r="C94" s="167">
        <f>C34+(14/0.017)*(C20*C51+C35*C50)</f>
        <v>0.005807469746136352</v>
      </c>
      <c r="D94" s="167">
        <f>D34+(14/0.017)*(D20*D51+D35*D50)</f>
        <v>0.004279331837423805</v>
      </c>
      <c r="E94" s="167">
        <f>E34+(14/0.017)*(E20*E51+E35*E50)</f>
        <v>0.00267789025921417</v>
      </c>
      <c r="F94" s="167">
        <f>F34+(14/0.017)*(F20*F51+F35*F50)</f>
        <v>-0.020036877643628045</v>
      </c>
    </row>
    <row r="95" spans="1:6" ht="12.75">
      <c r="A95" s="167" t="s">
        <v>190</v>
      </c>
      <c r="B95" s="168">
        <f>B35</f>
        <v>-0.003139941</v>
      </c>
      <c r="C95" s="168">
        <f>C35</f>
        <v>-0.006573807</v>
      </c>
      <c r="D95" s="168">
        <f>D35</f>
        <v>-0.00707848</v>
      </c>
      <c r="E95" s="168">
        <f>E35</f>
        <v>-0.006759089</v>
      </c>
      <c r="F95" s="168">
        <f>F35</f>
        <v>0.006871588</v>
      </c>
    </row>
    <row r="98" ht="12.75">
      <c r="A98" s="167" t="s">
        <v>158</v>
      </c>
    </row>
    <row r="100" spans="2:11" ht="12.75">
      <c r="B100" s="167" t="s">
        <v>85</v>
      </c>
      <c r="C100" s="167" t="s">
        <v>86</v>
      </c>
      <c r="D100" s="167" t="s">
        <v>87</v>
      </c>
      <c r="E100" s="167" t="s">
        <v>88</v>
      </c>
      <c r="F100" s="167" t="s">
        <v>89</v>
      </c>
      <c r="G100" s="167" t="s">
        <v>160</v>
      </c>
      <c r="H100" s="167" t="s">
        <v>161</v>
      </c>
      <c r="I100" s="167" t="s">
        <v>156</v>
      </c>
      <c r="K100" s="167" t="s">
        <v>191</v>
      </c>
    </row>
    <row r="101" spans="1:9" ht="12.75">
      <c r="A101" s="167" t="s">
        <v>159</v>
      </c>
      <c r="B101" s="167">
        <f>B61*10000/B62</f>
        <v>0</v>
      </c>
      <c r="C101" s="167">
        <f>C61*10000/C62</f>
        <v>0</v>
      </c>
      <c r="D101" s="167">
        <f>D61*10000/D62</f>
        <v>0</v>
      </c>
      <c r="E101" s="167">
        <f>E61*10000/E62</f>
        <v>0</v>
      </c>
      <c r="F101" s="167">
        <f>F61*10000/F62</f>
        <v>0</v>
      </c>
      <c r="G101" s="167">
        <f>AVERAGE(C101:E101)</f>
        <v>0</v>
      </c>
      <c r="H101" s="167">
        <f>STDEV(C101:E101)</f>
        <v>0</v>
      </c>
      <c r="I101" s="167">
        <f>(B101*B4+C101*C4+D101*D4+E101*E4+F101*F4)/SUM(B4:F4)</f>
        <v>0</v>
      </c>
    </row>
    <row r="102" spans="1:9" ht="12.75">
      <c r="A102" s="167" t="s">
        <v>162</v>
      </c>
      <c r="B102" s="167">
        <f>B62*10000/B62</f>
        <v>10000</v>
      </c>
      <c r="C102" s="167">
        <f>C62*10000/C62</f>
        <v>10000</v>
      </c>
      <c r="D102" s="167">
        <f>D62*10000/D62</f>
        <v>10000</v>
      </c>
      <c r="E102" s="167">
        <f>E62*10000/E62</f>
        <v>10000</v>
      </c>
      <c r="F102" s="167">
        <f>F62*10000/F62</f>
        <v>10000</v>
      </c>
      <c r="G102" s="167">
        <f>AVERAGE(C102:E102)</f>
        <v>10000</v>
      </c>
      <c r="H102" s="167">
        <f>STDEV(C102:E102)</f>
        <v>0</v>
      </c>
      <c r="I102" s="167">
        <f>(B102*B4+C102*C4+D102*D4+E102*E4+F102*F4)/SUM(B4:F4)</f>
        <v>10000.000000000002</v>
      </c>
    </row>
    <row r="103" spans="1:11" ht="12.75">
      <c r="A103" s="167" t="s">
        <v>163</v>
      </c>
      <c r="B103" s="167">
        <f>B63*10000/B62</f>
        <v>-1.9400481136968202</v>
      </c>
      <c r="C103" s="167">
        <f>C63*10000/C62</f>
        <v>-4.287443051849632</v>
      </c>
      <c r="D103" s="167">
        <f>D63*10000/D62</f>
        <v>-2.689019336602518</v>
      </c>
      <c r="E103" s="167">
        <f>E63*10000/E62</f>
        <v>-3.482068863364607</v>
      </c>
      <c r="F103" s="167">
        <f>F63*10000/F62</f>
        <v>-4.443501072320887</v>
      </c>
      <c r="G103" s="167">
        <f>AVERAGE(C103:E103)</f>
        <v>-3.486177083938919</v>
      </c>
      <c r="H103" s="167">
        <f>STDEV(C103:E103)</f>
        <v>0.7992197767030731</v>
      </c>
      <c r="I103" s="167">
        <f>(B103*B4+C103*C4+D103*D4+E103*E4+F103*F4)/SUM(B4:F4)</f>
        <v>-3.390767553719505</v>
      </c>
      <c r="K103" s="167">
        <f>(LN(H103)+LN(H123))/2-LN(K114*K115^3)</f>
        <v>-5.296981765759511</v>
      </c>
    </row>
    <row r="104" spans="1:11" ht="12.75">
      <c r="A104" s="167" t="s">
        <v>164</v>
      </c>
      <c r="B104" s="167">
        <f>B64*10000/B62</f>
        <v>0.3111848131949465</v>
      </c>
      <c r="C104" s="167">
        <f>C64*10000/C62</f>
        <v>0.14352430047456635</v>
      </c>
      <c r="D104" s="167">
        <f>D64*10000/D62</f>
        <v>0.5420712058900078</v>
      </c>
      <c r="E104" s="167">
        <f>E64*10000/E62</f>
        <v>0.3668596530953004</v>
      </c>
      <c r="F104" s="167">
        <f>F64*10000/F62</f>
        <v>0.012255036866257568</v>
      </c>
      <c r="G104" s="167">
        <f>AVERAGE(C104:E104)</f>
        <v>0.35081838648662483</v>
      </c>
      <c r="H104" s="167">
        <f>STDEV(C104:E104)</f>
        <v>0.1997571040785888</v>
      </c>
      <c r="I104" s="167">
        <f>(B104*B4+C104*C4+D104*D4+E104*E4+F104*F4)/SUM(B4:F4)</f>
        <v>0.29980682243185636</v>
      </c>
      <c r="K104" s="167">
        <f>(LN(H104)+LN(H124))/2-LN(K114*K115^4)</f>
        <v>-4.302102832816068</v>
      </c>
    </row>
    <row r="105" spans="1:11" ht="12.75">
      <c r="A105" s="167" t="s">
        <v>165</v>
      </c>
      <c r="B105" s="167">
        <f>B65*10000/B62</f>
        <v>0.7247433486746465</v>
      </c>
      <c r="C105" s="167">
        <f>C65*10000/C62</f>
        <v>1.7722567902872184</v>
      </c>
      <c r="D105" s="167">
        <f>D65*10000/D62</f>
        <v>1.2644233290459987</v>
      </c>
      <c r="E105" s="167">
        <f>E65*10000/E62</f>
        <v>1.3993164486038614</v>
      </c>
      <c r="F105" s="167">
        <f>F65*10000/F62</f>
        <v>0.11667499138221331</v>
      </c>
      <c r="G105" s="167">
        <f>AVERAGE(C105:E105)</f>
        <v>1.4786655226456926</v>
      </c>
      <c r="H105" s="167">
        <f>STDEV(C105:E105)</f>
        <v>0.26305115995283485</v>
      </c>
      <c r="I105" s="167">
        <f>(B105*B4+C105*C4+D105*D4+E105*E4+F105*F4)/SUM(B4:F4)</f>
        <v>1.1876136761043818</v>
      </c>
      <c r="K105" s="167">
        <f>(LN(H105)+LN(H125))/2-LN(K114*K115^5)</f>
        <v>-4.677196908547213</v>
      </c>
    </row>
    <row r="106" spans="1:11" ht="12.75">
      <c r="A106" s="167" t="s">
        <v>166</v>
      </c>
      <c r="B106" s="167">
        <f>B66*10000/B62</f>
        <v>4.426275647175352</v>
      </c>
      <c r="C106" s="167">
        <f>C66*10000/C62</f>
        <v>4.864095596910964</v>
      </c>
      <c r="D106" s="167">
        <f>D66*10000/D62</f>
        <v>5.014334699990933</v>
      </c>
      <c r="E106" s="167">
        <f>E66*10000/E62</f>
        <v>4.422703382428016</v>
      </c>
      <c r="F106" s="167">
        <f>F66*10000/F62</f>
        <v>14.727858249175924</v>
      </c>
      <c r="G106" s="167">
        <f>AVERAGE(C106:E106)</f>
        <v>4.767044559776637</v>
      </c>
      <c r="H106" s="167">
        <f>STDEV(C106:E106)</f>
        <v>0.30752411586239264</v>
      </c>
      <c r="I106" s="167">
        <f>(B106*B4+C106*C4+D106*D4+E106*E4+F106*F4)/SUM(B4:F4)</f>
        <v>6.049671669147738</v>
      </c>
      <c r="K106" s="167">
        <f>(LN(H106)+LN(H126))/2-LN(K114*K115^6)</f>
        <v>-3.886850377318121</v>
      </c>
    </row>
    <row r="107" spans="1:11" ht="12.75">
      <c r="A107" s="167" t="s">
        <v>167</v>
      </c>
      <c r="B107" s="167">
        <f>B67*10000/B62</f>
        <v>-0.16169827878583398</v>
      </c>
      <c r="C107" s="167">
        <f>C67*10000/C62</f>
        <v>-0.11357981701527266</v>
      </c>
      <c r="D107" s="167">
        <f>D67*10000/D62</f>
        <v>-0.12152709414334159</v>
      </c>
      <c r="E107" s="167">
        <f>E67*10000/E62</f>
        <v>0.09124380075073087</v>
      </c>
      <c r="F107" s="167">
        <f>F67*10000/F62</f>
        <v>-0.36954125623286593</v>
      </c>
      <c r="G107" s="167">
        <f>AVERAGE(C107:E107)</f>
        <v>-0.047954370135961134</v>
      </c>
      <c r="H107" s="167">
        <f>STDEV(C107:E107)</f>
        <v>0.12061462551070706</v>
      </c>
      <c r="I107" s="167">
        <f>(B107*B4+C107*C4+D107*D4+E107*E4+F107*F4)/SUM(B4:F4)</f>
        <v>-0.10740610192456683</v>
      </c>
      <c r="K107" s="167">
        <f>(LN(H107)+LN(H127))/2-LN(K114*K115^7)</f>
        <v>-3.630268870972987</v>
      </c>
    </row>
    <row r="108" spans="1:9" ht="12.75">
      <c r="A108" s="167" t="s">
        <v>168</v>
      </c>
      <c r="B108" s="167">
        <f>B68*10000/B62</f>
        <v>-0.09672208296560605</v>
      </c>
      <c r="C108" s="167">
        <f>C68*10000/C62</f>
        <v>0.10033331122887258</v>
      </c>
      <c r="D108" s="167">
        <f>D68*10000/D62</f>
        <v>0.013028161535150995</v>
      </c>
      <c r="E108" s="167">
        <f>E68*10000/E62</f>
        <v>-0.07646035701380581</v>
      </c>
      <c r="F108" s="167">
        <f>F68*10000/F62</f>
        <v>-0.36537110351754093</v>
      </c>
      <c r="G108" s="167">
        <f>AVERAGE(C108:E108)</f>
        <v>0.012300371916739253</v>
      </c>
      <c r="H108" s="167">
        <f>STDEV(C108:E108)</f>
        <v>0.08839908110931957</v>
      </c>
      <c r="I108" s="167">
        <f>(B108*B4+C108*C4+D108*D4+E108*E4+F108*F4)/SUM(B4:F4)</f>
        <v>-0.05394353994980709</v>
      </c>
    </row>
    <row r="109" spans="1:9" ht="12.75">
      <c r="A109" s="167" t="s">
        <v>169</v>
      </c>
      <c r="B109" s="167">
        <f>B69*10000/B62</f>
        <v>-0.05420730136661931</v>
      </c>
      <c r="C109" s="167">
        <f>C69*10000/C62</f>
        <v>0.04664306600587281</v>
      </c>
      <c r="D109" s="167">
        <f>D69*10000/D62</f>
        <v>0.12212142360302711</v>
      </c>
      <c r="E109" s="167">
        <f>E69*10000/E62</f>
        <v>0.03961381204248399</v>
      </c>
      <c r="F109" s="167">
        <f>F69*10000/F62</f>
        <v>0.03723438303539432</v>
      </c>
      <c r="G109" s="167">
        <f>AVERAGE(C109:E109)</f>
        <v>0.06945943388379464</v>
      </c>
      <c r="H109" s="167">
        <f>STDEV(C109:E109)</f>
        <v>0.04574184598058832</v>
      </c>
      <c r="I109" s="167">
        <f>(B109*B4+C109*C4+D109*D4+E109*E4+F109*F4)/SUM(B4:F4)</f>
        <v>0.04727739633399439</v>
      </c>
    </row>
    <row r="110" spans="1:11" ht="12.75">
      <c r="A110" s="167" t="s">
        <v>170</v>
      </c>
      <c r="B110" s="167">
        <f>B70*10000/B62</f>
        <v>-0.39439599979126866</v>
      </c>
      <c r="C110" s="167">
        <f>C70*10000/C62</f>
        <v>-0.10247151058611134</v>
      </c>
      <c r="D110" s="167">
        <f>D70*10000/D62</f>
        <v>-0.05226428498686357</v>
      </c>
      <c r="E110" s="167">
        <f>E70*10000/E62</f>
        <v>-0.09736732732011075</v>
      </c>
      <c r="F110" s="167">
        <f>F70*10000/F62</f>
        <v>-0.3336946067955372</v>
      </c>
      <c r="G110" s="167">
        <f>AVERAGE(C110:E110)</f>
        <v>-0.08403437429769522</v>
      </c>
      <c r="H110" s="167">
        <f>STDEV(C110:E110)</f>
        <v>0.027631813237949006</v>
      </c>
      <c r="I110" s="167">
        <f>(B110*B4+C110*C4+D110*D4+E110*E4+F110*F4)/SUM(B4:F4)</f>
        <v>-0.162273478958156</v>
      </c>
      <c r="K110" s="167">
        <f>EXP(AVERAGE(K103:K107))</f>
        <v>0.012795264325520144</v>
      </c>
    </row>
    <row r="111" spans="1:9" ht="12.75">
      <c r="A111" s="167" t="s">
        <v>171</v>
      </c>
      <c r="B111" s="167">
        <f>B71*10000/B62</f>
        <v>-0.037555423457914</v>
      </c>
      <c r="C111" s="167">
        <f>C71*10000/C62</f>
        <v>-0.02923337478700311</v>
      </c>
      <c r="D111" s="167">
        <f>D71*10000/D62</f>
        <v>-0.016044257537045747</v>
      </c>
      <c r="E111" s="167">
        <f>E71*10000/E62</f>
        <v>-0.003321600834536929</v>
      </c>
      <c r="F111" s="167">
        <f>F71*10000/F62</f>
        <v>-0.029476393920388425</v>
      </c>
      <c r="G111" s="167">
        <f>AVERAGE(C111:E111)</f>
        <v>-0.016199744386195262</v>
      </c>
      <c r="H111" s="167">
        <f>STDEV(C111:E111)</f>
        <v>0.01295658672108979</v>
      </c>
      <c r="I111" s="167">
        <f>(B111*B4+C111*C4+D111*D4+E111*E4+F111*F4)/SUM(B4:F4)</f>
        <v>-0.021063174436542154</v>
      </c>
    </row>
    <row r="112" spans="1:9" ht="12.75">
      <c r="A112" s="167" t="s">
        <v>172</v>
      </c>
      <c r="B112" s="167">
        <f>B72*10000/B62</f>
        <v>-0.04113273797971343</v>
      </c>
      <c r="C112" s="167">
        <f>C72*10000/C62</f>
        <v>-0.004925448142334389</v>
      </c>
      <c r="D112" s="167">
        <f>D72*10000/D62</f>
        <v>-0.040763558683657386</v>
      </c>
      <c r="E112" s="167">
        <f>E72*10000/E62</f>
        <v>-0.02715804726365389</v>
      </c>
      <c r="F112" s="167">
        <f>F72*10000/F62</f>
        <v>-0.04972763515384864</v>
      </c>
      <c r="G112" s="167">
        <f>AVERAGE(C112:E112)</f>
        <v>-0.02428235136321522</v>
      </c>
      <c r="H112" s="167">
        <f>STDEV(C112:E112)</f>
        <v>0.018091289671465425</v>
      </c>
      <c r="I112" s="167">
        <f>(B112*B4+C112*C4+D112*D4+E112*E4+F112*F4)/SUM(B4:F4)</f>
        <v>-0.030118598964979933</v>
      </c>
    </row>
    <row r="113" spans="1:9" ht="12.75">
      <c r="A113" s="167" t="s">
        <v>173</v>
      </c>
      <c r="B113" s="167">
        <f>B73*10000/B62</f>
        <v>0.01795813940155442</v>
      </c>
      <c r="C113" s="167">
        <f>C73*10000/C62</f>
        <v>-0.014143224077191667</v>
      </c>
      <c r="D113" s="167">
        <f>D73*10000/D62</f>
        <v>0.007104832647248406</v>
      </c>
      <c r="E113" s="167">
        <f>E73*10000/E62</f>
        <v>-0.007040423191631577</v>
      </c>
      <c r="F113" s="167">
        <f>F73*10000/F62</f>
        <v>0.011627066468024085</v>
      </c>
      <c r="G113" s="167">
        <f>AVERAGE(C113:E113)</f>
        <v>-0.004692938207191613</v>
      </c>
      <c r="H113" s="167">
        <f>STDEV(C113:E113)</f>
        <v>0.010816792174918776</v>
      </c>
      <c r="I113" s="167">
        <f>(B113*B4+C113*C4+D113*D4+E113*E4+F113*F4)/SUM(B4:F4)</f>
        <v>0.0007625272848617052</v>
      </c>
    </row>
    <row r="114" spans="1:11" ht="12.75">
      <c r="A114" s="167" t="s">
        <v>174</v>
      </c>
      <c r="B114" s="167">
        <f>B74*10000/B62</f>
        <v>-0.18551212824127783</v>
      </c>
      <c r="C114" s="167">
        <f>C74*10000/C62</f>
        <v>-0.17020042807363814</v>
      </c>
      <c r="D114" s="167">
        <f>D74*10000/D62</f>
        <v>-0.1682404914833523</v>
      </c>
      <c r="E114" s="167">
        <f>E74*10000/E62</f>
        <v>-0.16901275049671224</v>
      </c>
      <c r="F114" s="167">
        <f>F74*10000/F62</f>
        <v>-0.13782605881803614</v>
      </c>
      <c r="G114" s="167">
        <f>AVERAGE(C114:E114)</f>
        <v>-0.16915122335123423</v>
      </c>
      <c r="H114" s="167">
        <f>STDEV(C114:E114)</f>
        <v>0.0009872785362124664</v>
      </c>
      <c r="I114" s="167">
        <f>(B114*B4+C114*C4+D114*D4+E114*E4+F114*F4)/SUM(B4:F4)</f>
        <v>-0.16732750450319941</v>
      </c>
      <c r="J114" s="167" t="s">
        <v>192</v>
      </c>
      <c r="K114" s="167">
        <v>285</v>
      </c>
    </row>
    <row r="115" spans="1:11" ht="12.75">
      <c r="A115" s="167" t="s">
        <v>175</v>
      </c>
      <c r="B115" s="167">
        <f>B75*10000/B62</f>
        <v>-0.004869210045831414</v>
      </c>
      <c r="C115" s="167">
        <f>C75*10000/C62</f>
        <v>-0.003152442877899096</v>
      </c>
      <c r="D115" s="167">
        <f>D75*10000/D62</f>
        <v>-0.007030954301106746</v>
      </c>
      <c r="E115" s="167">
        <f>E75*10000/E62</f>
        <v>-0.002977824330049665</v>
      </c>
      <c r="F115" s="167">
        <f>F75*10000/F62</f>
        <v>0.003941202745355073</v>
      </c>
      <c r="G115" s="167">
        <f>AVERAGE(C115:E115)</f>
        <v>-0.004387073836351836</v>
      </c>
      <c r="H115" s="167">
        <f>STDEV(C115:E115)</f>
        <v>0.002291331674648553</v>
      </c>
      <c r="I115" s="167">
        <f>(B115*B4+C115*C4+D115*D4+E115*E4+F115*F4)/SUM(B4:F4)</f>
        <v>-0.003343203097413518</v>
      </c>
      <c r="J115" s="167" t="s">
        <v>193</v>
      </c>
      <c r="K115" s="167">
        <v>0.5536</v>
      </c>
    </row>
    <row r="118" ht="12.75">
      <c r="A118" s="167" t="s">
        <v>158</v>
      </c>
    </row>
    <row r="120" spans="2:9" ht="12.75">
      <c r="B120" s="167" t="s">
        <v>85</v>
      </c>
      <c r="C120" s="167" t="s">
        <v>86</v>
      </c>
      <c r="D120" s="167" t="s">
        <v>87</v>
      </c>
      <c r="E120" s="167" t="s">
        <v>88</v>
      </c>
      <c r="F120" s="167" t="s">
        <v>89</v>
      </c>
      <c r="G120" s="167" t="s">
        <v>160</v>
      </c>
      <c r="H120" s="167" t="s">
        <v>161</v>
      </c>
      <c r="I120" s="167" t="s">
        <v>156</v>
      </c>
    </row>
    <row r="121" spans="1:9" ht="12.75">
      <c r="A121" s="167" t="s">
        <v>176</v>
      </c>
      <c r="B121" s="167">
        <f>B81*10000/B62</f>
        <v>0</v>
      </c>
      <c r="C121" s="167">
        <f>C81*10000/C62</f>
        <v>0</v>
      </c>
      <c r="D121" s="167">
        <f>D81*10000/D62</f>
        <v>0</v>
      </c>
      <c r="E121" s="167">
        <f>E81*10000/E62</f>
        <v>0</v>
      </c>
      <c r="F121" s="167">
        <f>F81*10000/F62</f>
        <v>0</v>
      </c>
      <c r="G121" s="167">
        <f>AVERAGE(C121:E121)</f>
        <v>0</v>
      </c>
      <c r="H121" s="167">
        <f>STDEV(C121:E121)</f>
        <v>0</v>
      </c>
      <c r="I121" s="167">
        <f>(B121*B4+C121*C4+D121*D4+E121*E4+F121*F4)/SUM(B4:F4)</f>
        <v>0</v>
      </c>
    </row>
    <row r="122" spans="1:9" ht="12.75">
      <c r="A122" s="167" t="s">
        <v>177</v>
      </c>
      <c r="B122" s="167">
        <f>B82*10000/B62</f>
        <v>73.2104824035202</v>
      </c>
      <c r="C122" s="167">
        <f>C82*10000/C62</f>
        <v>36.765648962586944</v>
      </c>
      <c r="D122" s="167">
        <f>D82*10000/D62</f>
        <v>-3.76018011609296</v>
      </c>
      <c r="E122" s="167">
        <f>E82*10000/E62</f>
        <v>-28.70854930191628</v>
      </c>
      <c r="F122" s="167">
        <f>F82*10000/F62</f>
        <v>-89.68385258133743</v>
      </c>
      <c r="G122" s="167">
        <f>AVERAGE(C122:E122)</f>
        <v>1.4323065148592349</v>
      </c>
      <c r="H122" s="167">
        <f>STDEV(C122:E122)</f>
        <v>33.04450177645794</v>
      </c>
      <c r="I122" s="167">
        <f>(B122*B4+C122*C4+D122*D4+E122*E4+F122*F4)/SUM(B4:F4)</f>
        <v>-0.37236324781278884</v>
      </c>
    </row>
    <row r="123" spans="1:9" ht="12.75">
      <c r="A123" s="167" t="s">
        <v>178</v>
      </c>
      <c r="B123" s="167">
        <f>B83*10000/B62</f>
        <v>6.594847957980286</v>
      </c>
      <c r="C123" s="167">
        <f>C83*10000/C62</f>
        <v>0.1552647051912385</v>
      </c>
      <c r="D123" s="167">
        <f>D83*10000/D62</f>
        <v>0.03779207698291844</v>
      </c>
      <c r="E123" s="167">
        <f>E83*10000/E62</f>
        <v>0.1725768611570857</v>
      </c>
      <c r="F123" s="167">
        <f>F83*10000/F62</f>
        <v>9.90215428210048</v>
      </c>
      <c r="G123" s="167">
        <f>AVERAGE(C123:E123)</f>
        <v>0.12187788111041421</v>
      </c>
      <c r="H123" s="167">
        <f>STDEV(C123:E123)</f>
        <v>0.07333310662908088</v>
      </c>
      <c r="I123" s="167">
        <f>(B123*B4+C123*C4+D123*D4+E123*E4+F123*F4)/SUM(B4:F4)</f>
        <v>2.3651343665488485</v>
      </c>
    </row>
    <row r="124" spans="1:9" ht="12.75">
      <c r="A124" s="167" t="s">
        <v>179</v>
      </c>
      <c r="B124" s="167">
        <f>B84*10000/B62</f>
        <v>3.5526518646593686</v>
      </c>
      <c r="C124" s="167">
        <f>C84*10000/C62</f>
        <v>3.912575434725063</v>
      </c>
      <c r="D124" s="167">
        <f>D84*10000/D62</f>
        <v>2.97762128542254</v>
      </c>
      <c r="E124" s="167">
        <f>E84*10000/E62</f>
        <v>2.6438994472739568</v>
      </c>
      <c r="F124" s="167">
        <f>F84*10000/F62</f>
        <v>3.575699657634116</v>
      </c>
      <c r="G124" s="167">
        <f>AVERAGE(C124:E124)</f>
        <v>3.1780320558071864</v>
      </c>
      <c r="H124" s="167">
        <f>STDEV(C124:E124)</f>
        <v>0.6576534406116835</v>
      </c>
      <c r="I124" s="167">
        <f>(B124*B4+C124*C4+D124*D4+E124*E4+F124*F4)/SUM(B4:F4)</f>
        <v>3.285429311005794</v>
      </c>
    </row>
    <row r="125" spans="1:9" ht="12.75">
      <c r="A125" s="167" t="s">
        <v>180</v>
      </c>
      <c r="B125" s="167">
        <f>B85*10000/B62</f>
        <v>1.993241609211167</v>
      </c>
      <c r="C125" s="167">
        <f>C85*10000/C62</f>
        <v>-0.0940528854858637</v>
      </c>
      <c r="D125" s="167">
        <f>D85*10000/D62</f>
        <v>-0.23742363925631818</v>
      </c>
      <c r="E125" s="167">
        <f>E85*10000/E62</f>
        <v>-0.14964413826691975</v>
      </c>
      <c r="F125" s="167">
        <f>F85*10000/F62</f>
        <v>-0.43772863103220544</v>
      </c>
      <c r="G125" s="167">
        <f>AVERAGE(C125:E125)</f>
        <v>-0.1603735543363672</v>
      </c>
      <c r="H125" s="167">
        <f>STDEV(C125:E125)</f>
        <v>0.07228508515641772</v>
      </c>
      <c r="I125" s="167">
        <f>(B125*B4+C125*C4+D125*D4+E125*E4+F125*F4)/SUM(B4:F4)</f>
        <v>0.11380982266405902</v>
      </c>
    </row>
    <row r="126" spans="1:9" ht="12.75">
      <c r="A126" s="167" t="s">
        <v>181</v>
      </c>
      <c r="B126" s="167">
        <f>B86*10000/B62</f>
        <v>0.8741608564967984</v>
      </c>
      <c r="C126" s="167">
        <f>C86*10000/C62</f>
        <v>-0.015070057028656846</v>
      </c>
      <c r="D126" s="167">
        <f>D86*10000/D62</f>
        <v>0.15020727070683657</v>
      </c>
      <c r="E126" s="167">
        <f>E86*10000/E62</f>
        <v>0.13785160086250864</v>
      </c>
      <c r="F126" s="167">
        <f>F86*10000/F62</f>
        <v>1.7293540168503538</v>
      </c>
      <c r="G126" s="167">
        <f>AVERAGE(C126:E126)</f>
        <v>0.09099627151356278</v>
      </c>
      <c r="H126" s="167">
        <f>STDEV(C126:E126)</f>
        <v>0.0920636474518855</v>
      </c>
      <c r="I126" s="167">
        <f>(B126*B4+C126*C4+D126*D4+E126*E4+F126*F4)/SUM(B4:F4)</f>
        <v>0.42324143793982383</v>
      </c>
    </row>
    <row r="127" spans="1:9" ht="12.75">
      <c r="A127" s="167" t="s">
        <v>182</v>
      </c>
      <c r="B127" s="167">
        <f>B87*10000/B62</f>
        <v>0.33769120923281437</v>
      </c>
      <c r="C127" s="167">
        <f>C87*10000/C62</f>
        <v>0.298315841509706</v>
      </c>
      <c r="D127" s="167">
        <f>D87*10000/D62</f>
        <v>0.06788808439802788</v>
      </c>
      <c r="E127" s="167">
        <f>E87*10000/E62</f>
        <v>0.24230694597456562</v>
      </c>
      <c r="F127" s="167">
        <f>F87*10000/F62</f>
        <v>0.48947246487200846</v>
      </c>
      <c r="G127" s="167">
        <f>AVERAGE(C127:E127)</f>
        <v>0.2028369572940998</v>
      </c>
      <c r="H127" s="167">
        <f>STDEV(C127:E127)</f>
        <v>0.12017756785984113</v>
      </c>
      <c r="I127" s="167">
        <f>(B127*B4+C127*C4+D127*D4+E127*E4+F127*F4)/SUM(B4:F4)</f>
        <v>0.2606569493115107</v>
      </c>
    </row>
    <row r="128" spans="1:9" ht="12.75">
      <c r="A128" s="167" t="s">
        <v>183</v>
      </c>
      <c r="B128" s="167">
        <f>B88*10000/B62</f>
        <v>0.07751714386992413</v>
      </c>
      <c r="C128" s="167">
        <f>C88*10000/C62</f>
        <v>0.250538296234295</v>
      </c>
      <c r="D128" s="167">
        <f>D88*10000/D62</f>
        <v>0.2561779953005797</v>
      </c>
      <c r="E128" s="167">
        <f>E88*10000/E62</f>
        <v>-0.01102079018314825</v>
      </c>
      <c r="F128" s="167">
        <f>F88*10000/F62</f>
        <v>0.2991557339492852</v>
      </c>
      <c r="G128" s="167">
        <f>AVERAGE(C128:E128)</f>
        <v>0.16523183378390882</v>
      </c>
      <c r="H128" s="167">
        <f>STDEV(C128:E128)</f>
        <v>0.152665294493687</v>
      </c>
      <c r="I128" s="167">
        <f>(B128*B4+C128*C4+D128*D4+E128*E4+F128*F4)/SUM(B4:F4)</f>
        <v>0.1704779023991663</v>
      </c>
    </row>
    <row r="129" spans="1:9" ht="12.75">
      <c r="A129" s="167" t="s">
        <v>184</v>
      </c>
      <c r="B129" s="167">
        <f>B89*10000/B62</f>
        <v>0.0777912670873417</v>
      </c>
      <c r="C129" s="167">
        <f>C89*10000/C62</f>
        <v>0.04580852160125856</v>
      </c>
      <c r="D129" s="167">
        <f>D89*10000/D62</f>
        <v>-0.018350875700175556</v>
      </c>
      <c r="E129" s="167">
        <f>E89*10000/E62</f>
        <v>-0.02259138237934698</v>
      </c>
      <c r="F129" s="167">
        <f>F89*10000/F62</f>
        <v>0.08313160434836983</v>
      </c>
      <c r="G129" s="167">
        <f>AVERAGE(C129:E129)</f>
        <v>0.001622087840578675</v>
      </c>
      <c r="H129" s="167">
        <f>STDEV(C129:E129)</f>
        <v>0.03832526804327972</v>
      </c>
      <c r="I129" s="167">
        <f>(B129*B4+C129*C4+D129*D4+E129*E4+F129*F4)/SUM(B4:F4)</f>
        <v>0.023533851924351264</v>
      </c>
    </row>
    <row r="130" spans="1:9" ht="12.75">
      <c r="A130" s="167" t="s">
        <v>185</v>
      </c>
      <c r="B130" s="167">
        <f>B90*10000/B62</f>
        <v>0.020032011958377314</v>
      </c>
      <c r="C130" s="167">
        <f>C90*10000/C62</f>
        <v>0.05535879445087157</v>
      </c>
      <c r="D130" s="167">
        <f>D90*10000/D62</f>
        <v>0.06459352826753492</v>
      </c>
      <c r="E130" s="167">
        <f>E90*10000/E62</f>
        <v>-0.05458125412223845</v>
      </c>
      <c r="F130" s="167">
        <f>F90*10000/F62</f>
        <v>0.21617657301566717</v>
      </c>
      <c r="G130" s="167">
        <f>AVERAGE(C130:E130)</f>
        <v>0.021790356198722684</v>
      </c>
      <c r="H130" s="167">
        <f>STDEV(C130:E130)</f>
        <v>0.06630073321184848</v>
      </c>
      <c r="I130" s="167">
        <f>(B130*B4+C130*C4+D130*D4+E130*E4+F130*F4)/SUM(B4:F4)</f>
        <v>0.0475344505770458</v>
      </c>
    </row>
    <row r="131" spans="1:9" ht="12.75">
      <c r="A131" s="167" t="s">
        <v>186</v>
      </c>
      <c r="B131" s="167">
        <f>B91*10000/B62</f>
        <v>0.04239337747723897</v>
      </c>
      <c r="C131" s="167">
        <f>C91*10000/C62</f>
        <v>0.039337749089934385</v>
      </c>
      <c r="D131" s="167">
        <f>D91*10000/D62</f>
        <v>0.06835460836082081</v>
      </c>
      <c r="E131" s="167">
        <f>E91*10000/E62</f>
        <v>0.06553937514098897</v>
      </c>
      <c r="F131" s="167">
        <f>F91*10000/F62</f>
        <v>0.08095866948330416</v>
      </c>
      <c r="G131" s="167">
        <f>AVERAGE(C131:E131)</f>
        <v>0.05774391086391473</v>
      </c>
      <c r="H131" s="167">
        <f>STDEV(C131:E131)</f>
        <v>0.016002233530290746</v>
      </c>
      <c r="I131" s="167">
        <f>(B131*B4+C131*C4+D131*D4+E131*E4+F131*F4)/SUM(B4:F4)</f>
        <v>0.05862762375566083</v>
      </c>
    </row>
    <row r="132" spans="1:9" ht="12.75">
      <c r="A132" s="167" t="s">
        <v>187</v>
      </c>
      <c r="B132" s="167">
        <f>B92*10000/B62</f>
        <v>-0.009225090667930601</v>
      </c>
      <c r="C132" s="167">
        <f>C92*10000/C62</f>
        <v>0.0016107860443793794</v>
      </c>
      <c r="D132" s="167">
        <f>D92*10000/D62</f>
        <v>0.05256072290208226</v>
      </c>
      <c r="E132" s="167">
        <f>E92*10000/E62</f>
        <v>-0.010882038032817797</v>
      </c>
      <c r="F132" s="167">
        <f>F92*10000/F62</f>
        <v>0.010803104159628634</v>
      </c>
      <c r="G132" s="167">
        <f>AVERAGE(C132:E132)</f>
        <v>0.014429823637881279</v>
      </c>
      <c r="H132" s="167">
        <f>STDEV(C132:E132)</f>
        <v>0.03360791234781523</v>
      </c>
      <c r="I132" s="167">
        <f>(B132*B4+C132*C4+D132*D4+E132*E4+F132*F4)/SUM(B4:F4)</f>
        <v>0.010526824211989135</v>
      </c>
    </row>
    <row r="133" spans="1:9" ht="12.75">
      <c r="A133" s="167" t="s">
        <v>188</v>
      </c>
      <c r="B133" s="167">
        <f>B93*10000/B62</f>
        <v>-0.06555388479922032</v>
      </c>
      <c r="C133" s="167">
        <f>C93*10000/C62</f>
        <v>-0.05507139882549201</v>
      </c>
      <c r="D133" s="167">
        <f>D93*10000/D62</f>
        <v>-0.051005048029300205</v>
      </c>
      <c r="E133" s="167">
        <f>E93*10000/E62</f>
        <v>-0.05009440894956892</v>
      </c>
      <c r="F133" s="167">
        <f>F93*10000/F62</f>
        <v>-0.05158758844077228</v>
      </c>
      <c r="G133" s="167">
        <f>AVERAGE(C133:E133)</f>
        <v>-0.052056951934787044</v>
      </c>
      <c r="H133" s="167">
        <f>STDEV(C133:E133)</f>
        <v>0.0026499968728365972</v>
      </c>
      <c r="I133" s="167">
        <f>(B133*B4+C133*C4+D133*D4+E133*E4+F133*F4)/SUM(B4:F4)</f>
        <v>-0.05394524109266352</v>
      </c>
    </row>
    <row r="134" spans="1:9" ht="12.75">
      <c r="A134" s="167" t="s">
        <v>189</v>
      </c>
      <c r="B134" s="167">
        <f>B94*10000/B62</f>
        <v>-0.008207318510711636</v>
      </c>
      <c r="C134" s="167">
        <f>C94*10000/C62</f>
        <v>0.005807377412042474</v>
      </c>
      <c r="D134" s="167">
        <f>D94*10000/D62</f>
        <v>0.004279345410849933</v>
      </c>
      <c r="E134" s="167">
        <f>E94*10000/E62</f>
        <v>0.0026778779661925734</v>
      </c>
      <c r="F134" s="167">
        <f>F94*10000/F62</f>
        <v>-0.020040695122643427</v>
      </c>
      <c r="G134" s="167">
        <f>AVERAGE(C134:E134)</f>
        <v>0.004254866929694993</v>
      </c>
      <c r="H134" s="167">
        <f>STDEV(C134:E134)</f>
        <v>0.0015648933166268724</v>
      </c>
      <c r="I134" s="167">
        <f>(B134*B4+C134*C4+D134*D4+E134*E4+F134*F4)/SUM(B4:F4)</f>
        <v>-0.0007946436110859065</v>
      </c>
    </row>
    <row r="135" spans="1:9" ht="12.75">
      <c r="A135" s="167" t="s">
        <v>190</v>
      </c>
      <c r="B135" s="167">
        <f>B95*10000/B62</f>
        <v>-0.003140265425813863</v>
      </c>
      <c r="C135" s="167">
        <f>C95*10000/C62</f>
        <v>-0.006573702481760696</v>
      </c>
      <c r="D135" s="167">
        <f>D95*10000/D62</f>
        <v>-0.0070785024519221754</v>
      </c>
      <c r="E135" s="167">
        <f>E95*10000/E62</f>
        <v>-0.006759057971982042</v>
      </c>
      <c r="F135" s="167">
        <f>F95*10000/F62</f>
        <v>0.006872897193151693</v>
      </c>
      <c r="G135" s="167">
        <f>AVERAGE(C135:E135)</f>
        <v>-0.006803754301888305</v>
      </c>
      <c r="H135" s="167">
        <f>STDEV(C135:E135)</f>
        <v>0.0002553508838814984</v>
      </c>
      <c r="I135" s="167">
        <f>(B135*B4+C135*C4+D135*D4+E135*E4+F135*F4)/SUM(B4:F4)</f>
        <v>-0.00444556218672221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2003-10-23T07:46:56Z</cp:lastPrinted>
  <dcterms:created xsi:type="dcterms:W3CDTF">1999-06-17T15:15:05Z</dcterms:created>
  <dcterms:modified xsi:type="dcterms:W3CDTF">2005-10-04T11:34:31Z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-1417462532</vt:i4>
  </property>
  <property fmtid="{D5CDD505-2E9C-101B-9397-08002B2CF9AE}" pid="3" name="_EmailSubject">
    <vt:lpwstr>WFM result of aperture 113, 114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PreviousAdHocReviewCycleID">
    <vt:i4>1421584721</vt:i4>
  </property>
  <property fmtid="{D5CDD505-2E9C-101B-9397-08002B2CF9AE}" pid="7" name="_ReviewingToolsShownOnce">
    <vt:lpwstr/>
  </property>
</Properties>
</file>