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16_pos1ap2" sheetId="2" r:id="rId2"/>
    <sheet name="HCMQAP116_pos2ap2" sheetId="3" r:id="rId3"/>
    <sheet name="HCMQAP116_pos3ap2" sheetId="4" r:id="rId4"/>
    <sheet name="HCMQAP116_pos4ap2" sheetId="5" r:id="rId5"/>
    <sheet name="HCMQAP116_pos5ap2" sheetId="6" r:id="rId6"/>
    <sheet name="Lmag_hcmqap" sheetId="7" r:id="rId7"/>
    <sheet name="Result_HCMQAP" sheetId="8" r:id="rId8"/>
  </sheets>
  <definedNames>
    <definedName name="_xlnm.Print_Area" localSheetId="1">'HCMQAP116_pos1ap2'!$A$1:$N$28</definedName>
    <definedName name="_xlnm.Print_Area" localSheetId="2">'HCMQAP116_pos2ap2'!$A$1:$N$28</definedName>
    <definedName name="_xlnm.Print_Area" localSheetId="3">'HCMQAP116_pos3ap2'!$A$1:$N$28</definedName>
    <definedName name="_xlnm.Print_Area" localSheetId="4">'HCMQAP116_pos4ap2'!$A$1:$N$28</definedName>
    <definedName name="_xlnm.Print_Area" localSheetId="5">'HCMQAP116_pos5ap2'!$A$1:$N$28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<sst xmlns="http://schemas.openxmlformats.org/spreadsheetml/2006/main" count="510" uniqueCount="188">
  <si>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</si>
  <si>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</si>
  <si>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</si>
  <si>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</si>
  <si>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</si>
  <si>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</si>
  <si>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</si>
  <si>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</si>
  <si>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</si>
  <si>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</si>
  <si>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</si>
  <si>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</si>
  <si>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</si>
  <si>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</si>
  <si>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</si>
  <si>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hcmqap116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</si>
  <si>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</si>
  <si>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</si>
  <si>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</si>
  <si>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</si>
  <si>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</si>
  <si>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</si>
  <si>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</si>
  <si>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</si>
  <si>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</si>
  <si>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</si>
  <si>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</si>
  <si>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</si>
  <si>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</si>
  <si>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</si>
  <si>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</si>
  <si>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</si>
  <si>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</si>
  <si>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</si>
  <si>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</si>
  <si>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</si>
  <si>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</si>
  <si>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</si>
  <si>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</si>
  <si>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</si>
  <si>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</si>
  <si>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</si>
  <si>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</si>
  <si>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</si>
  <si>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</si>
  <si>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</si>
  <si>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</si>
  <si>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</si>
  <si>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</si>
  <si>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</si>
  <si>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</si>
  <si>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</si>
  <si>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</si>
  <si>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</si>
  <si>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</si>
  <si>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</si>
  <si>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</si>
  <si>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</si>
  <si>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</si>
  <si>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</si>
  <si>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</si>
  <si>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</si>
  <si>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</si>
  <si>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</si>
  <si>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</si>
  <si>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</si>
  <si>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</si>
  <si>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</si>
  <si>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HCMQAP116_pos1ap2</t>
  </si>
  <si>
    <t>30/10/2003</t>
  </si>
  <si>
    <t>±12.5</t>
  </si>
  <si>
    <t>THCMQAP116_pos1ap2.xls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</si>
  <si>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</si>
  <si>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HCMQAP116_pos2ap2</t>
  </si>
  <si>
    <t>THCMQAP116_pos2ap2.xls</t>
  </si>
  <si>
    <t>HCMQAP116_pos3ap2</t>
  </si>
  <si>
    <t>THCMQAP116_pos3ap2.xls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</si>
  <si>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-3.752 mT)</t>
    </r>
  </si>
  <si>
    <t>HCMQAP116_pos4ap2</t>
  </si>
  <si>
    <t>THCMQAP116_pos4ap2.xls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</si>
  <si>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</si>
  <si>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HCMQAP116_pos5ap2</t>
  </si>
  <si>
    <t>THCMQAP116_pos5ap2.xls</t>
  </si>
  <si>
    <t>Sommaire : Valeurs intégrales calculées avec les fichiers: HCMQAP116_pos1ap2+HCMQAP116_pos2ap2+HCMQAP116_pos3ap2+HCMQAP116_pos4ap2+HCMQAP116_pos5ap2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</si>
  <si>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</si>
  <si>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</si>
  <si>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</si>
  <si>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</si>
  <si>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</si>
  <si>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</si>
  <si>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</si>
  <si>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</si>
  <si>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</si>
  <si>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</si>
  <si>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</si>
  <si>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</si>
  <si>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</si>
  <si>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</si>
  <si>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</si>
  <si>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</si>
  <si>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</si>
  <si>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</si>
  <si>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</si>
  <si>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</si>
  <si>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</si>
  <si>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</si>
  <si>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</si>
  <si>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</si>
  <si>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</si>
  <si>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</si>
  <si>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</si>
  <si>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</si>
  <si>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</si>
  <si>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</si>
  <si>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</si>
  <si>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</si>
  <si>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</si>
  <si>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</si>
  <si>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</si>
  <si>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</si>
  <si>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</si>
  <si>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</si>
  <si>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</si>
  <si>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</si>
  <si>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</si>
  <si>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</si>
  <si>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</si>
  <si>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=-3.751</t>
    </r>
  </si>
  <si>
    <t>Gradient (T/m)</t>
  </si>
  <si>
    <t xml:space="preserve"> Thu 30/10/2003       12:01:38</t>
  </si>
  <si>
    <t>SIEGMUND</t>
  </si>
  <si>
    <t>HCMQAP116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</si>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</sst>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3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1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2.0664995999999998</c:v>
                </c:pt>
                <c:pt idx="1">
                  <c:v>-1.04026212</c:v>
                </c:pt>
                <c:pt idx="2">
                  <c:v>0.16383754</c:v>
                </c:pt>
                <c:pt idx="3">
                  <c:v>-0.33649423</c:v>
                </c:pt>
                <c:pt idx="4">
                  <c:v>-6.984219300000001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-2.8914446000000003</c:v>
                </c:pt>
                <c:pt idx="1">
                  <c:v>-1.6101332999999998</c:v>
                </c:pt>
                <c:pt idx="2">
                  <c:v>1.1916709</c:v>
                </c:pt>
                <c:pt idx="3">
                  <c:v>-0.18547591700000002</c:v>
                </c:pt>
                <c:pt idx="4">
                  <c:v>6.022543799999999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4.0641935</c:v>
                </c:pt>
                <c:pt idx="1">
                  <c:v>4.285590900000001</c:v>
                </c:pt>
                <c:pt idx="2">
                  <c:v>4.7212316</c:v>
                </c:pt>
                <c:pt idx="3">
                  <c:v>4.3442336</c:v>
                </c:pt>
                <c:pt idx="4">
                  <c:v>14.834338000000002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1.2759065999999997</c:v>
                </c:pt>
                <c:pt idx="1">
                  <c:v>-0.28834188</c:v>
                </c:pt>
                <c:pt idx="2">
                  <c:v>-0.38639957</c:v>
                </c:pt>
                <c:pt idx="3">
                  <c:v>-0.13753271</c:v>
                </c:pt>
                <c:pt idx="4">
                  <c:v>1.1138213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Lmag_hcmqap!$A$5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Lmag_hcmqap!$B$5:$F$5</c:f>
              <c:numCache>
                <c:ptCount val="5"/>
                <c:pt idx="0">
                  <c:v>-0.36512265</c:v>
                </c:pt>
                <c:pt idx="1">
                  <c:v>-0.24960614999999997</c:v>
                </c:pt>
                <c:pt idx="2">
                  <c:v>-0.30534167</c:v>
                </c:pt>
                <c:pt idx="3">
                  <c:v>-0.36195379</c:v>
                </c:pt>
                <c:pt idx="4">
                  <c:v>-1.4593687000000002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Lmag_hcmqap!$A$18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Lmag_hcmqap!$B$18:$F$18</c:f>
              <c:numCache>
                <c:ptCount val="5"/>
                <c:pt idx="0">
                  <c:v>-2.1313423</c:v>
                </c:pt>
                <c:pt idx="1">
                  <c:v>0.16234741000000003</c:v>
                </c:pt>
                <c:pt idx="2">
                  <c:v>-0.19729099</c:v>
                </c:pt>
                <c:pt idx="3">
                  <c:v>-4.0510547</c:v>
                </c:pt>
                <c:pt idx="4">
                  <c:v>-0.27194063999999996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-0.65148195</c:v>
                </c:pt>
                <c:pt idx="1">
                  <c:v>-0.1815645473</c:v>
                </c:pt>
                <c:pt idx="2">
                  <c:v>-0.246584733</c:v>
                </c:pt>
                <c:pt idx="3">
                  <c:v>-0.229807905</c:v>
                </c:pt>
                <c:pt idx="4">
                  <c:v>-0.60991098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-0.122254723</c:v>
                </c:pt>
                <c:pt idx="1">
                  <c:v>-0.24343687000000003</c:v>
                </c:pt>
                <c:pt idx="2">
                  <c:v>0.37099788999999994</c:v>
                </c:pt>
                <c:pt idx="3">
                  <c:v>-0.0660605144</c:v>
                </c:pt>
                <c:pt idx="4">
                  <c:v>-1.3870987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96207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142875</xdr:rowOff>
    </xdr:from>
    <xdr:to>
      <xdr:col>6</xdr:col>
      <xdr:colOff>790575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52400" y="5962650"/>
        <a:ext cx="5324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2510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2510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2510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2510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2510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5.852438900000001E-05</v>
      </c>
      <c r="L2" s="54">
        <v>1.5524198353748232E-07</v>
      </c>
      <c r="M2" s="54">
        <v>6.678992300000001E-05</v>
      </c>
      <c r="N2" s="55">
        <v>1.7601127431315254E-07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-3.1363163000000004E-05</v>
      </c>
      <c r="L3" s="54">
        <v>1.1777919156516445E-07</v>
      </c>
      <c r="M3" s="54">
        <v>1.3494985000000001E-05</v>
      </c>
      <c r="N3" s="55">
        <v>2.736953799352024E-08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-0.0022540867257890215</v>
      </c>
      <c r="L4" s="54">
        <v>1.1663253720030281E-05</v>
      </c>
      <c r="M4" s="54">
        <v>4.228404492726643E-08</v>
      </c>
      <c r="N4" s="55">
        <v>-2.5871120000000003</v>
      </c>
    </row>
    <row r="5" spans="1:14" ht="15" customHeight="1" thickBot="1">
      <c r="A5" t="s">
        <v>18</v>
      </c>
      <c r="B5" s="58">
        <v>37924.479537037034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6" t="s">
        <v>27</v>
      </c>
      <c r="B8" s="71" t="s">
        <v>28</v>
      </c>
      <c r="D8" s="76">
        <v>2.0664995999999998</v>
      </c>
      <c r="E8" s="77">
        <v>0.011279192486182968</v>
      </c>
      <c r="F8" s="77">
        <v>-2.8914446000000003</v>
      </c>
      <c r="G8" s="77">
        <v>0.027650410111615523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-0.36512265</v>
      </c>
      <c r="E9" s="79">
        <v>0.00978531539215735</v>
      </c>
      <c r="F9" s="79">
        <v>-2.1313423</v>
      </c>
      <c r="G9" s="79">
        <v>0.017265466155306206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-0.65148195</v>
      </c>
      <c r="E10" s="79">
        <v>0.008035505724910985</v>
      </c>
      <c r="F10" s="79">
        <v>-0.122254723</v>
      </c>
      <c r="G10" s="79">
        <v>0.008357068676250363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4.0641935</v>
      </c>
      <c r="E11" s="77">
        <v>0.0067166192458767105</v>
      </c>
      <c r="F11" s="77">
        <v>1.2759065999999997</v>
      </c>
      <c r="G11" s="77">
        <v>0.011162156003240713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0.16383814000000002</v>
      </c>
      <c r="E12" s="79">
        <v>0.0065896148065267635</v>
      </c>
      <c r="F12" s="79">
        <v>-0.080844076</v>
      </c>
      <c r="G12" s="79">
        <v>0.006128600927137792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19.515992</v>
      </c>
      <c r="D13" s="82">
        <v>-0.071724038</v>
      </c>
      <c r="E13" s="79">
        <v>0.003870864436135241</v>
      </c>
      <c r="F13" s="79">
        <v>0.21390540000000002</v>
      </c>
      <c r="G13" s="79">
        <v>0.006563985602893315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-0.028902447199999997</v>
      </c>
      <c r="E14" s="79">
        <v>0.0027216471701999342</v>
      </c>
      <c r="F14" s="79">
        <v>0.08604115500000001</v>
      </c>
      <c r="G14" s="79">
        <v>0.0032367579682287184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-0.43287986</v>
      </c>
      <c r="E15" s="77">
        <v>0.0015278507523418716</v>
      </c>
      <c r="F15" s="77">
        <v>0.114376133</v>
      </c>
      <c r="G15" s="77">
        <v>0.002167109007054144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12.5068</v>
      </c>
      <c r="D16" s="82">
        <v>-0.0013900789</v>
      </c>
      <c r="E16" s="79">
        <v>0.0018607050527610603</v>
      </c>
      <c r="F16" s="79">
        <v>0.03794681</v>
      </c>
      <c r="G16" s="79">
        <v>0.0025264404581407138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-0.3019999861717224</v>
      </c>
      <c r="D17" s="82">
        <v>0.0025545679999999997</v>
      </c>
      <c r="E17" s="79">
        <v>0.0008324241379645355</v>
      </c>
      <c r="F17" s="79">
        <v>0.076809897</v>
      </c>
      <c r="G17" s="79">
        <v>0.0038646663278135407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19.836000442504883</v>
      </c>
      <c r="D18" s="82">
        <v>0.04822985</v>
      </c>
      <c r="E18" s="79">
        <v>0.0009326521580687928</v>
      </c>
      <c r="F18" s="79">
        <v>0.05299703</v>
      </c>
      <c r="G18" s="79">
        <v>0.00160782580902891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-0.35100001096725464</v>
      </c>
      <c r="D19" s="85">
        <v>-0.17526272</v>
      </c>
      <c r="E19" s="79">
        <v>0.0010771367961399866</v>
      </c>
      <c r="F19" s="79">
        <v>0.020786873</v>
      </c>
      <c r="G19" s="79">
        <v>0.0015637623807170818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0.4439763000000001</v>
      </c>
      <c r="D20" s="87">
        <v>0.00023823410000000004</v>
      </c>
      <c r="E20" s="88">
        <v>0.0012139343380574404</v>
      </c>
      <c r="F20" s="88">
        <v>-0.0008891108899999998</v>
      </c>
      <c r="G20" s="88">
        <v>0.001614610083918583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0.5014148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63</v>
      </c>
      <c r="B24" s="94">
        <v>-0.14823072393278564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64</v>
      </c>
      <c r="F25" s="100"/>
      <c r="G25" s="101"/>
      <c r="H25" s="102">
        <v>-2.2541169</v>
      </c>
      <c r="I25" s="100" t="s">
        <v>65</v>
      </c>
      <c r="J25" s="101"/>
      <c r="K25" s="100"/>
      <c r="L25" s="103">
        <v>4.259766009696519</v>
      </c>
    </row>
    <row r="26" spans="1:12" ht="18" customHeight="1" thickBot="1">
      <c r="A26" s="56" t="s">
        <v>48</v>
      </c>
      <c r="B26" s="57" t="s">
        <v>49</v>
      </c>
      <c r="E26" s="104" t="s">
        <v>66</v>
      </c>
      <c r="F26" s="105"/>
      <c r="G26" s="106"/>
      <c r="H26" s="107">
        <v>3.5539938761440375</v>
      </c>
      <c r="I26" s="105" t="s">
        <v>67</v>
      </c>
      <c r="J26" s="106"/>
      <c r="K26" s="105"/>
      <c r="L26" s="108">
        <v>0.44773527110744055</v>
      </c>
    </row>
    <row r="27" spans="1:2" ht="15" customHeight="1" thickBot="1" thickTop="1">
      <c r="A27" s="91" t="s">
        <v>50</v>
      </c>
      <c r="B27" s="92">
        <v>80</v>
      </c>
    </row>
    <row r="28" spans="1:14" s="2" customFormat="1" ht="18" customHeight="1" thickBot="1">
      <c r="A28" s="109" t="s">
        <v>51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HCMQAP116_pos1ap2res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9.705271500000002E-05</v>
      </c>
      <c r="L2" s="54">
        <v>2.3711957892610236E-07</v>
      </c>
      <c r="M2" s="54">
        <v>1.72986198E-05</v>
      </c>
      <c r="N2" s="55">
        <v>1.8942193082392567E-07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-2.9306164999999995E-05</v>
      </c>
      <c r="L3" s="54">
        <v>8.19405644980626E-08</v>
      </c>
      <c r="M3" s="54">
        <v>1.23257062E-05</v>
      </c>
      <c r="N3" s="55">
        <v>1.5862284984418275E-07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-0.003751023972502219</v>
      </c>
      <c r="L4" s="54">
        <v>-2.4364411408518285E-05</v>
      </c>
      <c r="M4" s="54">
        <v>5.561508768777396E-08</v>
      </c>
      <c r="N4" s="55">
        <v>3.2476557</v>
      </c>
    </row>
    <row r="5" spans="1:14" ht="15" customHeight="1" thickBot="1">
      <c r="A5" t="s">
        <v>18</v>
      </c>
      <c r="B5" s="58">
        <v>37924.48396990741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6" t="s">
        <v>27</v>
      </c>
      <c r="B8" s="71" t="s">
        <v>28</v>
      </c>
      <c r="D8" s="76">
        <v>-1.04026212</v>
      </c>
      <c r="E8" s="77">
        <v>0.01079691083957593</v>
      </c>
      <c r="F8" s="77">
        <v>-1.6101332999999998</v>
      </c>
      <c r="G8" s="77">
        <v>0.0073230163772317735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-0.24960614999999997</v>
      </c>
      <c r="E9" s="79">
        <v>0.004906594891268425</v>
      </c>
      <c r="F9" s="79">
        <v>0.16234741000000003</v>
      </c>
      <c r="G9" s="79">
        <v>0.014044763932846795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-0.1815645473</v>
      </c>
      <c r="E10" s="79">
        <v>0.006862892166659385</v>
      </c>
      <c r="F10" s="79">
        <v>-0.24343687000000003</v>
      </c>
      <c r="G10" s="79">
        <v>0.012216044211224422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4.285590900000001</v>
      </c>
      <c r="E11" s="77">
        <v>0.0018461220532189494</v>
      </c>
      <c r="F11" s="77">
        <v>-0.28834188</v>
      </c>
      <c r="G11" s="77">
        <v>0.002710119074064813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-0.27422797000000004</v>
      </c>
      <c r="E12" s="79">
        <v>0.003171809246090566</v>
      </c>
      <c r="F12" s="79">
        <v>0.00318228801</v>
      </c>
      <c r="G12" s="79">
        <v>0.0031286603679858377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19.476319</v>
      </c>
      <c r="D13" s="82">
        <v>-0.15446092</v>
      </c>
      <c r="E13" s="79">
        <v>0.001204704009124511</v>
      </c>
      <c r="F13" s="79">
        <v>0.08296659499999999</v>
      </c>
      <c r="G13" s="79">
        <v>0.0032965623346483852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-0.034675813</v>
      </c>
      <c r="E14" s="79">
        <v>0.0018737941770552511</v>
      </c>
      <c r="F14" s="79">
        <v>0.13274513000000002</v>
      </c>
      <c r="G14" s="79">
        <v>0.00426792559794522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-0.137403</v>
      </c>
      <c r="E15" s="77">
        <v>0.002184658248560418</v>
      </c>
      <c r="F15" s="77">
        <v>0.041364479999999995</v>
      </c>
      <c r="G15" s="77">
        <v>0.0017911216305879346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12.507</v>
      </c>
      <c r="D16" s="82">
        <v>0.0100142899</v>
      </c>
      <c r="E16" s="79">
        <v>0.0006819767674809199</v>
      </c>
      <c r="F16" s="79">
        <v>0.024978382</v>
      </c>
      <c r="G16" s="79">
        <v>0.0007515121551085743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0.4560000002384186</v>
      </c>
      <c r="D17" s="82">
        <v>0.0125759611</v>
      </c>
      <c r="E17" s="79">
        <v>0.0016413749499124696</v>
      </c>
      <c r="F17" s="79">
        <v>0.0120988716</v>
      </c>
      <c r="G17" s="79">
        <v>0.0012928751273808016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1.0169999599456787</v>
      </c>
      <c r="D18" s="82">
        <v>0.049419077000000006</v>
      </c>
      <c r="E18" s="79">
        <v>0.0012112998026191425</v>
      </c>
      <c r="F18" s="79">
        <v>0.013439529100000003</v>
      </c>
      <c r="G18" s="79">
        <v>0.0009867020896897555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0.382999986410141</v>
      </c>
      <c r="D19" s="85">
        <v>-0.15285131000000002</v>
      </c>
      <c r="E19" s="79">
        <v>0.0013769855752323603</v>
      </c>
      <c r="F19" s="79">
        <v>0.016001853</v>
      </c>
      <c r="G19" s="79">
        <v>0.0004817552201336272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0.43932420000000005</v>
      </c>
      <c r="D20" s="87">
        <v>0.0035891353</v>
      </c>
      <c r="E20" s="88">
        <v>0.00037565286144904835</v>
      </c>
      <c r="F20" s="88">
        <v>-0.00279023995</v>
      </c>
      <c r="G20" s="88">
        <v>0.0008830413872470582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0.0812453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63</v>
      </c>
      <c r="B24" s="94">
        <v>0.1860771220942262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64</v>
      </c>
      <c r="F25" s="100"/>
      <c r="G25" s="101"/>
      <c r="H25" s="102">
        <v>-3.7511031</v>
      </c>
      <c r="I25" s="100" t="s">
        <v>65</v>
      </c>
      <c r="J25" s="101"/>
      <c r="K25" s="100"/>
      <c r="L25" s="103">
        <v>4.295280014379126</v>
      </c>
    </row>
    <row r="26" spans="1:12" ht="18" customHeight="1" thickBot="1">
      <c r="A26" s="56" t="s">
        <v>48</v>
      </c>
      <c r="B26" s="57" t="s">
        <v>49</v>
      </c>
      <c r="E26" s="104" t="s">
        <v>66</v>
      </c>
      <c r="F26" s="105"/>
      <c r="G26" s="106"/>
      <c r="H26" s="107">
        <v>1.9169440581497896</v>
      </c>
      <c r="I26" s="105" t="s">
        <v>67</v>
      </c>
      <c r="J26" s="106"/>
      <c r="K26" s="105"/>
      <c r="L26" s="108">
        <v>0.14349426683554434</v>
      </c>
    </row>
    <row r="27" spans="1:2" ht="15" customHeight="1" thickBot="1" thickTop="1">
      <c r="A27" s="91" t="s">
        <v>50</v>
      </c>
      <c r="B27" s="92">
        <v>80</v>
      </c>
    </row>
    <row r="28" spans="1:14" s="2" customFormat="1" ht="18" customHeight="1" thickBot="1">
      <c r="A28" s="109" t="s">
        <v>51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HCMQAP116_pos2ap2res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7.833801399999998E-05</v>
      </c>
      <c r="L2" s="54">
        <v>1.8613011356277832E-07</v>
      </c>
      <c r="M2" s="54">
        <v>-1.8125093799999997E-05</v>
      </c>
      <c r="N2" s="55">
        <v>1.2789018725880626E-07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-2.8248066000000002E-05</v>
      </c>
      <c r="L3" s="54">
        <v>2.1349412735219921E-07</v>
      </c>
      <c r="M3" s="54">
        <v>1.06109742E-05</v>
      </c>
      <c r="N3" s="55">
        <v>1.3497717578084127E-07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-0.0037508482810055675</v>
      </c>
      <c r="L4" s="54">
        <v>-4.306533406148634E-05</v>
      </c>
      <c r="M4" s="54">
        <v>7.52834763048149E-08</v>
      </c>
      <c r="N4" s="55">
        <v>5.7404937</v>
      </c>
    </row>
    <row r="5" spans="1:14" ht="15" customHeight="1" thickBot="1">
      <c r="A5" t="s">
        <v>18</v>
      </c>
      <c r="B5" s="58">
        <v>37924.48849537037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6" t="s">
        <v>27</v>
      </c>
      <c r="B8" s="71" t="s">
        <v>28</v>
      </c>
      <c r="D8" s="76">
        <v>0.16383754</v>
      </c>
      <c r="E8" s="77">
        <v>0.006503448978073284</v>
      </c>
      <c r="F8" s="77">
        <v>1.1916709</v>
      </c>
      <c r="G8" s="77">
        <v>0.013786405776697869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-0.30534167</v>
      </c>
      <c r="E9" s="79">
        <v>0.00590074771682327</v>
      </c>
      <c r="F9" s="79">
        <v>-0.19729099</v>
      </c>
      <c r="G9" s="79">
        <v>0.013089984990266817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-0.246584733</v>
      </c>
      <c r="E10" s="79">
        <v>0.00832007121075779</v>
      </c>
      <c r="F10" s="79">
        <v>0.37099788999999994</v>
      </c>
      <c r="G10" s="79">
        <v>0.004458122453392326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4.7212316</v>
      </c>
      <c r="E11" s="77">
        <v>0.0052370343932836814</v>
      </c>
      <c r="F11" s="77">
        <v>-0.38639957</v>
      </c>
      <c r="G11" s="77">
        <v>0.00445087634377778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-0.15970453999999998</v>
      </c>
      <c r="E12" s="79">
        <v>0.005859527797391862</v>
      </c>
      <c r="F12" s="79">
        <v>-0.040145491</v>
      </c>
      <c r="G12" s="79">
        <v>0.00416957706883735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19.44275</v>
      </c>
      <c r="D13" s="82">
        <v>-0.030437052600000004</v>
      </c>
      <c r="E13" s="79">
        <v>0.0029773993866797433</v>
      </c>
      <c r="F13" s="79">
        <v>0.028261641999999997</v>
      </c>
      <c r="G13" s="79">
        <v>0.004341323369407777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-0.09065145799999999</v>
      </c>
      <c r="E14" s="79">
        <v>0.0019865568832645843</v>
      </c>
      <c r="F14" s="79">
        <v>0.062239924999999995</v>
      </c>
      <c r="G14" s="79">
        <v>0.0013381047252255499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-0.08785244</v>
      </c>
      <c r="E15" s="77">
        <v>0.0019318401596920968</v>
      </c>
      <c r="F15" s="77">
        <v>0.040383248999999996</v>
      </c>
      <c r="G15" s="77">
        <v>0.0012911544088854516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12.507</v>
      </c>
      <c r="D16" s="82">
        <v>-0.017057069</v>
      </c>
      <c r="E16" s="79">
        <v>0.0016936857183946484</v>
      </c>
      <c r="F16" s="79">
        <v>0.0028225837</v>
      </c>
      <c r="G16" s="79">
        <v>0.0018227406986348219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-0.4099999964237213</v>
      </c>
      <c r="D17" s="82">
        <v>0.00925463331</v>
      </c>
      <c r="E17" s="79">
        <v>0.0016415323372176204</v>
      </c>
      <c r="F17" s="79">
        <v>-0.0018885085199999998</v>
      </c>
      <c r="G17" s="79">
        <v>0.0018942897419823006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7.120999813079834</v>
      </c>
      <c r="D18" s="82">
        <v>0.039699243</v>
      </c>
      <c r="E18" s="79">
        <v>0.000936954072847719</v>
      </c>
      <c r="F18" s="79">
        <v>-0.0121586283</v>
      </c>
      <c r="G18" s="79">
        <v>0.0016145457875329885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-0.4189999997615814</v>
      </c>
      <c r="D19" s="85">
        <v>-0.16742773</v>
      </c>
      <c r="E19" s="79">
        <v>0.0006920173311439245</v>
      </c>
      <c r="F19" s="79">
        <v>0.012530277000000001</v>
      </c>
      <c r="G19" s="79">
        <v>0.0013525460301394524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0.3559502</v>
      </c>
      <c r="D20" s="87">
        <v>0.0045812409</v>
      </c>
      <c r="E20" s="88">
        <v>0.0008536758271546849</v>
      </c>
      <c r="F20" s="88">
        <v>0.0013867071207</v>
      </c>
      <c r="G20" s="88">
        <v>0.0003781067710032908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-0.0780604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63</v>
      </c>
      <c r="B24" s="94">
        <v>0.3289063391467378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64</v>
      </c>
      <c r="F25" s="100"/>
      <c r="G25" s="101"/>
      <c r="H25" s="102">
        <v>-3.7510955</v>
      </c>
      <c r="I25" s="100" t="s">
        <v>65</v>
      </c>
      <c r="J25" s="101"/>
      <c r="K25" s="100"/>
      <c r="L25" s="103">
        <v>4.737017252294396</v>
      </c>
    </row>
    <row r="26" spans="1:12" ht="18" customHeight="1" thickBot="1">
      <c r="A26" s="56" t="s">
        <v>48</v>
      </c>
      <c r="B26" s="57" t="s">
        <v>49</v>
      </c>
      <c r="E26" s="104" t="s">
        <v>66</v>
      </c>
      <c r="F26" s="105"/>
      <c r="G26" s="106"/>
      <c r="H26" s="107">
        <v>1.2028808226171293</v>
      </c>
      <c r="I26" s="105" t="s">
        <v>67</v>
      </c>
      <c r="J26" s="106"/>
      <c r="K26" s="105"/>
      <c r="L26" s="108">
        <v>0.09668949277842759</v>
      </c>
    </row>
    <row r="27" spans="1:2" ht="15" customHeight="1" thickBot="1" thickTop="1">
      <c r="A27" s="91" t="s">
        <v>50</v>
      </c>
      <c r="B27" s="92">
        <v>80</v>
      </c>
    </row>
    <row r="28" spans="1:14" s="2" customFormat="1" ht="18" customHeight="1" thickBot="1">
      <c r="A28" s="109" t="s">
        <v>51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HCMQAP116_pos3ap2res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6.0000501999999995E-05</v>
      </c>
      <c r="L2" s="54">
        <v>1.1009678054349642E-07</v>
      </c>
      <c r="M2" s="54">
        <v>4.0078331E-05</v>
      </c>
      <c r="N2" s="55">
        <v>1.4921255856615533E-07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-2.8926294E-05</v>
      </c>
      <c r="L3" s="54">
        <v>1.3708673814011473E-07</v>
      </c>
      <c r="M3" s="54">
        <v>9.992441E-06</v>
      </c>
      <c r="N3" s="55">
        <v>3.4759252839208786E-07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-0.003751837267198155</v>
      </c>
      <c r="L4" s="54">
        <v>-5.5659082035989374E-05</v>
      </c>
      <c r="M4" s="54">
        <v>4.4359217834486126E-08</v>
      </c>
      <c r="N4" s="55">
        <v>7.417032700000002</v>
      </c>
    </row>
    <row r="5" spans="1:14" ht="15" customHeight="1" thickBot="1">
      <c r="A5" t="s">
        <v>18</v>
      </c>
      <c r="B5" s="58">
        <v>37924.493055555555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6" t="s">
        <v>27</v>
      </c>
      <c r="B8" s="71" t="s">
        <v>28</v>
      </c>
      <c r="D8" s="76">
        <v>-0.33649423</v>
      </c>
      <c r="E8" s="77">
        <v>0.013758611077888803</v>
      </c>
      <c r="F8" s="77">
        <v>-0.18547591700000002</v>
      </c>
      <c r="G8" s="77">
        <v>0.018324036078533407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-0.36195379</v>
      </c>
      <c r="E9" s="79">
        <v>0.005395291991209542</v>
      </c>
      <c r="F9" s="113">
        <v>-4.0510547</v>
      </c>
      <c r="G9" s="79">
        <v>0.008897011287877132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-0.229807905</v>
      </c>
      <c r="E10" s="79">
        <v>0.004916993725064733</v>
      </c>
      <c r="F10" s="79">
        <v>-0.0660605144</v>
      </c>
      <c r="G10" s="79">
        <v>0.00661204127465337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4.3442336</v>
      </c>
      <c r="E11" s="77">
        <v>0.006438158870416039</v>
      </c>
      <c r="F11" s="77">
        <v>-0.13753271</v>
      </c>
      <c r="G11" s="77">
        <v>0.005953743298581427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-0.24278991</v>
      </c>
      <c r="E12" s="79">
        <v>0.0021486242201482373</v>
      </c>
      <c r="F12" s="79">
        <v>-0.16491633</v>
      </c>
      <c r="G12" s="79">
        <v>0.0024490494246947117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19.424439</v>
      </c>
      <c r="D13" s="82">
        <v>-0.22495059</v>
      </c>
      <c r="E13" s="79">
        <v>0.004065384169841856</v>
      </c>
      <c r="F13" s="79">
        <v>-0.21732552</v>
      </c>
      <c r="G13" s="79">
        <v>0.0024967484752375798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-0.06397417</v>
      </c>
      <c r="E14" s="79">
        <v>0.0012702113101447539</v>
      </c>
      <c r="F14" s="79">
        <v>-0.023118934</v>
      </c>
      <c r="G14" s="79">
        <v>0.002105328724772902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-0.11173751000000001</v>
      </c>
      <c r="E15" s="77">
        <v>0.0015429097648273524</v>
      </c>
      <c r="F15" s="77">
        <v>0.058908412</v>
      </c>
      <c r="G15" s="77">
        <v>0.002116058760263239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12.507</v>
      </c>
      <c r="D16" s="82">
        <v>-0.02771707</v>
      </c>
      <c r="E16" s="79">
        <v>0.0015436521085238181</v>
      </c>
      <c r="F16" s="79">
        <v>-0.0098620858</v>
      </c>
      <c r="G16" s="79">
        <v>0.0018375790450776927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0.39399999380111694</v>
      </c>
      <c r="D17" s="82">
        <v>-0.0011062905</v>
      </c>
      <c r="E17" s="79">
        <v>0.0011222867271833434</v>
      </c>
      <c r="F17" s="79">
        <v>0.0008977493800000002</v>
      </c>
      <c r="G17" s="79">
        <v>0.002361562277202707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1.5260000228881836</v>
      </c>
      <c r="D18" s="82">
        <v>0.038745082</v>
      </c>
      <c r="E18" s="79">
        <v>0.001418880449881585</v>
      </c>
      <c r="F18" s="79">
        <v>0.005554365449999999</v>
      </c>
      <c r="G18" s="79">
        <v>0.001401062356917302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0.3580000102519989</v>
      </c>
      <c r="D19" s="85">
        <v>-0.15913019</v>
      </c>
      <c r="E19" s="79">
        <v>0.000875088200928357</v>
      </c>
      <c r="F19" s="79">
        <v>0.016359325</v>
      </c>
      <c r="G19" s="79">
        <v>0.000494083107138932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0.2691154</v>
      </c>
      <c r="D20" s="87">
        <v>0.00235602313</v>
      </c>
      <c r="E20" s="88">
        <v>0.0012170441967263015</v>
      </c>
      <c r="F20" s="88">
        <v>0.0025983146</v>
      </c>
      <c r="G20" s="88">
        <v>0.0006944812287469971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0.1855929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63</v>
      </c>
      <c r="B24" s="94">
        <v>0.42496502917312584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64</v>
      </c>
      <c r="F25" s="100"/>
      <c r="G25" s="101"/>
      <c r="H25" s="102">
        <v>-3.7522501</v>
      </c>
      <c r="I25" s="100" t="s">
        <v>65</v>
      </c>
      <c r="J25" s="101"/>
      <c r="K25" s="100"/>
      <c r="L25" s="103">
        <v>4.346410106937553</v>
      </c>
    </row>
    <row r="26" spans="1:12" ht="18" customHeight="1" thickBot="1">
      <c r="A26" s="56" t="s">
        <v>48</v>
      </c>
      <c r="B26" s="57" t="s">
        <v>49</v>
      </c>
      <c r="E26" s="104" t="s">
        <v>66</v>
      </c>
      <c r="F26" s="105"/>
      <c r="G26" s="106"/>
      <c r="H26" s="107">
        <v>0.3842260826782635</v>
      </c>
      <c r="I26" s="105" t="s">
        <v>67</v>
      </c>
      <c r="J26" s="106"/>
      <c r="K26" s="105"/>
      <c r="L26" s="108">
        <v>0.12631497197625405</v>
      </c>
    </row>
    <row r="27" spans="1:2" ht="15" customHeight="1" thickBot="1" thickTop="1">
      <c r="A27" s="91" t="s">
        <v>50</v>
      </c>
      <c r="B27" s="92">
        <v>80</v>
      </c>
    </row>
    <row r="28" spans="1:14" s="2" customFormat="1" ht="18" customHeight="1" thickBot="1">
      <c r="A28" s="109" t="s">
        <v>51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HCMQAP116_pos4ap2res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2.0273927E-05</v>
      </c>
      <c r="L2" s="54">
        <v>1.2238665362689698E-07</v>
      </c>
      <c r="M2" s="54">
        <v>4.4356536999999996E-05</v>
      </c>
      <c r="N2" s="55">
        <v>1.1322603289860084E-07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-3.1241068999999997E-05</v>
      </c>
      <c r="L3" s="54">
        <v>9.662647967498757E-08</v>
      </c>
      <c r="M3" s="54">
        <v>9.623524999999999E-06</v>
      </c>
      <c r="N3" s="55">
        <v>4.53028768403292E-08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-0.002083080457858973</v>
      </c>
      <c r="L4" s="54">
        <v>-3.699820761943155E-05</v>
      </c>
      <c r="M4" s="54">
        <v>7.464450214568254E-08</v>
      </c>
      <c r="N4" s="55">
        <v>8.8797141</v>
      </c>
    </row>
    <row r="5" spans="1:14" ht="15" customHeight="1" thickBot="1">
      <c r="A5" t="s">
        <v>18</v>
      </c>
      <c r="B5" s="58">
        <v>37924.49758101852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2510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6" t="s">
        <v>24</v>
      </c>
      <c r="J7" s="167"/>
      <c r="K7" s="166" t="s">
        <v>25</v>
      </c>
      <c r="L7" s="167"/>
      <c r="M7" s="166" t="s">
        <v>26</v>
      </c>
      <c r="N7" s="168"/>
    </row>
    <row r="8" spans="1:14" ht="15" customHeight="1">
      <c r="A8" s="56" t="s">
        <v>27</v>
      </c>
      <c r="B8" s="71" t="s">
        <v>28</v>
      </c>
      <c r="D8" s="114">
        <v>-6.984219300000001</v>
      </c>
      <c r="E8" s="77">
        <v>0.016426477167923264</v>
      </c>
      <c r="F8" s="115">
        <v>6.022543799999999</v>
      </c>
      <c r="G8" s="77">
        <v>0.026228619253876786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-1.4593687000000002</v>
      </c>
      <c r="E9" s="79">
        <v>0.02849842400484173</v>
      </c>
      <c r="F9" s="79">
        <v>-0.27194063999999996</v>
      </c>
      <c r="G9" s="79">
        <v>0.01235628845306793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-0.60991098</v>
      </c>
      <c r="E10" s="79">
        <v>0.016221243454790875</v>
      </c>
      <c r="F10" s="79">
        <v>-1.3870987</v>
      </c>
      <c r="G10" s="79">
        <v>0.014125343385575412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4">
        <v>14.834338000000002</v>
      </c>
      <c r="E11" s="77">
        <v>0.00306413216556707</v>
      </c>
      <c r="F11" s="77">
        <v>1.1138213</v>
      </c>
      <c r="G11" s="77">
        <v>0.006726553193139543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0.055788142</v>
      </c>
      <c r="E12" s="79">
        <v>0.005227354938482381</v>
      </c>
      <c r="F12" s="79">
        <v>0.2333117</v>
      </c>
      <c r="G12" s="79">
        <v>0.008794040542321604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19.448853</v>
      </c>
      <c r="D13" s="82">
        <v>0.054599643389999994</v>
      </c>
      <c r="E13" s="79">
        <v>0.004518148970657919</v>
      </c>
      <c r="F13" s="79">
        <v>0.17968616</v>
      </c>
      <c r="G13" s="79">
        <v>0.003985872296674728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0.0367181217</v>
      </c>
      <c r="E14" s="79">
        <v>0.00418345777730654</v>
      </c>
      <c r="F14" s="79">
        <v>0.023388245999999998</v>
      </c>
      <c r="G14" s="79">
        <v>0.007546420601487442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-0.35491467</v>
      </c>
      <c r="E15" s="77">
        <v>0.0031737263660595637</v>
      </c>
      <c r="F15" s="77">
        <v>0.25454410000000005</v>
      </c>
      <c r="G15" s="77">
        <v>0.004241846301668661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12.507</v>
      </c>
      <c r="D16" s="82">
        <v>-0.023295429</v>
      </c>
      <c r="E16" s="79">
        <v>0.002725710842850726</v>
      </c>
      <c r="F16" s="79">
        <v>0.07689697300000001</v>
      </c>
      <c r="G16" s="79">
        <v>0.0026600511823300765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-0.3240000009536743</v>
      </c>
      <c r="D17" s="82">
        <v>0.0007737627999999999</v>
      </c>
      <c r="E17" s="79">
        <v>0.0025879399566411812</v>
      </c>
      <c r="F17" s="79">
        <v>0.042320658</v>
      </c>
      <c r="G17" s="79">
        <v>0.0025845236448012424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22.88800048828125</v>
      </c>
      <c r="D18" s="82">
        <v>0.01364523124</v>
      </c>
      <c r="E18" s="79">
        <v>0.00249105433460716</v>
      </c>
      <c r="F18" s="79">
        <v>0.028455010000000003</v>
      </c>
      <c r="G18" s="79">
        <v>0.002366933657766924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-0.37400001287460327</v>
      </c>
      <c r="D19" s="82">
        <v>-0.13170272</v>
      </c>
      <c r="E19" s="79">
        <v>0.0019285258000864734</v>
      </c>
      <c r="F19" s="79">
        <v>-0.018880296</v>
      </c>
      <c r="G19" s="79">
        <v>0.0018399288817027486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0.1589748</v>
      </c>
      <c r="D20" s="87">
        <v>-0.0022340519900000003</v>
      </c>
      <c r="E20" s="88">
        <v>0.0010283883579188125</v>
      </c>
      <c r="F20" s="88">
        <v>0.0052358210999999995</v>
      </c>
      <c r="G20" s="88">
        <v>0.0010772815883271863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0.36480900000000005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63</v>
      </c>
      <c r="B24" s="94">
        <v>0.5087705709529251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64</v>
      </c>
      <c r="F25" s="100"/>
      <c r="G25" s="101"/>
      <c r="H25" s="102">
        <v>-2.083409</v>
      </c>
      <c r="I25" s="100" t="s">
        <v>65</v>
      </c>
      <c r="J25" s="101"/>
      <c r="K25" s="100"/>
      <c r="L25" s="103">
        <v>14.876094305515066</v>
      </c>
    </row>
    <row r="26" spans="1:12" ht="18" customHeight="1" thickBot="1">
      <c r="A26" s="56" t="s">
        <v>48</v>
      </c>
      <c r="B26" s="57" t="s">
        <v>49</v>
      </c>
      <c r="E26" s="104" t="s">
        <v>66</v>
      </c>
      <c r="F26" s="105"/>
      <c r="G26" s="106"/>
      <c r="H26" s="107">
        <v>9.2222748307243</v>
      </c>
      <c r="I26" s="105" t="s">
        <v>67</v>
      </c>
      <c r="J26" s="106"/>
      <c r="K26" s="105"/>
      <c r="L26" s="108">
        <v>0.43675750918103157</v>
      </c>
    </row>
    <row r="27" spans="1:2" ht="15" customHeight="1" thickBot="1" thickTop="1">
      <c r="A27" s="91" t="s">
        <v>50</v>
      </c>
      <c r="B27" s="92">
        <v>80</v>
      </c>
    </row>
    <row r="28" spans="1:14" s="2" customFormat="1" ht="18" customHeight="1" thickBot="1">
      <c r="A28" s="109" t="s">
        <v>51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HCMQAP116_pos5ap2res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68</v>
      </c>
      <c r="C1" s="121" t="s">
        <v>73</v>
      </c>
      <c r="D1" s="121" t="s">
        <v>75</v>
      </c>
      <c r="E1" s="121" t="s">
        <v>78</v>
      </c>
      <c r="F1" s="128" t="s">
        <v>81</v>
      </c>
      <c r="G1" s="161" t="s">
        <v>121</v>
      </c>
    </row>
    <row r="2" spans="1:7" ht="13.5" thickBot="1">
      <c r="A2" s="140" t="s">
        <v>90</v>
      </c>
      <c r="B2" s="132">
        <v>-2.2541169</v>
      </c>
      <c r="C2" s="123">
        <v>-3.7511031</v>
      </c>
      <c r="D2" s="123">
        <v>-3.7510955</v>
      </c>
      <c r="E2" s="123">
        <v>-3.7522501</v>
      </c>
      <c r="F2" s="129">
        <v>-2.083409</v>
      </c>
      <c r="G2" s="162">
        <v>3.1167466477162935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7" t="s">
        <v>122</v>
      </c>
    </row>
    <row r="4" spans="1:7" ht="12.75">
      <c r="A4" s="145" t="s">
        <v>91</v>
      </c>
      <c r="B4" s="146">
        <v>2.0664995999999998</v>
      </c>
      <c r="C4" s="147">
        <v>-1.04026212</v>
      </c>
      <c r="D4" s="147">
        <v>0.16383754</v>
      </c>
      <c r="E4" s="147">
        <v>-0.33649423</v>
      </c>
      <c r="F4" s="152">
        <v>-6.984219300000001</v>
      </c>
      <c r="G4" s="158">
        <v>-0.9263114363768197</v>
      </c>
    </row>
    <row r="5" spans="1:7" ht="12.75">
      <c r="A5" s="140" t="s">
        <v>93</v>
      </c>
      <c r="B5" s="134">
        <v>-0.36512265</v>
      </c>
      <c r="C5" s="118">
        <v>-0.24960614999999997</v>
      </c>
      <c r="D5" s="118">
        <v>-0.30534167</v>
      </c>
      <c r="E5" s="118">
        <v>-0.36195379</v>
      </c>
      <c r="F5" s="153">
        <v>-1.4593687000000002</v>
      </c>
      <c r="G5" s="159">
        <v>-0.4684009895643695</v>
      </c>
    </row>
    <row r="6" spans="1:7" ht="12.75">
      <c r="A6" s="140" t="s">
        <v>95</v>
      </c>
      <c r="B6" s="134">
        <v>-0.65148195</v>
      </c>
      <c r="C6" s="118">
        <v>-0.1815645473</v>
      </c>
      <c r="D6" s="118">
        <v>-0.246584733</v>
      </c>
      <c r="E6" s="118">
        <v>-0.229807905</v>
      </c>
      <c r="F6" s="153">
        <v>-0.60991098</v>
      </c>
      <c r="G6" s="159">
        <v>-0.3339883231685064</v>
      </c>
    </row>
    <row r="7" spans="1:7" ht="12.75">
      <c r="A7" s="140" t="s">
        <v>97</v>
      </c>
      <c r="B7" s="133">
        <v>4.0641935</v>
      </c>
      <c r="C7" s="117">
        <v>4.285590900000001</v>
      </c>
      <c r="D7" s="117">
        <v>4.7212316</v>
      </c>
      <c r="E7" s="117">
        <v>4.3442336</v>
      </c>
      <c r="F7" s="154">
        <v>14.834338000000002</v>
      </c>
      <c r="G7" s="159">
        <v>5.7820319583528</v>
      </c>
    </row>
    <row r="8" spans="1:7" ht="12.75">
      <c r="A8" s="140" t="s">
        <v>99</v>
      </c>
      <c r="B8" s="134">
        <v>0.16383814000000002</v>
      </c>
      <c r="C8" s="118">
        <v>-0.27422797000000004</v>
      </c>
      <c r="D8" s="118">
        <v>-0.15970453999999998</v>
      </c>
      <c r="E8" s="118">
        <v>-0.24278991</v>
      </c>
      <c r="F8" s="153">
        <v>0.055788142</v>
      </c>
      <c r="G8" s="159">
        <v>-0.13168267965233368</v>
      </c>
    </row>
    <row r="9" spans="1:7" ht="12.75">
      <c r="A9" s="140" t="s">
        <v>101</v>
      </c>
      <c r="B9" s="134">
        <v>-0.071724038</v>
      </c>
      <c r="C9" s="118">
        <v>-0.15446092</v>
      </c>
      <c r="D9" s="118">
        <v>-0.030437052600000004</v>
      </c>
      <c r="E9" s="118">
        <v>-0.22495059</v>
      </c>
      <c r="F9" s="153">
        <v>0.054599643389999994</v>
      </c>
      <c r="G9" s="159">
        <v>-0.10169096725318291</v>
      </c>
    </row>
    <row r="10" spans="1:7" ht="12.75">
      <c r="A10" s="140" t="s">
        <v>103</v>
      </c>
      <c r="B10" s="134">
        <v>-0.028902447199999997</v>
      </c>
      <c r="C10" s="118">
        <v>-0.034675813</v>
      </c>
      <c r="D10" s="118">
        <v>-0.09065145799999999</v>
      </c>
      <c r="E10" s="118">
        <v>-0.06397417</v>
      </c>
      <c r="F10" s="153">
        <v>0.0367181217</v>
      </c>
      <c r="G10" s="159">
        <v>-0.044818732648748576</v>
      </c>
    </row>
    <row r="11" spans="1:7" ht="12.75">
      <c r="A11" s="140" t="s">
        <v>105</v>
      </c>
      <c r="B11" s="133">
        <v>-0.43287986</v>
      </c>
      <c r="C11" s="117">
        <v>-0.137403</v>
      </c>
      <c r="D11" s="117">
        <v>-0.08785244</v>
      </c>
      <c r="E11" s="117">
        <v>-0.11173751000000001</v>
      </c>
      <c r="F11" s="155">
        <v>-0.35491467</v>
      </c>
      <c r="G11" s="159">
        <v>-0.1910865747866364</v>
      </c>
    </row>
    <row r="12" spans="1:7" ht="12.75">
      <c r="A12" s="140" t="s">
        <v>107</v>
      </c>
      <c r="B12" s="134">
        <v>-0.0013900789</v>
      </c>
      <c r="C12" s="118">
        <v>0.0100142899</v>
      </c>
      <c r="D12" s="118">
        <v>-0.017057069</v>
      </c>
      <c r="E12" s="118">
        <v>-0.02771707</v>
      </c>
      <c r="F12" s="153">
        <v>-0.023295429</v>
      </c>
      <c r="G12" s="159">
        <v>-0.011678235182501658</v>
      </c>
    </row>
    <row r="13" spans="1:7" ht="12.75">
      <c r="A13" s="140" t="s">
        <v>109</v>
      </c>
      <c r="B13" s="134">
        <v>0.0025545679999999997</v>
      </c>
      <c r="C13" s="118">
        <v>0.0125759611</v>
      </c>
      <c r="D13" s="118">
        <v>0.00925463331</v>
      </c>
      <c r="E13" s="118">
        <v>-0.0011062905</v>
      </c>
      <c r="F13" s="153">
        <v>0.0007737627999999999</v>
      </c>
      <c r="G13" s="159">
        <v>0.005458450443737308</v>
      </c>
    </row>
    <row r="14" spans="1:7" ht="12.75">
      <c r="A14" s="140" t="s">
        <v>111</v>
      </c>
      <c r="B14" s="134">
        <v>0.04822985</v>
      </c>
      <c r="C14" s="118">
        <v>0.049419077000000006</v>
      </c>
      <c r="D14" s="118">
        <v>0.039699243</v>
      </c>
      <c r="E14" s="118">
        <v>0.038745082</v>
      </c>
      <c r="F14" s="153">
        <v>0.01364523124</v>
      </c>
      <c r="G14" s="159">
        <v>0.03955991950214667</v>
      </c>
    </row>
    <row r="15" spans="1:7" ht="12.75">
      <c r="A15" s="140" t="s">
        <v>113</v>
      </c>
      <c r="B15" s="135">
        <v>-0.17526272</v>
      </c>
      <c r="C15" s="119">
        <v>-0.15285131000000002</v>
      </c>
      <c r="D15" s="119">
        <v>-0.16742773</v>
      </c>
      <c r="E15" s="119">
        <v>-0.15913019</v>
      </c>
      <c r="F15" s="153">
        <v>-0.13170272</v>
      </c>
      <c r="G15" s="159">
        <v>-0.15828322282947044</v>
      </c>
    </row>
    <row r="16" spans="1:7" ht="12.75">
      <c r="A16" s="140" t="s">
        <v>115</v>
      </c>
      <c r="B16" s="134">
        <v>0.00023823410000000004</v>
      </c>
      <c r="C16" s="118">
        <v>0.0035891353</v>
      </c>
      <c r="D16" s="118">
        <v>0.0045812409</v>
      </c>
      <c r="E16" s="118">
        <v>0.00235602313</v>
      </c>
      <c r="F16" s="153">
        <v>-0.0022340519900000003</v>
      </c>
      <c r="G16" s="159">
        <v>0.0022685285921535928</v>
      </c>
    </row>
    <row r="17" spans="1:7" ht="12.75">
      <c r="A17" s="140" t="s">
        <v>92</v>
      </c>
      <c r="B17" s="133">
        <v>-2.8914446000000003</v>
      </c>
      <c r="C17" s="117">
        <v>-1.6101332999999998</v>
      </c>
      <c r="D17" s="117">
        <v>1.1916709</v>
      </c>
      <c r="E17" s="117">
        <v>-0.18547591700000002</v>
      </c>
      <c r="F17" s="154">
        <v>6.022543799999999</v>
      </c>
      <c r="G17" s="159">
        <v>0.241413369597032</v>
      </c>
    </row>
    <row r="18" spans="1:7" ht="12.75">
      <c r="A18" s="140" t="s">
        <v>94</v>
      </c>
      <c r="B18" s="134">
        <v>-2.1313423</v>
      </c>
      <c r="C18" s="118">
        <v>0.16234741000000003</v>
      </c>
      <c r="D18" s="118">
        <v>-0.19729099</v>
      </c>
      <c r="E18" s="119">
        <v>-4.0510547</v>
      </c>
      <c r="F18" s="153">
        <v>-0.27194063999999996</v>
      </c>
      <c r="G18" s="159">
        <v>-1.3277666672179336</v>
      </c>
    </row>
    <row r="19" spans="1:7" ht="12.75">
      <c r="A19" s="140" t="s">
        <v>96</v>
      </c>
      <c r="B19" s="134">
        <v>-0.122254723</v>
      </c>
      <c r="C19" s="118">
        <v>-0.24343687000000003</v>
      </c>
      <c r="D19" s="118">
        <v>0.37099788999999994</v>
      </c>
      <c r="E19" s="118">
        <v>-0.0660605144</v>
      </c>
      <c r="F19" s="153">
        <v>-1.3870987</v>
      </c>
      <c r="G19" s="159">
        <v>-0.18822851381977446</v>
      </c>
    </row>
    <row r="20" spans="1:7" ht="12.75">
      <c r="A20" s="140" t="s">
        <v>98</v>
      </c>
      <c r="B20" s="133">
        <v>1.2759065999999997</v>
      </c>
      <c r="C20" s="117">
        <v>-0.28834188</v>
      </c>
      <c r="D20" s="117">
        <v>-0.38639957</v>
      </c>
      <c r="E20" s="117">
        <v>-0.13753271</v>
      </c>
      <c r="F20" s="155">
        <v>1.1138213</v>
      </c>
      <c r="G20" s="159">
        <v>0.13785996147567514</v>
      </c>
    </row>
    <row r="21" spans="1:7" ht="12.75">
      <c r="A21" s="140" t="s">
        <v>100</v>
      </c>
      <c r="B21" s="134">
        <v>-0.080844076</v>
      </c>
      <c r="C21" s="118">
        <v>0.00318228801</v>
      </c>
      <c r="D21" s="118">
        <v>-0.040145491</v>
      </c>
      <c r="E21" s="118">
        <v>-0.16491633</v>
      </c>
      <c r="F21" s="153">
        <v>0.2333117</v>
      </c>
      <c r="G21" s="159">
        <v>-0.02909240875375105</v>
      </c>
    </row>
    <row r="22" spans="1:7" ht="12.75">
      <c r="A22" s="140" t="s">
        <v>102</v>
      </c>
      <c r="B22" s="134">
        <v>0.21390540000000002</v>
      </c>
      <c r="C22" s="118">
        <v>0.08296659499999999</v>
      </c>
      <c r="D22" s="118">
        <v>0.028261641999999997</v>
      </c>
      <c r="E22" s="118">
        <v>-0.21732552</v>
      </c>
      <c r="F22" s="153">
        <v>0.17968616</v>
      </c>
      <c r="G22" s="159">
        <v>0.029393083140213907</v>
      </c>
    </row>
    <row r="23" spans="1:7" ht="12.75">
      <c r="A23" s="140" t="s">
        <v>104</v>
      </c>
      <c r="B23" s="134">
        <v>0.08604115500000001</v>
      </c>
      <c r="C23" s="118">
        <v>0.13274513000000002</v>
      </c>
      <c r="D23" s="118">
        <v>0.062239924999999995</v>
      </c>
      <c r="E23" s="118">
        <v>-0.023118934</v>
      </c>
      <c r="F23" s="153">
        <v>0.023388245999999998</v>
      </c>
      <c r="G23" s="159">
        <v>0.05690970357397713</v>
      </c>
    </row>
    <row r="24" spans="1:7" ht="12.75">
      <c r="A24" s="140" t="s">
        <v>106</v>
      </c>
      <c r="B24" s="133">
        <v>0.114376133</v>
      </c>
      <c r="C24" s="117">
        <v>0.041364479999999995</v>
      </c>
      <c r="D24" s="117">
        <v>0.040383248999999996</v>
      </c>
      <c r="E24" s="117">
        <v>0.058908412</v>
      </c>
      <c r="F24" s="155">
        <v>0.25454410000000005</v>
      </c>
      <c r="G24" s="159">
        <v>0.08439082441577711</v>
      </c>
    </row>
    <row r="25" spans="1:7" ht="12.75">
      <c r="A25" s="140" t="s">
        <v>108</v>
      </c>
      <c r="B25" s="134">
        <v>0.03794681</v>
      </c>
      <c r="C25" s="118">
        <v>0.024978382</v>
      </c>
      <c r="D25" s="118">
        <v>0.0028225837</v>
      </c>
      <c r="E25" s="118">
        <v>-0.0098620858</v>
      </c>
      <c r="F25" s="153">
        <v>0.07689697300000001</v>
      </c>
      <c r="G25" s="159">
        <v>0.020075946383494938</v>
      </c>
    </row>
    <row r="26" spans="1:7" ht="12.75">
      <c r="A26" s="140" t="s">
        <v>110</v>
      </c>
      <c r="B26" s="134">
        <v>0.076809897</v>
      </c>
      <c r="C26" s="118">
        <v>0.0120988716</v>
      </c>
      <c r="D26" s="118">
        <v>-0.0018885085199999998</v>
      </c>
      <c r="E26" s="118">
        <v>0.0008977493800000002</v>
      </c>
      <c r="F26" s="153">
        <v>0.042320658</v>
      </c>
      <c r="G26" s="159">
        <v>0.019431691854676286</v>
      </c>
    </row>
    <row r="27" spans="1:7" ht="12.75">
      <c r="A27" s="140" t="s">
        <v>112</v>
      </c>
      <c r="B27" s="134">
        <v>0.05299703</v>
      </c>
      <c r="C27" s="118">
        <v>0.013439529100000003</v>
      </c>
      <c r="D27" s="118">
        <v>-0.0121586283</v>
      </c>
      <c r="E27" s="118">
        <v>0.005554365449999999</v>
      </c>
      <c r="F27" s="153">
        <v>0.028455010000000003</v>
      </c>
      <c r="G27" s="159">
        <v>0.013108742274653501</v>
      </c>
    </row>
    <row r="28" spans="1:7" ht="12.75">
      <c r="A28" s="140" t="s">
        <v>114</v>
      </c>
      <c r="B28" s="134">
        <v>0.020786873</v>
      </c>
      <c r="C28" s="118">
        <v>0.016001853</v>
      </c>
      <c r="D28" s="118">
        <v>0.012530277000000001</v>
      </c>
      <c r="E28" s="118">
        <v>0.016359325</v>
      </c>
      <c r="F28" s="153">
        <v>-0.018880296</v>
      </c>
      <c r="G28" s="159">
        <v>0.011283484777359118</v>
      </c>
    </row>
    <row r="29" spans="1:7" ht="13.5" thickBot="1">
      <c r="A29" s="141" t="s">
        <v>116</v>
      </c>
      <c r="B29" s="136">
        <v>-0.0008891108899999998</v>
      </c>
      <c r="C29" s="120">
        <v>-0.00279023995</v>
      </c>
      <c r="D29" s="120">
        <v>0.0013867071207</v>
      </c>
      <c r="E29" s="120">
        <v>0.0025983146</v>
      </c>
      <c r="F29" s="156">
        <v>0.0052358210999999995</v>
      </c>
      <c r="G29" s="160">
        <v>0.0008587056222356342</v>
      </c>
    </row>
    <row r="30" spans="1:7" ht="13.5" thickTop="1">
      <c r="A30" s="142" t="s">
        <v>117</v>
      </c>
      <c r="B30" s="137">
        <v>-0.14823072393278564</v>
      </c>
      <c r="C30" s="126">
        <v>0.1860771220942262</v>
      </c>
      <c r="D30" s="126">
        <v>0.3289063391467378</v>
      </c>
      <c r="E30" s="126">
        <v>0.42496502917312584</v>
      </c>
      <c r="F30" s="122">
        <v>0.5087705709529251</v>
      </c>
      <c r="G30" s="161" t="s">
        <v>128</v>
      </c>
    </row>
    <row r="31" spans="1:7" ht="13.5" thickBot="1">
      <c r="A31" s="143" t="s">
        <v>118</v>
      </c>
      <c r="B31" s="132">
        <v>19.515992</v>
      </c>
      <c r="C31" s="123">
        <v>19.476319</v>
      </c>
      <c r="D31" s="123">
        <v>19.44275</v>
      </c>
      <c r="E31" s="123">
        <v>19.424439</v>
      </c>
      <c r="F31" s="124">
        <v>19.448853</v>
      </c>
      <c r="G31" s="163">
        <v>-209.55</v>
      </c>
    </row>
    <row r="32" spans="1:7" ht="15.75" thickBot="1" thickTop="1">
      <c r="A32" s="144" t="s">
        <v>119</v>
      </c>
      <c r="B32" s="138">
        <v>-0.3264999985694885</v>
      </c>
      <c r="C32" s="127">
        <v>0.4194999933242798</v>
      </c>
      <c r="D32" s="127">
        <v>-0.41449999809265137</v>
      </c>
      <c r="E32" s="127">
        <v>0.3760000020265579</v>
      </c>
      <c r="F32" s="125">
        <v>-0.3490000069141388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5.66015625" style="164" bestFit="1" customWidth="1"/>
    <col min="2" max="2" width="15.66015625" style="164" bestFit="1" customWidth="1"/>
    <col min="3" max="3" width="15.33203125" style="164" bestFit="1" customWidth="1"/>
    <col min="4" max="4" width="16" style="164" bestFit="1" customWidth="1"/>
    <col min="5" max="5" width="22.16015625" style="164" bestFit="1" customWidth="1"/>
    <col min="6" max="6" width="14.83203125" style="164" bestFit="1" customWidth="1"/>
    <col min="7" max="7" width="15.33203125" style="164" bestFit="1" customWidth="1"/>
    <col min="8" max="8" width="14.16015625" style="164" bestFit="1" customWidth="1"/>
    <col min="9" max="9" width="14.83203125" style="164" bestFit="1" customWidth="1"/>
    <col min="10" max="10" width="6.33203125" style="164" bestFit="1" customWidth="1"/>
    <col min="11" max="11" width="15" style="164" bestFit="1" customWidth="1"/>
    <col min="12" max="16384" width="10.66015625" style="164" customWidth="1"/>
  </cols>
  <sheetData>
    <row r="1" spans="1:5" ht="12.75">
      <c r="A1" s="164" t="s">
        <v>129</v>
      </c>
      <c r="B1" s="164" t="s">
        <v>130</v>
      </c>
      <c r="C1" s="164" t="s">
        <v>131</v>
      </c>
      <c r="D1" s="164" t="s">
        <v>132</v>
      </c>
      <c r="E1" s="164" t="s">
        <v>28</v>
      </c>
    </row>
    <row r="3" spans="1:7" ht="12.75">
      <c r="A3" s="164" t="s">
        <v>133</v>
      </c>
      <c r="B3" s="164" t="s">
        <v>84</v>
      </c>
      <c r="C3" s="164" t="s">
        <v>85</v>
      </c>
      <c r="D3" s="164" t="s">
        <v>86</v>
      </c>
      <c r="E3" s="164" t="s">
        <v>87</v>
      </c>
      <c r="F3" s="164" t="s">
        <v>88</v>
      </c>
      <c r="G3" s="164" t="s">
        <v>134</v>
      </c>
    </row>
    <row r="4" spans="1:7" ht="12.75">
      <c r="A4" s="164" t="s">
        <v>135</v>
      </c>
      <c r="B4" s="164">
        <f>0.002253*1.0033</f>
        <v>0.0022604349</v>
      </c>
      <c r="C4" s="164">
        <f>0.003749*1.0033</f>
        <v>0.0037613717000000006</v>
      </c>
      <c r="D4" s="164">
        <f>0.003749*1.0033</f>
        <v>0.0037613717000000006</v>
      </c>
      <c r="E4" s="164">
        <f>0.00375*1.0033</f>
        <v>0.003762375</v>
      </c>
      <c r="F4" s="164">
        <f>0.002082*1.0033</f>
        <v>0.0020888706000000003</v>
      </c>
      <c r="G4" s="164">
        <f>0.011686*1.0033</f>
        <v>0.0117245638</v>
      </c>
    </row>
    <row r="5" spans="1:7" ht="12.75">
      <c r="A5" s="164" t="s">
        <v>136</v>
      </c>
      <c r="B5" s="164">
        <v>7.600246</v>
      </c>
      <c r="C5" s="164">
        <v>1.747054</v>
      </c>
      <c r="D5" s="164">
        <v>-1.459633</v>
      </c>
      <c r="E5" s="164">
        <v>-2.324845</v>
      </c>
      <c r="F5" s="164">
        <v>-4.548676</v>
      </c>
      <c r="G5" s="164">
        <v>4.680431</v>
      </c>
    </row>
    <row r="6" spans="1:7" ht="12.75">
      <c r="A6" s="164" t="s">
        <v>137</v>
      </c>
      <c r="B6" s="165">
        <v>-58.6204</v>
      </c>
      <c r="C6" s="165">
        <v>-57.80224</v>
      </c>
      <c r="D6" s="165">
        <v>-7.723536</v>
      </c>
      <c r="E6" s="165">
        <v>42.12866</v>
      </c>
      <c r="F6" s="165">
        <v>105.5238</v>
      </c>
      <c r="G6" s="165">
        <v>-0.0005447728</v>
      </c>
    </row>
    <row r="7" spans="1:7" ht="12.75">
      <c r="A7" s="164" t="s">
        <v>138</v>
      </c>
      <c r="B7" s="165">
        <v>10000</v>
      </c>
      <c r="C7" s="165">
        <v>10000</v>
      </c>
      <c r="D7" s="165">
        <v>10000</v>
      </c>
      <c r="E7" s="165">
        <v>10000</v>
      </c>
      <c r="F7" s="165">
        <v>10000</v>
      </c>
      <c r="G7" s="165">
        <v>10000</v>
      </c>
    </row>
    <row r="8" spans="1:7" ht="12.75">
      <c r="A8" s="164" t="s">
        <v>91</v>
      </c>
      <c r="B8" s="165">
        <v>2.014268</v>
      </c>
      <c r="C8" s="165">
        <v>-1.028587</v>
      </c>
      <c r="D8" s="165">
        <v>0.1800298</v>
      </c>
      <c r="E8" s="165">
        <v>-0.3549115</v>
      </c>
      <c r="F8" s="165">
        <v>-6.959647</v>
      </c>
      <c r="G8" s="165">
        <v>-0.9282862</v>
      </c>
    </row>
    <row r="9" spans="1:7" ht="12.75">
      <c r="A9" s="164" t="s">
        <v>93</v>
      </c>
      <c r="B9" s="165">
        <v>-0.3247322</v>
      </c>
      <c r="C9" s="165">
        <v>-0.2440832</v>
      </c>
      <c r="D9" s="165">
        <v>-0.3400949</v>
      </c>
      <c r="E9" s="165">
        <v>-0.4059663</v>
      </c>
      <c r="F9" s="165">
        <v>-1.589477</v>
      </c>
      <c r="G9" s="165">
        <v>-0.4975658</v>
      </c>
    </row>
    <row r="10" spans="1:7" ht="12.75">
      <c r="A10" s="164" t="s">
        <v>95</v>
      </c>
      <c r="B10" s="165">
        <v>-0.6285323</v>
      </c>
      <c r="C10" s="165">
        <v>-0.2971864</v>
      </c>
      <c r="D10" s="165">
        <v>-0.2320607</v>
      </c>
      <c r="E10" s="165">
        <v>-0.1403909</v>
      </c>
      <c r="F10" s="165">
        <v>0.1907911</v>
      </c>
      <c r="G10" s="165">
        <v>-0.2264834</v>
      </c>
    </row>
    <row r="11" spans="1:7" ht="12.75">
      <c r="A11" s="164" t="s">
        <v>97</v>
      </c>
      <c r="B11" s="165">
        <v>3.984193</v>
      </c>
      <c r="C11" s="165">
        <v>4.297338</v>
      </c>
      <c r="D11" s="165">
        <v>4.721066</v>
      </c>
      <c r="E11" s="165">
        <v>4.334483</v>
      </c>
      <c r="F11" s="165">
        <v>14.87765</v>
      </c>
      <c r="G11" s="165">
        <v>5.776628</v>
      </c>
    </row>
    <row r="12" spans="1:7" ht="12.75">
      <c r="A12" s="164" t="s">
        <v>99</v>
      </c>
      <c r="B12" s="165">
        <v>0.1931704</v>
      </c>
      <c r="C12" s="165">
        <v>-0.2733173</v>
      </c>
      <c r="D12" s="165">
        <v>-0.1649285</v>
      </c>
      <c r="E12" s="165">
        <v>-0.2563888</v>
      </c>
      <c r="F12" s="165">
        <v>0.07668568</v>
      </c>
      <c r="G12" s="165">
        <v>-0.1289665</v>
      </c>
    </row>
    <row r="13" spans="1:7" ht="12.75">
      <c r="A13" s="164" t="s">
        <v>101</v>
      </c>
      <c r="B13" s="165">
        <v>-0.06358855</v>
      </c>
      <c r="C13" s="165">
        <v>-0.1594039</v>
      </c>
      <c r="D13" s="165">
        <v>-0.03619024</v>
      </c>
      <c r="E13" s="165">
        <v>-0.2313203</v>
      </c>
      <c r="F13" s="165">
        <v>0.0698626</v>
      </c>
      <c r="G13" s="165">
        <v>-0.1025837</v>
      </c>
    </row>
    <row r="14" spans="1:7" ht="12.75">
      <c r="A14" s="164" t="s">
        <v>103</v>
      </c>
      <c r="B14" s="165">
        <v>0.002373484</v>
      </c>
      <c r="C14" s="165">
        <v>-0.03169252</v>
      </c>
      <c r="D14" s="165">
        <v>-0.09470014</v>
      </c>
      <c r="E14" s="165">
        <v>-0.06827807</v>
      </c>
      <c r="F14" s="165">
        <v>0.03310828</v>
      </c>
      <c r="G14" s="165">
        <v>-0.04207251</v>
      </c>
    </row>
    <row r="15" spans="1:7" ht="12.75">
      <c r="A15" s="164" t="s">
        <v>105</v>
      </c>
      <c r="B15" s="165">
        <v>-0.4347024</v>
      </c>
      <c r="C15" s="165">
        <v>-0.1402029</v>
      </c>
      <c r="D15" s="165">
        <v>-0.08778741</v>
      </c>
      <c r="E15" s="165">
        <v>-0.1120187</v>
      </c>
      <c r="F15" s="165">
        <v>-0.336238</v>
      </c>
      <c r="G15" s="165">
        <v>-0.1895749</v>
      </c>
    </row>
    <row r="16" spans="1:7" ht="12.75">
      <c r="A16" s="164" t="s">
        <v>107</v>
      </c>
      <c r="B16" s="165">
        <v>0.007862108</v>
      </c>
      <c r="C16" s="165">
        <v>0.007766899</v>
      </c>
      <c r="D16" s="165">
        <v>-0.01758386</v>
      </c>
      <c r="E16" s="165">
        <v>-0.02828588</v>
      </c>
      <c r="F16" s="165">
        <v>-0.01390013</v>
      </c>
      <c r="G16" s="165">
        <v>-0.009889594</v>
      </c>
    </row>
    <row r="17" spans="1:7" ht="12.75">
      <c r="A17" s="164" t="s">
        <v>109</v>
      </c>
      <c r="B17" s="165">
        <v>0.00747698</v>
      </c>
      <c r="C17" s="165">
        <v>0.007990369</v>
      </c>
      <c r="D17" s="165">
        <v>0.01175071</v>
      </c>
      <c r="E17" s="165">
        <v>0.0008322834</v>
      </c>
      <c r="F17" s="165">
        <v>0.009269087</v>
      </c>
      <c r="G17" s="165">
        <v>0.007269181</v>
      </c>
    </row>
    <row r="18" spans="1:7" ht="12.75">
      <c r="A18" s="164" t="s">
        <v>111</v>
      </c>
      <c r="B18" s="165">
        <v>0.04730289</v>
      </c>
      <c r="C18" s="165">
        <v>0.05238804</v>
      </c>
      <c r="D18" s="165">
        <v>0.0390736</v>
      </c>
      <c r="E18" s="165">
        <v>0.03629763</v>
      </c>
      <c r="F18" s="165">
        <v>0.009079929</v>
      </c>
      <c r="G18" s="165">
        <v>0.03879095</v>
      </c>
    </row>
    <row r="19" spans="1:7" ht="12.75">
      <c r="A19" s="164" t="s">
        <v>113</v>
      </c>
      <c r="B19" s="165">
        <v>-0.1765301</v>
      </c>
      <c r="C19" s="165">
        <v>-0.1532039</v>
      </c>
      <c r="D19" s="165">
        <v>-0.1671566</v>
      </c>
      <c r="E19" s="165">
        <v>-0.1585051</v>
      </c>
      <c r="F19" s="165">
        <v>-0.1326236</v>
      </c>
      <c r="G19" s="165">
        <v>-0.1584586</v>
      </c>
    </row>
    <row r="20" spans="1:7" ht="12.75">
      <c r="A20" s="164" t="s">
        <v>115</v>
      </c>
      <c r="B20" s="165">
        <v>0.0003372601</v>
      </c>
      <c r="C20" s="165">
        <v>0.003661148</v>
      </c>
      <c r="D20" s="165">
        <v>0.004612124</v>
      </c>
      <c r="E20" s="165">
        <v>0.002442783</v>
      </c>
      <c r="F20" s="165">
        <v>-0.001871253</v>
      </c>
      <c r="G20" s="165">
        <v>0.002377032</v>
      </c>
    </row>
    <row r="21" spans="1:7" ht="12.75">
      <c r="A21" s="164" t="s">
        <v>139</v>
      </c>
      <c r="B21" s="165">
        <v>-197.1457</v>
      </c>
      <c r="C21" s="165">
        <v>50.72174</v>
      </c>
      <c r="D21" s="165">
        <v>144.2638</v>
      </c>
      <c r="E21" s="165">
        <v>-11.13423</v>
      </c>
      <c r="F21" s="165">
        <v>-117.7404</v>
      </c>
      <c r="G21" s="165">
        <v>-9.562123E-05</v>
      </c>
    </row>
    <row r="22" spans="1:7" ht="12.75">
      <c r="A22" s="164" t="s">
        <v>140</v>
      </c>
      <c r="B22" s="165">
        <v>152.0166</v>
      </c>
      <c r="C22" s="165">
        <v>34.94122</v>
      </c>
      <c r="D22" s="165">
        <v>-29.19275</v>
      </c>
      <c r="E22" s="165">
        <v>-46.49724</v>
      </c>
      <c r="F22" s="165">
        <v>-90.97602</v>
      </c>
      <c r="G22" s="165">
        <v>0</v>
      </c>
    </row>
    <row r="23" spans="1:7" ht="12.75">
      <c r="A23" s="164" t="s">
        <v>92</v>
      </c>
      <c r="B23" s="165">
        <v>-2.785008</v>
      </c>
      <c r="C23" s="165">
        <v>-1.622566</v>
      </c>
      <c r="D23" s="165">
        <v>1.177139</v>
      </c>
      <c r="E23" s="165">
        <v>-0.2334803</v>
      </c>
      <c r="F23" s="165">
        <v>6.167829</v>
      </c>
      <c r="G23" s="165">
        <v>0.2581578</v>
      </c>
    </row>
    <row r="24" spans="1:7" ht="12.75">
      <c r="A24" s="164" t="s">
        <v>94</v>
      </c>
      <c r="B24" s="165">
        <v>-2.076712</v>
      </c>
      <c r="C24" s="165">
        <v>0.1631158</v>
      </c>
      <c r="D24" s="165">
        <v>-0.208379</v>
      </c>
      <c r="E24" s="165">
        <v>-4.045846</v>
      </c>
      <c r="F24" s="165">
        <v>-0.291642</v>
      </c>
      <c r="G24" s="165">
        <v>-1.323731</v>
      </c>
    </row>
    <row r="25" spans="1:7" ht="12.75">
      <c r="A25" s="164" t="s">
        <v>96</v>
      </c>
      <c r="B25" s="165">
        <v>-0.5808987</v>
      </c>
      <c r="C25" s="165">
        <v>-0.1279643</v>
      </c>
      <c r="D25" s="165">
        <v>0.7156474</v>
      </c>
      <c r="E25" s="165">
        <v>-0.09103616</v>
      </c>
      <c r="F25" s="165">
        <v>-2.202419</v>
      </c>
      <c r="G25" s="165">
        <v>-0.2587689</v>
      </c>
    </row>
    <row r="26" spans="1:7" ht="12.75">
      <c r="A26" s="164" t="s">
        <v>98</v>
      </c>
      <c r="B26" s="165">
        <v>1.440358</v>
      </c>
      <c r="C26" s="165">
        <v>-0.2516154</v>
      </c>
      <c r="D26" s="165">
        <v>-0.4413588</v>
      </c>
      <c r="E26" s="165">
        <v>-0.2005343</v>
      </c>
      <c r="F26" s="165">
        <v>0.7177358</v>
      </c>
      <c r="G26" s="165">
        <v>0.08911537</v>
      </c>
    </row>
    <row r="27" spans="1:7" ht="12.75">
      <c r="A27" s="164" t="s">
        <v>100</v>
      </c>
      <c r="B27" s="165">
        <v>-0.07023251</v>
      </c>
      <c r="C27" s="165">
        <v>-0.008391989</v>
      </c>
      <c r="D27" s="165">
        <v>-0.04145165</v>
      </c>
      <c r="E27" s="165">
        <v>-0.1649986</v>
      </c>
      <c r="F27" s="165">
        <v>0.2398497</v>
      </c>
      <c r="G27" s="165">
        <v>-0.02980483</v>
      </c>
    </row>
    <row r="28" spans="1:7" ht="12.75">
      <c r="A28" s="164" t="s">
        <v>102</v>
      </c>
      <c r="B28" s="165">
        <v>0.2026333</v>
      </c>
      <c r="C28" s="165">
        <v>0.07328156</v>
      </c>
      <c r="D28" s="165">
        <v>0.01740743</v>
      </c>
      <c r="E28" s="165">
        <v>-0.2134695</v>
      </c>
      <c r="F28" s="165">
        <v>0.1753857</v>
      </c>
      <c r="G28" s="165">
        <v>0.0231721</v>
      </c>
    </row>
    <row r="29" spans="1:7" ht="12.75">
      <c r="A29" s="164" t="s">
        <v>104</v>
      </c>
      <c r="B29" s="165">
        <v>0.1564513</v>
      </c>
      <c r="C29" s="165">
        <v>0.1235745</v>
      </c>
      <c r="D29" s="165">
        <v>0.05164027</v>
      </c>
      <c r="E29" s="165">
        <v>-0.01850075</v>
      </c>
      <c r="F29" s="165">
        <v>0.08330814</v>
      </c>
      <c r="G29" s="165">
        <v>0.07144939</v>
      </c>
    </row>
    <row r="30" spans="1:7" ht="12.75">
      <c r="A30" s="164" t="s">
        <v>106</v>
      </c>
      <c r="B30" s="165">
        <v>0.07844838</v>
      </c>
      <c r="C30" s="165">
        <v>0.03814262</v>
      </c>
      <c r="D30" s="165">
        <v>0.03929519</v>
      </c>
      <c r="E30" s="165">
        <v>0.06150011</v>
      </c>
      <c r="F30" s="165">
        <v>0.2807326</v>
      </c>
      <c r="G30" s="165">
        <v>0.08228225</v>
      </c>
    </row>
    <row r="31" spans="1:7" ht="12.75">
      <c r="A31" s="164" t="s">
        <v>108</v>
      </c>
      <c r="B31" s="165">
        <v>0.03310865</v>
      </c>
      <c r="C31" s="165">
        <v>0.02534527</v>
      </c>
      <c r="D31" s="165">
        <v>0.005157275</v>
      </c>
      <c r="E31" s="165">
        <v>-0.008781909</v>
      </c>
      <c r="F31" s="165">
        <v>0.08312799</v>
      </c>
      <c r="G31" s="165">
        <v>0.02111828</v>
      </c>
    </row>
    <row r="32" spans="1:7" ht="12.75">
      <c r="A32" s="164" t="s">
        <v>110</v>
      </c>
      <c r="B32" s="165">
        <v>0.0610507</v>
      </c>
      <c r="C32" s="165">
        <v>0.01453938</v>
      </c>
      <c r="D32" s="165">
        <v>0.004858283</v>
      </c>
      <c r="E32" s="165">
        <v>0.0006149748</v>
      </c>
      <c r="F32" s="165">
        <v>0.04418562</v>
      </c>
      <c r="G32" s="165">
        <v>0.01954397</v>
      </c>
    </row>
    <row r="33" spans="1:7" ht="12.75">
      <c r="A33" s="164" t="s">
        <v>112</v>
      </c>
      <c r="B33" s="165">
        <v>0.0714809</v>
      </c>
      <c r="C33" s="165">
        <v>0.0111243</v>
      </c>
      <c r="D33" s="165">
        <v>-0.02266532</v>
      </c>
      <c r="E33" s="165">
        <v>0.005440699</v>
      </c>
      <c r="F33" s="165">
        <v>0.03349024</v>
      </c>
      <c r="G33" s="165">
        <v>0.01334043</v>
      </c>
    </row>
    <row r="34" spans="1:7" ht="12.75">
      <c r="A34" s="164" t="s">
        <v>114</v>
      </c>
      <c r="B34" s="165">
        <v>0.002045543</v>
      </c>
      <c r="C34" s="165">
        <v>0.01228534</v>
      </c>
      <c r="D34" s="165">
        <v>0.01599356</v>
      </c>
      <c r="E34" s="165">
        <v>0.02153655</v>
      </c>
      <c r="F34" s="165">
        <v>-0.01035976</v>
      </c>
      <c r="G34" s="165">
        <v>0.01089933</v>
      </c>
    </row>
    <row r="35" spans="1:7" ht="12.75">
      <c r="A35" s="164" t="s">
        <v>116</v>
      </c>
      <c r="B35" s="165">
        <v>-0.0008560892</v>
      </c>
      <c r="C35" s="165">
        <v>-0.002695232</v>
      </c>
      <c r="D35" s="165">
        <v>0.001286251</v>
      </c>
      <c r="E35" s="165">
        <v>0.002514507</v>
      </c>
      <c r="F35" s="165">
        <v>0.005377322</v>
      </c>
      <c r="G35" s="165">
        <v>0.0008608636</v>
      </c>
    </row>
    <row r="36" spans="1:6" ht="12.75">
      <c r="A36" s="164" t="s">
        <v>141</v>
      </c>
      <c r="B36" s="165">
        <v>19.44885</v>
      </c>
      <c r="C36" s="165">
        <v>19.44275</v>
      </c>
      <c r="D36" s="165">
        <v>19.46411</v>
      </c>
      <c r="E36" s="165">
        <v>19.46411</v>
      </c>
      <c r="F36" s="165">
        <v>19.47937</v>
      </c>
    </row>
    <row r="37" spans="1:6" ht="12.75">
      <c r="A37" s="164" t="s">
        <v>142</v>
      </c>
      <c r="B37" s="165">
        <v>-0.3519694</v>
      </c>
      <c r="C37" s="165">
        <v>-0.34434</v>
      </c>
      <c r="D37" s="165">
        <v>-0.3417969</v>
      </c>
      <c r="E37" s="165">
        <v>-0.3356934</v>
      </c>
      <c r="F37" s="165">
        <v>-0.3336589</v>
      </c>
    </row>
    <row r="38" spans="1:7" ht="12.75">
      <c r="A38" s="164" t="s">
        <v>143</v>
      </c>
      <c r="B38" s="165">
        <v>0.0001047253</v>
      </c>
      <c r="C38" s="165">
        <v>9.796132E-05</v>
      </c>
      <c r="D38" s="165">
        <v>1.384584E-05</v>
      </c>
      <c r="E38" s="165">
        <v>-7.170518E-05</v>
      </c>
      <c r="F38" s="165">
        <v>-0.0001811964</v>
      </c>
      <c r="G38" s="165">
        <v>0.0003409955</v>
      </c>
    </row>
    <row r="39" spans="1:7" ht="12.75">
      <c r="A39" s="164" t="s">
        <v>144</v>
      </c>
      <c r="B39" s="165">
        <v>0.0003335557</v>
      </c>
      <c r="C39" s="165">
        <v>-8.656924E-05</v>
      </c>
      <c r="D39" s="165">
        <v>-0.0002452081</v>
      </c>
      <c r="E39" s="165">
        <v>1.859478E-05</v>
      </c>
      <c r="F39" s="165">
        <v>0.0001985102</v>
      </c>
      <c r="G39" s="165">
        <v>0.0001672187</v>
      </c>
    </row>
    <row r="40" spans="2:5" ht="12.75">
      <c r="B40" s="164" t="s">
        <v>145</v>
      </c>
      <c r="C40" s="164">
        <v>0.003749</v>
      </c>
      <c r="D40" s="164" t="s">
        <v>146</v>
      </c>
      <c r="E40" s="164">
        <v>3.116748</v>
      </c>
    </row>
    <row r="42" ht="12.75">
      <c r="A42" s="164" t="s">
        <v>147</v>
      </c>
    </row>
    <row r="50" spans="1:7" ht="12.75">
      <c r="A50" s="164" t="s">
        <v>148</v>
      </c>
      <c r="B50" s="164">
        <f>-0.017/(B7*B7+B22*B22)*(B21*B22+B6*B7)</f>
        <v>0.00010472528021927843</v>
      </c>
      <c r="C50" s="164">
        <f>-0.017/(C7*C7+C22*C22)*(C21*C22+C6*C7)</f>
        <v>9.796132449016613E-05</v>
      </c>
      <c r="D50" s="164">
        <f>-0.017/(D7*D7+D22*D22)*(D21*D22+D6*D7)</f>
        <v>1.3845840901504653E-05</v>
      </c>
      <c r="E50" s="164">
        <f>-0.017/(E7*E7+E22*E22)*(E21*E22+E6*E7)</f>
        <v>-7.170518260270587E-05</v>
      </c>
      <c r="F50" s="164">
        <f>-0.017/(F7*F7+F22*F22)*(F21*F22+F6*F7)</f>
        <v>-0.00018119642703838477</v>
      </c>
      <c r="G50" s="164">
        <f>(B50*B$4+C50*C$4+D50*D$4+E50*E$4+F50*F$4)/SUM(B$4:F$4)</f>
        <v>5.753528546072002E-07</v>
      </c>
    </row>
    <row r="51" spans="1:7" ht="12.75">
      <c r="A51" s="164" t="s">
        <v>149</v>
      </c>
      <c r="B51" s="164">
        <f>-0.017/(B7*B7+B22*B22)*(B21*B7-B6*B22)</f>
        <v>0.0003335556918967018</v>
      </c>
      <c r="C51" s="164">
        <f>-0.017/(C7*C7+C22*C22)*(C21*C7-C6*C22)</f>
        <v>-8.656924681905023E-05</v>
      </c>
      <c r="D51" s="164">
        <f>-0.017/(D7*D7+D22*D22)*(D21*D7-D6*D22)</f>
        <v>-0.0002452080401828023</v>
      </c>
      <c r="E51" s="164">
        <f>-0.017/(E7*E7+E22*E22)*(E21*E7-E6*E22)</f>
        <v>1.859478169152782E-05</v>
      </c>
      <c r="F51" s="164">
        <f>-0.017/(F7*F7+F22*F22)*(F21*F7-F6*F22)</f>
        <v>0.00019851022702298276</v>
      </c>
      <c r="G51" s="164">
        <f>(B51*B$4+C51*C$4+D51*D$4+E51*E$4+F51*F$4)/SUM(B$4:F$4)</f>
        <v>-5.970192595518579E-07</v>
      </c>
    </row>
    <row r="58" ht="12.75">
      <c r="A58" s="164" t="s">
        <v>151</v>
      </c>
    </row>
    <row r="60" spans="2:6" ht="12.75">
      <c r="B60" s="164" t="s">
        <v>84</v>
      </c>
      <c r="C60" s="164" t="s">
        <v>85</v>
      </c>
      <c r="D60" s="164" t="s">
        <v>86</v>
      </c>
      <c r="E60" s="164" t="s">
        <v>87</v>
      </c>
      <c r="F60" s="164" t="s">
        <v>88</v>
      </c>
    </row>
    <row r="61" spans="1:6" ht="12.75">
      <c r="A61" s="164" t="s">
        <v>153</v>
      </c>
      <c r="B61" s="164">
        <f>B6+(1/0.017)*(B7*B50-B22*B51)</f>
        <v>0</v>
      </c>
      <c r="C61" s="164">
        <f>C6+(1/0.017)*(C7*C50-C22*C51)</f>
        <v>0</v>
      </c>
      <c r="D61" s="164">
        <f>D6+(1/0.017)*(D7*D50-D22*D51)</f>
        <v>0</v>
      </c>
      <c r="E61" s="164">
        <f>E6+(1/0.017)*(E7*E50-E22*E51)</f>
        <v>0</v>
      </c>
      <c r="F61" s="164">
        <f>F6+(1/0.017)*(F7*F50-F22*F51)</f>
        <v>0</v>
      </c>
    </row>
    <row r="62" spans="1:6" ht="12.75">
      <c r="A62" s="164" t="s">
        <v>156</v>
      </c>
      <c r="B62" s="164">
        <f>B7+(2/0.017)*(B8*B50-B23*B51)</f>
        <v>10000.134105888366</v>
      </c>
      <c r="C62" s="164">
        <f>C7+(2/0.017)*(C8*C50-C23*C51)</f>
        <v>9999.971620463364</v>
      </c>
      <c r="D62" s="164">
        <f>D7+(2/0.017)*(D8*D50-D23*D51)</f>
        <v>10000.034251366022</v>
      </c>
      <c r="E62" s="164">
        <f>E7+(2/0.017)*(E8*E50-E23*E51)</f>
        <v>10000.003504765778</v>
      </c>
      <c r="F62" s="164">
        <f>F7+(2/0.017)*(F8*F50-F23*F51)</f>
        <v>10000.004316004097</v>
      </c>
    </row>
    <row r="63" spans="1:6" ht="12.75">
      <c r="A63" s="164" t="s">
        <v>157</v>
      </c>
      <c r="B63" s="164">
        <f>B8+(3/0.017)*(B9*B50-B24*B51)</f>
        <v>2.130507665421581</v>
      </c>
      <c r="C63" s="164">
        <f>C8+(3/0.017)*(C9*C50-C24*C51)</f>
        <v>-1.030314629695443</v>
      </c>
      <c r="D63" s="164">
        <f>D8+(3/0.017)*(D9*D50-D24*D51)</f>
        <v>0.17018184010316495</v>
      </c>
      <c r="E63" s="164">
        <f>E8+(3/0.017)*(E9*E50-E24*E51)</f>
        <v>-0.33649829221183775</v>
      </c>
      <c r="F63" s="164">
        <f>F8+(3/0.017)*(F9*F50-F24*F51)</f>
        <v>-6.898605563607801</v>
      </c>
    </row>
    <row r="64" spans="1:6" ht="12.75">
      <c r="A64" s="164" t="s">
        <v>158</v>
      </c>
      <c r="B64" s="164">
        <f>B9+(4/0.017)*(B10*B50-B25*B51)</f>
        <v>-0.2946289419868172</v>
      </c>
      <c r="C64" s="164">
        <f>C9+(4/0.017)*(C10*C50-C25*C51)</f>
        <v>-0.2535397991612215</v>
      </c>
      <c r="D64" s="164">
        <f>D9+(4/0.017)*(D10*D50-D25*D51)</f>
        <v>-0.2995609186154762</v>
      </c>
      <c r="E64" s="164">
        <f>E9+(4/0.017)*(E10*E50-E25*E51)</f>
        <v>-0.4031993464372957</v>
      </c>
      <c r="F64" s="164">
        <f>F9+(4/0.017)*(F10*F50-F25*F51)</f>
        <v>-1.4947400517508218</v>
      </c>
    </row>
    <row r="65" spans="1:6" ht="12.75">
      <c r="A65" s="164" t="s">
        <v>159</v>
      </c>
      <c r="B65" s="164">
        <f>B10+(5/0.017)*(B11*B50-B26*B51)</f>
        <v>-0.6471187355577241</v>
      </c>
      <c r="C65" s="164">
        <f>C10+(5/0.017)*(C11*C50-C26*C51)</f>
        <v>-0.17977735100122133</v>
      </c>
      <c r="D65" s="164">
        <f>D10+(5/0.017)*(D11*D50-D26*D51)</f>
        <v>-0.2446658757776266</v>
      </c>
      <c r="E65" s="164">
        <f>E10+(5/0.017)*(E11*E50-E26*E51)</f>
        <v>-0.23070737160975324</v>
      </c>
      <c r="F65" s="164">
        <f>F10+(5/0.017)*(F11*F50-F26*F51)</f>
        <v>-0.6439897586259258</v>
      </c>
    </row>
    <row r="66" spans="1:6" ht="12.75">
      <c r="A66" s="164" t="s">
        <v>160</v>
      </c>
      <c r="B66" s="164">
        <f>B11+(6/0.017)*(B12*B50-B27*B51)</f>
        <v>3.9996010980247396</v>
      </c>
      <c r="C66" s="164">
        <f>C11+(6/0.017)*(C12*C50-C27*C51)</f>
        <v>4.287631760159605</v>
      </c>
      <c r="D66" s="164">
        <f>D11+(6/0.017)*(D12*D50-D27*D51)</f>
        <v>4.716672640601188</v>
      </c>
      <c r="E66" s="164">
        <f>E11+(6/0.017)*(E12*E50-E27*E51)</f>
        <v>4.342054477176833</v>
      </c>
      <c r="F66" s="164">
        <f>F11+(6/0.017)*(F12*F50-F27*F51)</f>
        <v>14.855941368369622</v>
      </c>
    </row>
    <row r="67" spans="1:6" ht="12.75">
      <c r="A67" s="164" t="s">
        <v>161</v>
      </c>
      <c r="B67" s="164">
        <f>B12+(7/0.017)*(B13*B50-B28*B51)</f>
        <v>0.16259735675870018</v>
      </c>
      <c r="C67" s="164">
        <f>C12+(7/0.017)*(C13*C50-C28*C51)</f>
        <v>-0.27713497141328297</v>
      </c>
      <c r="D67" s="164">
        <f>D12+(7/0.017)*(D13*D50-D28*D51)</f>
        <v>-0.16337723515130328</v>
      </c>
      <c r="E67" s="164">
        <f>E12+(7/0.017)*(E13*E50-E28*E51)</f>
        <v>-0.24792444813467138</v>
      </c>
      <c r="F67" s="164">
        <f>F12+(7/0.017)*(F13*F50-F28*F51)</f>
        <v>0.05713727056527199</v>
      </c>
    </row>
    <row r="68" spans="1:6" ht="12.75">
      <c r="A68" s="164" t="s">
        <v>162</v>
      </c>
      <c r="B68" s="164">
        <f>B13+(8/0.017)*(B14*B50-B29*B51)</f>
        <v>-0.08802933016124351</v>
      </c>
      <c r="C68" s="164">
        <f>C13+(8/0.017)*(C14*C50-C29*C51)</f>
        <v>-0.15583067169157191</v>
      </c>
      <c r="D68" s="164">
        <f>D13+(8/0.017)*(D14*D50-D29*D51)</f>
        <v>-0.030848401727331505</v>
      </c>
      <c r="E68" s="164">
        <f>E13+(8/0.017)*(E14*E50-E29*E51)</f>
        <v>-0.22885446052494596</v>
      </c>
      <c r="F68" s="164">
        <f>F13+(8/0.017)*(F14*F50-F29*F51)</f>
        <v>0.059257131846753484</v>
      </c>
    </row>
    <row r="69" spans="1:6" ht="12.75">
      <c r="A69" s="164" t="s">
        <v>163</v>
      </c>
      <c r="B69" s="164">
        <f>B14+(9/0.017)*(B15*B50-B30*B51)</f>
        <v>-0.035580698875859657</v>
      </c>
      <c r="C69" s="164">
        <f>C14+(9/0.017)*(C15*C50-C30*C51)</f>
        <v>-0.03721559970978316</v>
      </c>
      <c r="D69" s="164">
        <f>D14+(9/0.017)*(D15*D50-D30*D51)</f>
        <v>-0.09024248975597288</v>
      </c>
      <c r="E69" s="164">
        <f>E14+(9/0.017)*(E15*E50-E30*E51)</f>
        <v>-0.06463108988407852</v>
      </c>
      <c r="F69" s="164">
        <f>F14+(9/0.017)*(F15*F50-F30*F51)</f>
        <v>0.03585954404011893</v>
      </c>
    </row>
    <row r="70" spans="1:6" ht="12.75">
      <c r="A70" s="164" t="s">
        <v>164</v>
      </c>
      <c r="B70" s="164">
        <f>B15+(10/0.017)*(B16*B50-B31*B51)</f>
        <v>-0.44071429246770677</v>
      </c>
      <c r="C70" s="164">
        <f>C15+(10/0.017)*(C16*C50-C31*C51)</f>
        <v>-0.1384646784426195</v>
      </c>
      <c r="D70" s="164">
        <f>D15+(10/0.017)*(D16*D50-D31*D51)</f>
        <v>-0.0871867382544474</v>
      </c>
      <c r="E70" s="164">
        <f>E15+(10/0.017)*(E16*E50-E31*E51)</f>
        <v>-0.1107295577228423</v>
      </c>
      <c r="F70" s="164">
        <f>F15+(10/0.017)*(F16*F50-F31*F51)</f>
        <v>-0.34446335427970304</v>
      </c>
    </row>
    <row r="71" spans="1:6" ht="12.75">
      <c r="A71" s="164" t="s">
        <v>165</v>
      </c>
      <c r="B71" s="164">
        <f>B16+(11/0.017)*(B17*B50-B32*B51)</f>
        <v>-0.004807808246436725</v>
      </c>
      <c r="C71" s="164">
        <f>C16+(11/0.017)*(C17*C50-C32*C51)</f>
        <v>0.009087811551084258</v>
      </c>
      <c r="D71" s="164">
        <f>D16+(11/0.017)*(D17*D50-D32*D51)</f>
        <v>-0.016707749784914436</v>
      </c>
      <c r="E71" s="164">
        <f>E16+(11/0.017)*(E17*E50-E32*E51)</f>
        <v>-0.028331895171093288</v>
      </c>
      <c r="F71" s="164">
        <f>F16+(11/0.017)*(F17*F50-F32*F51)</f>
        <v>-0.020662427172955945</v>
      </c>
    </row>
    <row r="72" spans="1:6" ht="12.75">
      <c r="A72" s="164" t="s">
        <v>166</v>
      </c>
      <c r="B72" s="164">
        <f>B17+(12/0.017)*(B18*B50-B33*B51)</f>
        <v>-0.005856468926918057</v>
      </c>
      <c r="C72" s="164">
        <f>C17+(12/0.017)*(C18*C50-C33*C51)</f>
        <v>0.012292738923458562</v>
      </c>
      <c r="D72" s="164">
        <f>D17+(12/0.017)*(D18*D50-D33*D51)</f>
        <v>0.008209501636517383</v>
      </c>
      <c r="E72" s="164">
        <f>E17+(12/0.017)*(E18*E50-E33*E51)</f>
        <v>-0.0010763496334233657</v>
      </c>
      <c r="F72" s="164">
        <f>F17+(12/0.017)*(F18*F50-F33*F51)</f>
        <v>0.003414918173164901</v>
      </c>
    </row>
    <row r="73" spans="1:6" ht="12.75">
      <c r="A73" s="164" t="s">
        <v>167</v>
      </c>
      <c r="B73" s="164">
        <f>B18+(13/0.017)*(B19*B50-B34*B51)</f>
        <v>0.03264388605270664</v>
      </c>
      <c r="C73" s="164">
        <f>C18+(13/0.017)*(C19*C50-C34*C51)</f>
        <v>0.041724580217972984</v>
      </c>
      <c r="D73" s="164">
        <f>D18+(13/0.017)*(D19*D50-D34*D51)</f>
        <v>0.040302731504754406</v>
      </c>
      <c r="E73" s="164">
        <f>E18+(13/0.017)*(E19*E50-E34*E51)</f>
        <v>0.044682759765481125</v>
      </c>
      <c r="F73" s="164">
        <f>F18+(13/0.017)*(F19*F50-F34*F51)</f>
        <v>0.02902914841271353</v>
      </c>
    </row>
    <row r="74" spans="1:6" ht="12.75">
      <c r="A74" s="164" t="s">
        <v>168</v>
      </c>
      <c r="B74" s="164">
        <f>B19+(14/0.017)*(B20*B50-B35*B51)</f>
        <v>-0.176265851577956</v>
      </c>
      <c r="C74" s="164">
        <f>C19+(14/0.017)*(C20*C50-C35*C51)</f>
        <v>-0.15310068977400665</v>
      </c>
      <c r="D74" s="164">
        <f>D19+(14/0.017)*(D20*D50-D35*D51)</f>
        <v>-0.16684427002892865</v>
      </c>
      <c r="E74" s="164">
        <f>E19+(14/0.017)*(E20*E50-E35*E51)</f>
        <v>-0.15868785510218875</v>
      </c>
      <c r="F74" s="164">
        <f>F19+(14/0.017)*(F20*F50-F35*F51)</f>
        <v>-0.13322344980860892</v>
      </c>
    </row>
    <row r="75" spans="1:6" ht="12.75">
      <c r="A75" s="164" t="s">
        <v>169</v>
      </c>
      <c r="B75" s="165">
        <f>B20</f>
        <v>0.0003372601</v>
      </c>
      <c r="C75" s="165">
        <f>C20</f>
        <v>0.003661148</v>
      </c>
      <c r="D75" s="165">
        <f>D20</f>
        <v>0.004612124</v>
      </c>
      <c r="E75" s="165">
        <f>E20</f>
        <v>0.002442783</v>
      </c>
      <c r="F75" s="165">
        <f>F20</f>
        <v>-0.001871253</v>
      </c>
    </row>
    <row r="78" ht="12.75">
      <c r="A78" s="164" t="s">
        <v>151</v>
      </c>
    </row>
    <row r="80" spans="2:6" ht="12.75">
      <c r="B80" s="164" t="s">
        <v>84</v>
      </c>
      <c r="C80" s="164" t="s">
        <v>85</v>
      </c>
      <c r="D80" s="164" t="s">
        <v>86</v>
      </c>
      <c r="E80" s="164" t="s">
        <v>87</v>
      </c>
      <c r="F80" s="164" t="s">
        <v>88</v>
      </c>
    </row>
    <row r="81" spans="1:6" ht="12.75">
      <c r="A81" s="164" t="s">
        <v>170</v>
      </c>
      <c r="B81" s="164">
        <f>B21+(1/0.017)*(B7*B51+B22*B50)</f>
        <v>0</v>
      </c>
      <c r="C81" s="164">
        <f>C21+(1/0.017)*(C7*C51+C22*C50)</f>
        <v>0</v>
      </c>
      <c r="D81" s="164">
        <f>D21+(1/0.017)*(D7*D51+D22*D50)</f>
        <v>0</v>
      </c>
      <c r="E81" s="164">
        <f>E21+(1/0.017)*(E7*E51+E22*E50)</f>
        <v>0</v>
      </c>
      <c r="F81" s="164">
        <f>F21+(1/0.017)*(F7*F51+F22*F50)</f>
        <v>0</v>
      </c>
    </row>
    <row r="82" spans="1:6" ht="12.75">
      <c r="A82" s="164" t="s">
        <v>171</v>
      </c>
      <c r="B82" s="164">
        <f>B22+(2/0.017)*(B8*B51+B23*B50)</f>
        <v>152.06133056625794</v>
      </c>
      <c r="C82" s="164">
        <f>C22+(2/0.017)*(C8*C51+C23*C50)</f>
        <v>34.93299591617002</v>
      </c>
      <c r="D82" s="164">
        <f>D22+(2/0.017)*(D8*D51+D23*D50)</f>
        <v>-29.196026032367005</v>
      </c>
      <c r="E82" s="164">
        <f>E22+(2/0.017)*(E8*E51+E23*E50)</f>
        <v>-46.49604679462549</v>
      </c>
      <c r="F82" s="164">
        <f>F22+(2/0.017)*(F8*F51+F23*F50)</f>
        <v>-91.27003760980631</v>
      </c>
    </row>
    <row r="83" spans="1:6" ht="12.75">
      <c r="A83" s="164" t="s">
        <v>172</v>
      </c>
      <c r="B83" s="164">
        <f>B23+(3/0.017)*(B9*B51+B24*B50)</f>
        <v>-2.8425022093741545</v>
      </c>
      <c r="C83" s="164">
        <f>C23+(3/0.017)*(C9*C51+C24*C50)</f>
        <v>-1.6160173284826254</v>
      </c>
      <c r="D83" s="164">
        <f>D23+(3/0.017)*(D9*D51+D24*D50)</f>
        <v>1.191346439074815</v>
      </c>
      <c r="E83" s="164">
        <f>E23+(3/0.017)*(E9*E51+E24*E50)</f>
        <v>-0.1836168991488571</v>
      </c>
      <c r="F83" s="164">
        <f>F23+(3/0.017)*(F9*F51+F24*F50)</f>
        <v>6.121473184986445</v>
      </c>
    </row>
    <row r="84" spans="1:6" ht="12.75">
      <c r="A84" s="164" t="s">
        <v>173</v>
      </c>
      <c r="B84" s="164">
        <f>B24+(4/0.017)*(B10*B51+B25*B50)</f>
        <v>-2.1403556012570446</v>
      </c>
      <c r="C84" s="164">
        <f>C24+(4/0.017)*(C10*C51+C25*C50)</f>
        <v>0.166219717764096</v>
      </c>
      <c r="D84" s="164">
        <f>D24+(4/0.017)*(D10*D51+D25*D50)</f>
        <v>-0.19265855541354715</v>
      </c>
      <c r="E84" s="164">
        <f>E24+(4/0.017)*(E10*E51+E25*E50)</f>
        <v>-4.044924299684877</v>
      </c>
      <c r="F84" s="164">
        <f>F24+(4/0.017)*(F10*F51+F25*F50)</f>
        <v>-0.1888315439490784</v>
      </c>
    </row>
    <row r="85" spans="1:6" ht="12.75">
      <c r="A85" s="164" t="s">
        <v>174</v>
      </c>
      <c r="B85" s="164">
        <f>B25+(5/0.017)*(B11*B51+B26*B50)</f>
        <v>-0.1456657153143896</v>
      </c>
      <c r="C85" s="164">
        <f>C25+(5/0.017)*(C11*C51+C26*C50)</f>
        <v>-0.24463073877441371</v>
      </c>
      <c r="D85" s="164">
        <f>D25+(5/0.017)*(D11*D51+D26*D50)</f>
        <v>0.3733667161297233</v>
      </c>
      <c r="E85" s="164">
        <f>E25+(5/0.017)*(E11*E51+E26*E50)</f>
        <v>-0.06310142066757518</v>
      </c>
      <c r="F85" s="164">
        <f>F25+(5/0.017)*(F11*F51+F26*F50)</f>
        <v>-1.3720323774850167</v>
      </c>
    </row>
    <row r="86" spans="1:6" ht="12.75">
      <c r="A86" s="164" t="s">
        <v>175</v>
      </c>
      <c r="B86" s="164">
        <f>B26+(6/0.017)*(B12*B51+B27*B50)</f>
        <v>1.4605031648714268</v>
      </c>
      <c r="C86" s="164">
        <f>C26+(6/0.017)*(C12*C51+C27*C50)</f>
        <v>-0.2435546532543284</v>
      </c>
      <c r="D86" s="164">
        <f>D26+(6/0.017)*(D12*D51+D27*D50)</f>
        <v>-0.4272877901278996</v>
      </c>
      <c r="E86" s="164">
        <f>E26+(6/0.017)*(E12*E51+E27*E50)</f>
        <v>-0.1980412078901042</v>
      </c>
      <c r="F86" s="164">
        <f>F26+(6/0.017)*(F12*F51+F27*F50)</f>
        <v>0.7077697940282295</v>
      </c>
    </row>
    <row r="87" spans="1:6" ht="12.75">
      <c r="A87" s="164" t="s">
        <v>176</v>
      </c>
      <c r="B87" s="164">
        <f>B27+(7/0.017)*(B13*B51+B28*B50)</f>
        <v>-0.07022818386317095</v>
      </c>
      <c r="C87" s="164">
        <f>C27+(7/0.017)*(C13*C51+C28*C50)</f>
        <v>0.00024610745231020206</v>
      </c>
      <c r="D87" s="164">
        <f>D27+(7/0.017)*(D13*D51+D28*D50)</f>
        <v>-0.037698349510999686</v>
      </c>
      <c r="E87" s="164">
        <f>E27+(7/0.017)*(E13*E51+E28*E50)</f>
        <v>-0.16046691570658664</v>
      </c>
      <c r="F87" s="164">
        <f>F27+(7/0.017)*(F13*F51+F28*F50)</f>
        <v>0.2324746558087958</v>
      </c>
    </row>
    <row r="88" spans="1:6" ht="12.75">
      <c r="A88" s="164" t="s">
        <v>177</v>
      </c>
      <c r="B88" s="164">
        <f>B28+(8/0.017)*(B14*B51+B29*B50)</f>
        <v>0.210716168391057</v>
      </c>
      <c r="C88" s="164">
        <f>C28+(8/0.017)*(C14*C51+C29*C50)</f>
        <v>0.08026938083736833</v>
      </c>
      <c r="D88" s="164">
        <f>D28+(8/0.017)*(D14*D51+D29*D50)</f>
        <v>0.02867154232798482</v>
      </c>
      <c r="E88" s="164">
        <f>E28+(8/0.017)*(E14*E51+E29*E50)</f>
        <v>-0.21344268407008557</v>
      </c>
      <c r="F88" s="164">
        <f>F28+(8/0.017)*(F14*F51+F29*F50)</f>
        <v>0.1713749681731421</v>
      </c>
    </row>
    <row r="89" spans="1:6" ht="12.75">
      <c r="A89" s="164" t="s">
        <v>178</v>
      </c>
      <c r="B89" s="164">
        <f>B29+(9/0.017)*(B15*B51+B30*B50)</f>
        <v>0.08403733641140144</v>
      </c>
      <c r="C89" s="164">
        <f>C29+(9/0.017)*(C15*C51+C30*C50)</f>
        <v>0.13197825583918504</v>
      </c>
      <c r="D89" s="164">
        <f>D29+(9/0.017)*(D15*D51+D30*D50)</f>
        <v>0.063324521962931</v>
      </c>
      <c r="E89" s="164">
        <f>E29+(9/0.017)*(E15*E51+E30*E50)</f>
        <v>-0.021938135823855717</v>
      </c>
      <c r="F89" s="164">
        <f>F29+(9/0.017)*(F15*F51+F30*F50)</f>
        <v>0.021041679289261914</v>
      </c>
    </row>
    <row r="90" spans="1:6" ht="12.75">
      <c r="A90" s="164" t="s">
        <v>179</v>
      </c>
      <c r="B90" s="164">
        <f>B30+(10/0.017)*(B16*B51+B31*B50)</f>
        <v>0.08203059383684624</v>
      </c>
      <c r="C90" s="164">
        <f>C30+(10/0.017)*(C16*C51+C31*C50)</f>
        <v>0.03920760918953602</v>
      </c>
      <c r="D90" s="164">
        <f>D30+(10/0.017)*(D16*D51+D31*D50)</f>
        <v>0.0418734903874024</v>
      </c>
      <c r="E90" s="164">
        <f>E30+(10/0.017)*(E16*E51+E31*E50)</f>
        <v>0.061561132720525054</v>
      </c>
      <c r="F90" s="164">
        <f>F30+(10/0.017)*(F16*F51+F31*F50)</f>
        <v>0.2702491807430403</v>
      </c>
    </row>
    <row r="91" spans="1:6" ht="12.75">
      <c r="A91" s="164" t="s">
        <v>180</v>
      </c>
      <c r="B91" s="164">
        <f>B31+(11/0.017)*(B17*B51+B32*B50)</f>
        <v>0.03885941176029941</v>
      </c>
      <c r="C91" s="164">
        <f>C31+(11/0.017)*(C17*C51+C32*C50)</f>
        <v>0.025819290215013235</v>
      </c>
      <c r="D91" s="164">
        <f>D31+(11/0.017)*(D17*D51+D32*D50)</f>
        <v>0.003336385757633901</v>
      </c>
      <c r="E91" s="164">
        <f>E31+(11/0.017)*(E17*E51+E32*E50)</f>
        <v>-0.00880042831024808</v>
      </c>
      <c r="F91" s="164">
        <f>F31+(11/0.017)*(F17*F51+F32*F50)</f>
        <v>0.0791380519432994</v>
      </c>
    </row>
    <row r="92" spans="1:6" ht="12.75">
      <c r="A92" s="164" t="s">
        <v>181</v>
      </c>
      <c r="B92" s="164">
        <f>B32+(12/0.017)*(B18*B51+B33*B50)</f>
        <v>0.07747235093093398</v>
      </c>
      <c r="C92" s="164">
        <f>C32+(12/0.017)*(C18*C51+C33*C50)</f>
        <v>0.012107303291929186</v>
      </c>
      <c r="D92" s="164">
        <f>D32+(12/0.017)*(D18*D51+D33*D50)</f>
        <v>-0.0021264096778271313</v>
      </c>
      <c r="E92" s="164">
        <f>E32+(12/0.017)*(E18*E51+E33*E50)</f>
        <v>0.0008160243462271706</v>
      </c>
      <c r="F92" s="164">
        <f>F32+(12/0.017)*(F18*F51+F33*F50)</f>
        <v>0.04117442960363617</v>
      </c>
    </row>
    <row r="93" spans="1:6" ht="12.75">
      <c r="A93" s="164" t="s">
        <v>182</v>
      </c>
      <c r="B93" s="164">
        <f>B33+(13/0.017)*(B19*B51+B34*B50)</f>
        <v>0.02661682973124478</v>
      </c>
      <c r="C93" s="164">
        <f>C33+(13/0.017)*(C19*C51+C34*C50)</f>
        <v>0.022186714549552376</v>
      </c>
      <c r="D93" s="164">
        <f>D33+(13/0.017)*(D19*D51+D34*D50)</f>
        <v>0.008847893264634154</v>
      </c>
      <c r="E93" s="164">
        <f>E33+(13/0.017)*(E19*E51+E34*E50)</f>
        <v>0.0020059078373888717</v>
      </c>
      <c r="F93" s="164">
        <f>F33+(13/0.017)*(F19*F51+F34*F50)</f>
        <v>0.014793189245929938</v>
      </c>
    </row>
    <row r="94" spans="1:6" ht="12.75">
      <c r="A94" s="164" t="s">
        <v>183</v>
      </c>
      <c r="B94" s="164">
        <f>B34+(14/0.017)*(B20*B51+B35*B50)</f>
        <v>0.0020643531073521963</v>
      </c>
      <c r="C94" s="164">
        <f>C34+(14/0.017)*(C20*C51+C35*C50)</f>
        <v>0.011806893029450653</v>
      </c>
      <c r="D94" s="164">
        <f>D34+(14/0.017)*(D20*D51+D35*D50)</f>
        <v>0.01507687239730557</v>
      </c>
      <c r="E94" s="164">
        <f>E34+(14/0.017)*(E20*E51+E35*E50)</f>
        <v>0.02142547221542329</v>
      </c>
      <c r="F94" s="164">
        <f>F34+(14/0.017)*(F20*F51+F35*F50)</f>
        <v>-0.01146807773399722</v>
      </c>
    </row>
    <row r="95" spans="1:6" ht="12.75">
      <c r="A95" s="164" t="s">
        <v>184</v>
      </c>
      <c r="B95" s="165">
        <f>B35</f>
        <v>-0.0008560892</v>
      </c>
      <c r="C95" s="165">
        <f>C35</f>
        <v>-0.002695232</v>
      </c>
      <c r="D95" s="165">
        <f>D35</f>
        <v>0.001286251</v>
      </c>
      <c r="E95" s="165">
        <f>E35</f>
        <v>0.002514507</v>
      </c>
      <c r="F95" s="165">
        <f>F35</f>
        <v>0.005377322</v>
      </c>
    </row>
    <row r="98" ht="12.75">
      <c r="A98" s="164" t="s">
        <v>152</v>
      </c>
    </row>
    <row r="100" spans="2:11" ht="12.75">
      <c r="B100" s="164" t="s">
        <v>84</v>
      </c>
      <c r="C100" s="164" t="s">
        <v>85</v>
      </c>
      <c r="D100" s="164" t="s">
        <v>86</v>
      </c>
      <c r="E100" s="164" t="s">
        <v>87</v>
      </c>
      <c r="F100" s="164" t="s">
        <v>88</v>
      </c>
      <c r="G100" s="164" t="s">
        <v>154</v>
      </c>
      <c r="H100" s="164" t="s">
        <v>155</v>
      </c>
      <c r="I100" s="164" t="s">
        <v>150</v>
      </c>
      <c r="K100" s="164" t="s">
        <v>185</v>
      </c>
    </row>
    <row r="101" spans="1:9" ht="12.75">
      <c r="A101" s="164" t="s">
        <v>153</v>
      </c>
      <c r="B101" s="164">
        <f>B61*10000/B62</f>
        <v>0</v>
      </c>
      <c r="C101" s="164">
        <f>C61*10000/C62</f>
        <v>0</v>
      </c>
      <c r="D101" s="164">
        <f>D61*10000/D62</f>
        <v>0</v>
      </c>
      <c r="E101" s="164">
        <f>E61*10000/E62</f>
        <v>0</v>
      </c>
      <c r="F101" s="164">
        <f>F61*10000/F62</f>
        <v>0</v>
      </c>
      <c r="G101" s="164">
        <f>AVERAGE(C101:E101)</f>
        <v>0</v>
      </c>
      <c r="H101" s="164">
        <f>STDEV(C101:E101)</f>
        <v>0</v>
      </c>
      <c r="I101" s="164">
        <f>(B101*B4+C101*C4+D101*D4+E101*E4+F101*F4)/SUM(B4:F4)</f>
        <v>0</v>
      </c>
    </row>
    <row r="102" spans="1:9" ht="12.75">
      <c r="A102" s="164" t="s">
        <v>156</v>
      </c>
      <c r="B102" s="164">
        <f>B62*10000/B62</f>
        <v>10000</v>
      </c>
      <c r="C102" s="164">
        <f>C62*10000/C62</f>
        <v>10000</v>
      </c>
      <c r="D102" s="164">
        <f>D62*10000/D62</f>
        <v>10000</v>
      </c>
      <c r="E102" s="164">
        <f>E62*10000/E62</f>
        <v>10000</v>
      </c>
      <c r="F102" s="164">
        <f>F62*10000/F62</f>
        <v>10000</v>
      </c>
      <c r="G102" s="164">
        <f>AVERAGE(C102:E102)</f>
        <v>10000</v>
      </c>
      <c r="H102" s="164">
        <f>STDEV(C102:E102)</f>
        <v>0</v>
      </c>
      <c r="I102" s="164">
        <f>(B102*B4+C102*C4+D102*D4+E102*E4+F102*F4)/SUM(B4:F4)</f>
        <v>10000.000000000002</v>
      </c>
    </row>
    <row r="103" spans="1:11" ht="12.75">
      <c r="A103" s="164" t="s">
        <v>157</v>
      </c>
      <c r="B103" s="164">
        <f>B63*10000/B62</f>
        <v>2.130479094442421</v>
      </c>
      <c r="C103" s="164">
        <f>C63*10000/C62</f>
        <v>-1.030317553688919</v>
      </c>
      <c r="D103" s="164">
        <f>D63*10000/D62</f>
        <v>0.17018125720911187</v>
      </c>
      <c r="E103" s="164">
        <f>E63*10000/E62</f>
        <v>-0.33649817427710915</v>
      </c>
      <c r="F103" s="164">
        <f>F63*10000/F62</f>
        <v>-6.898602586168099</v>
      </c>
      <c r="G103" s="164">
        <f>AVERAGE(C103:E103)</f>
        <v>-0.3988781569189721</v>
      </c>
      <c r="H103" s="164">
        <f>STDEV(C103:E103)</f>
        <v>0.602675530793889</v>
      </c>
      <c r="I103" s="164">
        <f>(B103*B4+C103*C4+D103*D4+E103*E4+F103*F4)/SUM(B4:F4)</f>
        <v>-0.9015876476715118</v>
      </c>
      <c r="K103" s="164">
        <f>(LN(H103)+LN(H123))/2-LN(K114*K115^3)</f>
        <v>-3.9621543841433837</v>
      </c>
    </row>
    <row r="104" spans="1:11" ht="12.75">
      <c r="A104" s="164" t="s">
        <v>158</v>
      </c>
      <c r="B104" s="164">
        <f>B64*10000/B62</f>
        <v>-0.29462499089220334</v>
      </c>
      <c r="C104" s="164">
        <f>C64*10000/C62</f>
        <v>-0.2535405186974654</v>
      </c>
      <c r="D104" s="164">
        <f>D64*10000/D62</f>
        <v>-0.29955989258192356</v>
      </c>
      <c r="E104" s="164">
        <f>E64*10000/E62</f>
        <v>-0.4031992051254181</v>
      </c>
      <c r="F104" s="164">
        <f>F64*10000/F62</f>
        <v>-1.4947394066206816</v>
      </c>
      <c r="G104" s="164">
        <f>AVERAGE(C104:E104)</f>
        <v>-0.31876653880160233</v>
      </c>
      <c r="H104" s="164">
        <f>STDEV(C104:E104)</f>
        <v>0.07665573722880131</v>
      </c>
      <c r="I104" s="164">
        <f>(B104*B4+C104*C4+D104*D4+E104*E4+F104*F4)/SUM(B4:F4)</f>
        <v>-0.4723999236457127</v>
      </c>
      <c r="K104" s="164">
        <f>(LN(H104)+LN(H124))/2-LN(K114*K115^4)</f>
        <v>-4.147530348108358</v>
      </c>
    </row>
    <row r="105" spans="1:11" ht="12.75">
      <c r="A105" s="164" t="s">
        <v>159</v>
      </c>
      <c r="B105" s="164">
        <f>B65*10000/B62</f>
        <v>-0.647110057430812</v>
      </c>
      <c r="C105" s="164">
        <f>C65*10000/C62</f>
        <v>-0.17977786120246117</v>
      </c>
      <c r="D105" s="164">
        <f>D65*10000/D62</f>
        <v>-0.2446650377664505</v>
      </c>
      <c r="E105" s="164">
        <f>E65*10000/E62</f>
        <v>-0.2307072907522515</v>
      </c>
      <c r="F105" s="164">
        <f>F65*10000/F62</f>
        <v>-0.6439894806798021</v>
      </c>
      <c r="G105" s="164">
        <f>AVERAGE(C105:E105)</f>
        <v>-0.21838339657372105</v>
      </c>
      <c r="H105" s="164">
        <f>STDEV(C105:E105)</f>
        <v>0.0341539923933396</v>
      </c>
      <c r="I105" s="164">
        <f>(B105*B4+C105*C4+D105*D4+E105*E4+F105*F4)/SUM(B4:F4)</f>
        <v>-0.3372337692820613</v>
      </c>
      <c r="K105" s="164">
        <f>(LN(H105)+LN(H125))/2-LN(K114*K115^5)</f>
        <v>-4.9577787107437725</v>
      </c>
    </row>
    <row r="106" spans="1:11" ht="12.75">
      <c r="A106" s="164" t="s">
        <v>160</v>
      </c>
      <c r="B106" s="164">
        <f>B66*10000/B62</f>
        <v>3.9995474617381976</v>
      </c>
      <c r="C106" s="164">
        <f>C66*10000/C62</f>
        <v>4.2876439282944</v>
      </c>
      <c r="D106" s="164">
        <f>D66*10000/D62</f>
        <v>4.7166564854084205</v>
      </c>
      <c r="E106" s="164">
        <f>E66*10000/E62</f>
        <v>4.342052955388973</v>
      </c>
      <c r="F106" s="164">
        <f>F66*10000/F62</f>
        <v>14.855934956542008</v>
      </c>
      <c r="G106" s="164">
        <f>AVERAGE(C106:E106)</f>
        <v>4.448784456363931</v>
      </c>
      <c r="H106" s="164">
        <f>STDEV(C106:E106)</f>
        <v>0.23357365758075183</v>
      </c>
      <c r="I106" s="164">
        <f>(B106*B4+C106*C4+D106*D4+E106*E4+F106*F4)/SUM(B4:F4)</f>
        <v>5.7742962102609985</v>
      </c>
      <c r="K106" s="164">
        <f>(LN(H106)+LN(H126))/2-LN(K114*K115^6)</f>
        <v>-3.886202514075083</v>
      </c>
    </row>
    <row r="107" spans="1:11" ht="12.75">
      <c r="A107" s="164" t="s">
        <v>161</v>
      </c>
      <c r="B107" s="164">
        <f>B67*10000/B62</f>
        <v>0.16259517626164452</v>
      </c>
      <c r="C107" s="164">
        <f>C67*10000/C62</f>
        <v>-0.27713575791172246</v>
      </c>
      <c r="D107" s="164">
        <f>D67*10000/D62</f>
        <v>-0.16337667556387186</v>
      </c>
      <c r="E107" s="164">
        <f>E67*10000/E62</f>
        <v>-0.24792436124298967</v>
      </c>
      <c r="F107" s="164">
        <f>F67*10000/F62</f>
        <v>0.05713724590481325</v>
      </c>
      <c r="G107" s="164">
        <f>AVERAGE(C107:E107)</f>
        <v>-0.22947893157286134</v>
      </c>
      <c r="H107" s="164">
        <f>STDEV(C107:E107)</f>
        <v>0.05908009487926533</v>
      </c>
      <c r="I107" s="164">
        <f>(B107*B4+C107*C4+D107*D4+E107*E4+F107*F4)/SUM(B4:F4)</f>
        <v>-0.1344998260713539</v>
      </c>
      <c r="K107" s="164">
        <f>(LN(H107)+LN(H127))/2-LN(K114*K115^7)</f>
        <v>-4.166171927506577</v>
      </c>
    </row>
    <row r="108" spans="1:9" ht="12.75">
      <c r="A108" s="164" t="s">
        <v>162</v>
      </c>
      <c r="B108" s="164">
        <f>B68*10000/B62</f>
        <v>-0.08802814965192249</v>
      </c>
      <c r="C108" s="164">
        <f>C68*10000/C62</f>
        <v>-0.1558311139330526</v>
      </c>
      <c r="D108" s="164">
        <f>D68*10000/D62</f>
        <v>-0.030848296067703528</v>
      </c>
      <c r="E108" s="164">
        <f>E68*10000/E62</f>
        <v>-0.2288543803168459</v>
      </c>
      <c r="F108" s="164">
        <f>F68*10000/F62</f>
        <v>0.059257106271362145</v>
      </c>
      <c r="G108" s="164">
        <f>AVERAGE(C108:E108)</f>
        <v>-0.1385112634392007</v>
      </c>
      <c r="H108" s="164">
        <f>STDEV(C108:E108)</f>
        <v>0.1001328380990305</v>
      </c>
      <c r="I108" s="164">
        <f>(B108*B4+C108*C4+D108*D4+E108*E4+F108*F4)/SUM(B4:F4)</f>
        <v>-0.10479491498362398</v>
      </c>
    </row>
    <row r="109" spans="1:9" ht="12.75">
      <c r="A109" s="164" t="s">
        <v>163</v>
      </c>
      <c r="B109" s="164">
        <f>B69*10000/B62</f>
        <v>-0.0355802217241354</v>
      </c>
      <c r="C109" s="164">
        <f>C69*10000/C62</f>
        <v>-0.03721570532623043</v>
      </c>
      <c r="D109" s="164">
        <f>D69*10000/D62</f>
        <v>-0.09024218066417682</v>
      </c>
      <c r="E109" s="164">
        <f>E69*10000/E62</f>
        <v>-0.06463106723240325</v>
      </c>
      <c r="F109" s="164">
        <f>F69*10000/F62</f>
        <v>0.03585952856313171</v>
      </c>
      <c r="G109" s="164">
        <f>AVERAGE(C109:E109)</f>
        <v>-0.06402965107427017</v>
      </c>
      <c r="H109" s="164">
        <f>STDEV(C109:E109)</f>
        <v>0.026518353035924116</v>
      </c>
      <c r="I109" s="164">
        <f>(B109*B4+C109*C4+D109*D4+E109*E4+F109*F4)/SUM(B4:F4)</f>
        <v>-0.04657054596519193</v>
      </c>
    </row>
    <row r="110" spans="1:11" ht="12.75">
      <c r="A110" s="164" t="s">
        <v>164</v>
      </c>
      <c r="B110" s="164">
        <f>B70*10000/B62</f>
        <v>-0.4407083823087948</v>
      </c>
      <c r="C110" s="164">
        <f>C70*10000/C62</f>
        <v>-0.13846507140007616</v>
      </c>
      <c r="D110" s="164">
        <f>D70*10000/D62</f>
        <v>-0.0871864396289818</v>
      </c>
      <c r="E110" s="164">
        <f>E70*10000/E62</f>
        <v>-0.11072951891473945</v>
      </c>
      <c r="F110" s="164">
        <f>F70*10000/F62</f>
        <v>-0.3444632056092424</v>
      </c>
      <c r="G110" s="164">
        <f>AVERAGE(C110:E110)</f>
        <v>-0.11212700998126579</v>
      </c>
      <c r="H110" s="164">
        <f>STDEV(C110:E110)</f>
        <v>0.025667864247725016</v>
      </c>
      <c r="I110" s="164">
        <f>(B110*B4+C110*C4+D110*D4+E110*E4+F110*F4)/SUM(B4:F4)</f>
        <v>-0.19067519670142902</v>
      </c>
      <c r="K110" s="164">
        <f>EXP(AVERAGE(K103:K107))</f>
        <v>0.014640442040004323</v>
      </c>
    </row>
    <row r="111" spans="1:9" ht="12.75">
      <c r="A111" s="164" t="s">
        <v>165</v>
      </c>
      <c r="B111" s="164">
        <f>B71*10000/B62</f>
        <v>-0.0048077437717617705</v>
      </c>
      <c r="C111" s="164">
        <f>C71*10000/C62</f>
        <v>0.009087837341945536</v>
      </c>
      <c r="D111" s="164">
        <f>D71*10000/D62</f>
        <v>-0.016707692558785115</v>
      </c>
      <c r="E111" s="164">
        <f>E71*10000/E62</f>
        <v>-0.028331885241431105</v>
      </c>
      <c r="F111" s="164">
        <f>F71*10000/F62</f>
        <v>-0.02066241825504776</v>
      </c>
      <c r="G111" s="164">
        <f>AVERAGE(C111:E111)</f>
        <v>-0.011983913486090228</v>
      </c>
      <c r="H111" s="164">
        <f>STDEV(C111:E111)</f>
        <v>0.019151879179337458</v>
      </c>
      <c r="I111" s="164">
        <f>(B111*B4+C111*C4+D111*D4+E111*E4+F111*F4)/SUM(B4:F4)</f>
        <v>-0.012106937585066223</v>
      </c>
    </row>
    <row r="112" spans="1:9" ht="12.75">
      <c r="A112" s="164" t="s">
        <v>166</v>
      </c>
      <c r="B112" s="164">
        <f>B72*10000/B62</f>
        <v>-0.005856390389274479</v>
      </c>
      <c r="C112" s="164">
        <f>C72*10000/C62</f>
        <v>0.01229277380978103</v>
      </c>
      <c r="D112" s="164">
        <f>D72*10000/D62</f>
        <v>0.008209473517949152</v>
      </c>
      <c r="E112" s="164">
        <f>E72*10000/E62</f>
        <v>-0.001076349256188162</v>
      </c>
      <c r="F112" s="164">
        <f>F72*10000/F62</f>
        <v>0.0034149166992854542</v>
      </c>
      <c r="G112" s="164">
        <f>AVERAGE(C112:E112)</f>
        <v>0.006475299357180674</v>
      </c>
      <c r="H112" s="164">
        <f>STDEV(C112:E112)</f>
        <v>0.006851195727985382</v>
      </c>
      <c r="I112" s="164">
        <f>(B112*B4+C112*C4+D112*D4+E112*E4+F112*F4)/SUM(B4:F4)</f>
        <v>0.004283002280808045</v>
      </c>
    </row>
    <row r="113" spans="1:9" ht="12.75">
      <c r="A113" s="164" t="s">
        <v>167</v>
      </c>
      <c r="B113" s="164">
        <f>B73*10000/B62</f>
        <v>0.03264344828484349</v>
      </c>
      <c r="C113" s="164">
        <f>C73*10000/C62</f>
        <v>0.04172469863073432</v>
      </c>
      <c r="D113" s="164">
        <f>D73*10000/D62</f>
        <v>0.040302593462866375</v>
      </c>
      <c r="E113" s="164">
        <f>E73*10000/E62</f>
        <v>0.04468274410522588</v>
      </c>
      <c r="F113" s="164">
        <f>F73*10000/F62</f>
        <v>0.029029135883726593</v>
      </c>
      <c r="G113" s="164">
        <f>AVERAGE(C113:E113)</f>
        <v>0.0422366787329422</v>
      </c>
      <c r="H113" s="164">
        <f>STDEV(C113:E113)</f>
        <v>0.002234507245732804</v>
      </c>
      <c r="I113" s="164">
        <f>(B113*B4+C113*C4+D113*D4+E113*E4+F113*F4)/SUM(B4:F4)</f>
        <v>0.03908521840141034</v>
      </c>
    </row>
    <row r="114" spans="1:11" ht="12.75">
      <c r="A114" s="164" t="s">
        <v>168</v>
      </c>
      <c r="B114" s="164">
        <f>B74*10000/B62</f>
        <v>-0.17626348778079445</v>
      </c>
      <c r="C114" s="164">
        <f>C74*10000/C62</f>
        <v>-0.15310112426790318</v>
      </c>
      <c r="D114" s="164">
        <f>D74*10000/D62</f>
        <v>-0.16684369856646986</v>
      </c>
      <c r="E114" s="164">
        <f>E74*10000/E62</f>
        <v>-0.15868779948583184</v>
      </c>
      <c r="F114" s="164">
        <f>F74*10000/F62</f>
        <v>-0.13322339230933822</v>
      </c>
      <c r="G114" s="164">
        <f>AVERAGE(C114:E114)</f>
        <v>-0.15954420744006828</v>
      </c>
      <c r="H114" s="164">
        <f>STDEV(C114:E114)</f>
        <v>0.006911198378426582</v>
      </c>
      <c r="I114" s="164">
        <f>(B114*B4+C114*C4+D114*D4+E114*E4+F114*F4)/SUM(B4:F4)</f>
        <v>-0.15844478788654986</v>
      </c>
      <c r="J114" s="164" t="s">
        <v>186</v>
      </c>
      <c r="K114" s="164">
        <v>285</v>
      </c>
    </row>
    <row r="115" spans="1:11" ht="12.75">
      <c r="A115" s="164" t="s">
        <v>169</v>
      </c>
      <c r="B115" s="164">
        <f>B75*10000/B62</f>
        <v>0.00033725557720412126</v>
      </c>
      <c r="C115" s="164">
        <f>C75*10000/C62</f>
        <v>0.0036611583901978665</v>
      </c>
      <c r="D115" s="164">
        <f>D75*10000/D62</f>
        <v>0.0046121082028993815</v>
      </c>
      <c r="E115" s="164">
        <f>E75*10000/E62</f>
        <v>0.002442782143862074</v>
      </c>
      <c r="F115" s="164">
        <f>F75*10000/F62</f>
        <v>-0.0018712521923667873</v>
      </c>
      <c r="G115" s="164">
        <f>AVERAGE(C115:E115)</f>
        <v>0.0035720162456531076</v>
      </c>
      <c r="H115" s="164">
        <f>STDEV(C115:E115)</f>
        <v>0.001087406836954372</v>
      </c>
      <c r="I115" s="164">
        <f>(B115*B4+C115*C4+D115*D4+E115*E4+F115*F4)/SUM(B4:F4)</f>
        <v>0.00237700052929074</v>
      </c>
      <c r="J115" s="164" t="s">
        <v>187</v>
      </c>
      <c r="K115" s="164">
        <v>0.5536</v>
      </c>
    </row>
    <row r="118" ht="12.75">
      <c r="A118" s="164" t="s">
        <v>152</v>
      </c>
    </row>
    <row r="120" spans="2:9" ht="12.75">
      <c r="B120" s="164" t="s">
        <v>84</v>
      </c>
      <c r="C120" s="164" t="s">
        <v>85</v>
      </c>
      <c r="D120" s="164" t="s">
        <v>86</v>
      </c>
      <c r="E120" s="164" t="s">
        <v>87</v>
      </c>
      <c r="F120" s="164" t="s">
        <v>88</v>
      </c>
      <c r="G120" s="164" t="s">
        <v>154</v>
      </c>
      <c r="H120" s="164" t="s">
        <v>155</v>
      </c>
      <c r="I120" s="164" t="s">
        <v>150</v>
      </c>
    </row>
    <row r="121" spans="1:9" ht="12.75">
      <c r="A121" s="164" t="s">
        <v>170</v>
      </c>
      <c r="B121" s="164">
        <f>B81*10000/B62</f>
        <v>0</v>
      </c>
      <c r="C121" s="164">
        <f>C81*10000/C62</f>
        <v>0</v>
      </c>
      <c r="D121" s="164">
        <f>D81*10000/D62</f>
        <v>0</v>
      </c>
      <c r="E121" s="164">
        <f>E81*10000/E62</f>
        <v>0</v>
      </c>
      <c r="F121" s="164">
        <f>F81*10000/F62</f>
        <v>0</v>
      </c>
      <c r="G121" s="164">
        <f>AVERAGE(C121:E121)</f>
        <v>0</v>
      </c>
      <c r="H121" s="164">
        <f>STDEV(C121:E121)</f>
        <v>0</v>
      </c>
      <c r="I121" s="164">
        <f>(B121*B4+C121*C4+D121*D4+E121*E4+F121*F4)/SUM(B4:F4)</f>
        <v>0</v>
      </c>
    </row>
    <row r="122" spans="1:9" ht="12.75">
      <c r="A122" s="164" t="s">
        <v>171</v>
      </c>
      <c r="B122" s="164">
        <f>B82*10000/B62</f>
        <v>152.05929136162268</v>
      </c>
      <c r="C122" s="164">
        <f>C82*10000/C62</f>
        <v>34.933095054675114</v>
      </c>
      <c r="D122" s="164">
        <f>D82*10000/D62</f>
        <v>-29.195926032332117</v>
      </c>
      <c r="E122" s="164">
        <f>E82*10000/E62</f>
        <v>-46.496030498855845</v>
      </c>
      <c r="F122" s="164">
        <f>F82*10000/F62</f>
        <v>-91.26999821763769</v>
      </c>
      <c r="G122" s="164">
        <f>AVERAGE(C122:E122)</f>
        <v>-13.586287158837616</v>
      </c>
      <c r="H122" s="164">
        <f>STDEV(C122:E122)</f>
        <v>42.900131018726036</v>
      </c>
      <c r="I122" s="164">
        <f>(B122*B4+C122*C4+D122*D4+E122*E4+F122*F4)/SUM(B4:F4)</f>
        <v>-0.018354652976406656</v>
      </c>
    </row>
    <row r="123" spans="1:9" ht="12.75">
      <c r="A123" s="164" t="s">
        <v>172</v>
      </c>
      <c r="B123" s="164">
        <f>B83*10000/B62</f>
        <v>-2.8424640902569576</v>
      </c>
      <c r="C123" s="164">
        <f>C83*10000/C62</f>
        <v>-1.6160219146779384</v>
      </c>
      <c r="D123" s="164">
        <f>D83*10000/D62</f>
        <v>1.1913423585644969</v>
      </c>
      <c r="E123" s="164">
        <f>E83*10000/E62</f>
        <v>-0.1836168347954572</v>
      </c>
      <c r="F123" s="164">
        <f>F83*10000/F62</f>
        <v>6.12147054295725</v>
      </c>
      <c r="G123" s="164">
        <f>AVERAGE(C123:E123)</f>
        <v>-0.20276546363629958</v>
      </c>
      <c r="H123" s="164">
        <f>STDEV(C123:E123)</f>
        <v>1.403780090740487</v>
      </c>
      <c r="I123" s="164">
        <f>(B123*B4+C123*C4+D123*D4+E123*E4+F123*F4)/SUM(B4:F4)</f>
        <v>0.26054952760930605</v>
      </c>
    </row>
    <row r="124" spans="1:9" ht="12.75">
      <c r="A124" s="164" t="s">
        <v>173</v>
      </c>
      <c r="B124" s="164">
        <f>B84*10000/B62</f>
        <v>-2.140326898213037</v>
      </c>
      <c r="C124" s="164">
        <f>C84*10000/C62</f>
        <v>0.16622018948929174</v>
      </c>
      <c r="D124" s="164">
        <f>D84*10000/D62</f>
        <v>-0.19265789553393747</v>
      </c>
      <c r="E124" s="164">
        <f>E84*10000/E62</f>
        <v>-4.044922882034148</v>
      </c>
      <c r="F124" s="164">
        <f>F84*10000/F62</f>
        <v>-0.18883146244934185</v>
      </c>
      <c r="G124" s="164">
        <f>AVERAGE(C124:E124)</f>
        <v>-1.3571201960262644</v>
      </c>
      <c r="H124" s="164">
        <f>STDEV(C124:E124)</f>
        <v>2.3346114942664187</v>
      </c>
      <c r="I124" s="164">
        <f>(B124*B4+C124*C4+D124*D4+E124*E4+F124*F4)/SUM(B4:F4)</f>
        <v>-1.3144374879088065</v>
      </c>
    </row>
    <row r="125" spans="1:9" ht="12.75">
      <c r="A125" s="164" t="s">
        <v>174</v>
      </c>
      <c r="B125" s="164">
        <f>B85*10000/B62</f>
        <v>-0.14566376187757066</v>
      </c>
      <c r="C125" s="164">
        <f>C85*10000/C62</f>
        <v>-0.2446314330270853</v>
      </c>
      <c r="D125" s="164">
        <f>D85*10000/D62</f>
        <v>0.373365437302098</v>
      </c>
      <c r="E125" s="164">
        <f>E85*10000/E62</f>
        <v>-0.06310139855201295</v>
      </c>
      <c r="F125" s="164">
        <f>F85*10000/F62</f>
        <v>-1.3720317853155362</v>
      </c>
      <c r="G125" s="164">
        <f>AVERAGE(C125:E125)</f>
        <v>0.021877535240999915</v>
      </c>
      <c r="H125" s="164">
        <f>STDEV(C125:E125)</f>
        <v>0.3176414603379324</v>
      </c>
      <c r="I125" s="164">
        <f>(B125*B4+C125*C4+D125*D4+E125*E4+F125*F4)/SUM(B4:F4)</f>
        <v>-0.1885873769543823</v>
      </c>
    </row>
    <row r="126" spans="1:9" ht="12.75">
      <c r="A126" s="164" t="s">
        <v>175</v>
      </c>
      <c r="B126" s="164">
        <f>B86*10000/B62</f>
        <v>1.4604835789266473</v>
      </c>
      <c r="C126" s="164">
        <f>C86*10000/C62</f>
        <v>-0.2435553444531105</v>
      </c>
      <c r="D126" s="164">
        <f>D86*10000/D62</f>
        <v>-0.4272863266138627</v>
      </c>
      <c r="E126" s="164">
        <f>E86*10000/E62</f>
        <v>-0.19804113848132374</v>
      </c>
      <c r="F126" s="164">
        <f>F86*10000/F62</f>
        <v>0.7077694885546282</v>
      </c>
      <c r="G126" s="164">
        <f>AVERAGE(C126:E126)</f>
        <v>-0.28962760318276565</v>
      </c>
      <c r="H126" s="164">
        <f>STDEV(C126:E126)</f>
        <v>0.1213685661067972</v>
      </c>
      <c r="I126" s="164">
        <f>(B126*B4+C126*C4+D126*D4+E126*E4+F126*F4)/SUM(B4:F4)</f>
        <v>0.09666982508871368</v>
      </c>
    </row>
    <row r="127" spans="1:9" ht="12.75">
      <c r="A127" s="164" t="s">
        <v>176</v>
      </c>
      <c r="B127" s="164">
        <f>B87*10000/B62</f>
        <v>-0.07022724207450236</v>
      </c>
      <c r="C127" s="164">
        <f>C87*10000/C62</f>
        <v>0.0002461081507537302</v>
      </c>
      <c r="D127" s="164">
        <f>D87*10000/D62</f>
        <v>-0.037698220389445196</v>
      </c>
      <c r="E127" s="164">
        <f>E87*10000/E62</f>
        <v>-0.16046685946671088</v>
      </c>
      <c r="F127" s="164">
        <f>F87*10000/F62</f>
        <v>0.23247455547268242</v>
      </c>
      <c r="G127" s="164">
        <f>AVERAGE(C127:E127)</f>
        <v>-0.06597299056846745</v>
      </c>
      <c r="H127" s="164">
        <f>STDEV(C127:E127)</f>
        <v>0.08400453238730902</v>
      </c>
      <c r="I127" s="164">
        <f>(B127*B4+C127*C4+D127*D4+E127*E4+F127*F4)/SUM(B4:F4)</f>
        <v>-0.0267194149831707</v>
      </c>
    </row>
    <row r="128" spans="1:9" ht="12.75">
      <c r="A128" s="164" t="s">
        <v>177</v>
      </c>
      <c r="B128" s="164">
        <f>B88*10000/B62</f>
        <v>0.21071334260105698</v>
      </c>
      <c r="C128" s="164">
        <f>C88*10000/C62</f>
        <v>0.08026960863879824</v>
      </c>
      <c r="D128" s="164">
        <f>D88*10000/D62</f>
        <v>0.028671444124372114</v>
      </c>
      <c r="E128" s="164">
        <f>E88*10000/E62</f>
        <v>-0.21344260926345032</v>
      </c>
      <c r="F128" s="164">
        <f>F88*10000/F62</f>
        <v>0.17137489420766755</v>
      </c>
      <c r="G128" s="164">
        <f>AVERAGE(C128:E128)</f>
        <v>-0.034833852166759986</v>
      </c>
      <c r="H128" s="164">
        <f>STDEV(C128:E128)</f>
        <v>0.1568164810504076</v>
      </c>
      <c r="I128" s="164">
        <f>(B128*B4+C128*C4+D128*D4+E128*E4+F128*F4)/SUM(B4:F4)</f>
        <v>0.02820701486823669</v>
      </c>
    </row>
    <row r="129" spans="1:9" ht="12.75">
      <c r="A129" s="164" t="s">
        <v>178</v>
      </c>
      <c r="B129" s="164">
        <f>B89*10000/B62</f>
        <v>0.0840362094363493</v>
      </c>
      <c r="C129" s="164">
        <f>C89*10000/C62</f>
        <v>0.13197863038842267</v>
      </c>
      <c r="D129" s="164">
        <f>D89*10000/D62</f>
        <v>0.0633243050685359</v>
      </c>
      <c r="E129" s="164">
        <f>E89*10000/E62</f>
        <v>-0.021938128135055645</v>
      </c>
      <c r="F129" s="164">
        <f>F89*10000/F62</f>
        <v>0.02104167020766843</v>
      </c>
      <c r="G129" s="164">
        <f>AVERAGE(C129:E129)</f>
        <v>0.05778826910730098</v>
      </c>
      <c r="H129" s="164">
        <f>STDEV(C129:E129)</f>
        <v>0.07710757361775009</v>
      </c>
      <c r="I129" s="164">
        <f>(B129*B4+C129*C4+D129*D4+E129*E4+F129*F4)/SUM(B4:F4)</f>
        <v>0.05666848885029453</v>
      </c>
    </row>
    <row r="130" spans="1:9" ht="12.75">
      <c r="A130" s="164" t="s">
        <v>179</v>
      </c>
      <c r="B130" s="164">
        <f>B90*10000/B62</f>
        <v>0.08202949377303277</v>
      </c>
      <c r="C130" s="164">
        <f>C90*10000/C62</f>
        <v>0.03920772045922994</v>
      </c>
      <c r="D130" s="164">
        <f>D90*10000/D62</f>
        <v>0.04187334696546905</v>
      </c>
      <c r="E130" s="164">
        <f>E90*10000/E62</f>
        <v>0.06156111114479749</v>
      </c>
      <c r="F130" s="164">
        <f>F90*10000/F62</f>
        <v>0.27024906410343347</v>
      </c>
      <c r="G130" s="164">
        <f>AVERAGE(C130:E130)</f>
        <v>0.04754739285649883</v>
      </c>
      <c r="H130" s="164">
        <f>STDEV(C130:E130)</f>
        <v>0.012209202118301489</v>
      </c>
      <c r="I130" s="164">
        <f>(B130*B4+C130*C4+D130*D4+E130*E4+F130*F4)/SUM(B4:F4)</f>
        <v>0.08228826859412042</v>
      </c>
    </row>
    <row r="131" spans="1:9" ht="12.75">
      <c r="A131" s="164" t="s">
        <v>180</v>
      </c>
      <c r="B131" s="164">
        <f>B91*10000/B62</f>
        <v>0.038858890639694395</v>
      </c>
      <c r="C131" s="164">
        <f>C91*10000/C62</f>
        <v>0.025819363489170438</v>
      </c>
      <c r="D131" s="164">
        <f>D91*10000/D62</f>
        <v>0.0033363743300960642</v>
      </c>
      <c r="E131" s="164">
        <f>E91*10000/E62</f>
        <v>-0.008800425225905163</v>
      </c>
      <c r="F131" s="164">
        <f>F91*10000/F62</f>
        <v>0.0791380177872985</v>
      </c>
      <c r="G131" s="164">
        <f>AVERAGE(C131:E131)</f>
        <v>0.006785104197787113</v>
      </c>
      <c r="H131" s="164">
        <f>STDEV(C131:E131)</f>
        <v>0.017565669527357823</v>
      </c>
      <c r="I131" s="164">
        <f>(B131*B4+C131*C4+D131*D4+E131*E4+F131*F4)/SUM(B4:F4)</f>
        <v>0.021088217938245057</v>
      </c>
    </row>
    <row r="132" spans="1:9" ht="12.75">
      <c r="A132" s="164" t="s">
        <v>181</v>
      </c>
      <c r="B132" s="164">
        <f>B92*10000/B62</f>
        <v>0.07747131199502218</v>
      </c>
      <c r="C132" s="164">
        <f>C92*10000/C62</f>
        <v>0.012107337651992432</v>
      </c>
      <c r="D132" s="164">
        <f>D92*10000/D62</f>
        <v>-0.0021264023946084586</v>
      </c>
      <c r="E132" s="164">
        <f>E92*10000/E62</f>
        <v>0.0008160240602298505</v>
      </c>
      <c r="F132" s="164">
        <f>F92*10000/F62</f>
        <v>0.04117441183274315</v>
      </c>
      <c r="G132" s="164">
        <f>AVERAGE(C132:E132)</f>
        <v>0.003598986439204608</v>
      </c>
      <c r="H132" s="164">
        <f>STDEV(C132:E132)</f>
        <v>0.007513887052028671</v>
      </c>
      <c r="I132" s="164">
        <f>(B132*B4+C132*C4+D132*D4+E132*E4+F132*F4)/SUM(B4:F4)</f>
        <v>0.01929966039057631</v>
      </c>
    </row>
    <row r="133" spans="1:9" ht="12.75">
      <c r="A133" s="164" t="s">
        <v>182</v>
      </c>
      <c r="B133" s="164">
        <f>B93*10000/B62</f>
        <v>0.026616472788671932</v>
      </c>
      <c r="C133" s="164">
        <f>C93*10000/C62</f>
        <v>0.022186777514598906</v>
      </c>
      <c r="D133" s="164">
        <f>D93*10000/D62</f>
        <v>0.008847862959494879</v>
      </c>
      <c r="E133" s="164">
        <f>E93*10000/E62</f>
        <v>0.0020059071343654037</v>
      </c>
      <c r="F133" s="164">
        <f>F93*10000/F62</f>
        <v>0.014793182861186154</v>
      </c>
      <c r="G133" s="164">
        <f>AVERAGE(C133:E133)</f>
        <v>0.011013515869486396</v>
      </c>
      <c r="H133" s="164">
        <f>STDEV(C133:E133)</f>
        <v>0.010263255902532223</v>
      </c>
      <c r="I133" s="164">
        <f>(B133*B4+C133*C4+D133*D4+E133*E4+F133*F4)/SUM(B4:F4)</f>
        <v>0.01377381369448215</v>
      </c>
    </row>
    <row r="134" spans="1:9" ht="12.75">
      <c r="A134" s="164" t="s">
        <v>183</v>
      </c>
      <c r="B134" s="164">
        <f>B94*10000/B62</f>
        <v>0.0020643254235327164</v>
      </c>
      <c r="C134" s="164">
        <f>C94*10000/C62</f>
        <v>0.011806926536961073</v>
      </c>
      <c r="D134" s="164">
        <f>D94*10000/D62</f>
        <v>0.01507682075713495</v>
      </c>
      <c r="E134" s="164">
        <f>E94*10000/E62</f>
        <v>0.021425464706299743</v>
      </c>
      <c r="F134" s="164">
        <f>F94*10000/F62</f>
        <v>-0.01146807278437231</v>
      </c>
      <c r="G134" s="164">
        <f>AVERAGE(C134:E134)</f>
        <v>0.01610307066679859</v>
      </c>
      <c r="H134" s="164">
        <f>STDEV(C134:E134)</f>
        <v>0.0048907014616074865</v>
      </c>
      <c r="I134" s="164">
        <f>(B134*B4+C134*C4+D134*D4+E134*E4+F134*F4)/SUM(B4:F4)</f>
        <v>0.010389980035702117</v>
      </c>
    </row>
    <row r="135" spans="1:9" ht="12.75">
      <c r="A135" s="164" t="s">
        <v>184</v>
      </c>
      <c r="B135" s="164">
        <f>B95*10000/B62</f>
        <v>-0.0008560777194936917</v>
      </c>
      <c r="C135" s="164">
        <f>C95*10000/C62</f>
        <v>-0.002695239648965236</v>
      </c>
      <c r="D135" s="164">
        <f>D95*10000/D62</f>
        <v>0.00128624659442971</v>
      </c>
      <c r="E135" s="164">
        <f>E95*10000/E62</f>
        <v>0.0025145061187245004</v>
      </c>
      <c r="F135" s="164">
        <f>F95*10000/F62</f>
        <v>0.005377319679146624</v>
      </c>
      <c r="G135" s="164">
        <f>AVERAGE(C135:E135)</f>
        <v>0.00036850435472965816</v>
      </c>
      <c r="H135" s="164">
        <f>STDEV(C135:E135)</f>
        <v>0.002723426307959797</v>
      </c>
      <c r="I135" s="164">
        <f>(B135*B4+C135*C4+D135*D4+E135*E4+F135*F4)/SUM(B4:F4)</f>
        <v>0.0008608046880399906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2005-10-04T11:32:28Z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-1048992801</vt:i4>
  </property>
  <property fmtid="{D5CDD505-2E9C-101B-9397-08002B2CF9AE}" pid="3" name="_EmailSubject">
    <vt:lpwstr>Introducing ap125 in the database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