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17_pos1ap2" sheetId="2" r:id="rId2"/>
    <sheet name="HCMQAP117_pos2ap2" sheetId="3" r:id="rId3"/>
    <sheet name="HCMQAP117_pos3ap2" sheetId="4" r:id="rId4"/>
    <sheet name="HCMQAP117_pos4ap2" sheetId="5" r:id="rId5"/>
    <sheet name="HCMQAP117_pos5ap2" sheetId="6" r:id="rId6"/>
    <sheet name="Lmag_hcmqap" sheetId="7" r:id="rId7"/>
    <sheet name="Result_HCMQAP" sheetId="8" r:id="rId8"/>
  </sheets>
  <definedNames>
    <definedName name="_xlnm.Print_Area" localSheetId="1">'HCMQAP117_pos1ap2'!$A$1:$N$28</definedName>
    <definedName name="_xlnm.Print_Area" localSheetId="2">'HCMQAP117_pos2ap2'!$A$1:$N$28</definedName>
    <definedName name="_xlnm.Print_Area" localSheetId="3">'HCMQAP117_pos3ap2'!$A$1:$N$28</definedName>
    <definedName name="_xlnm.Print_Area" localSheetId="4">'HCMQAP117_pos4ap2'!$A$1:$N$28</definedName>
    <definedName name="_xlnm.Print_Area" localSheetId="5">'HCMQAP117_pos5ap2'!$A$1:$N$28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<sst xmlns="http://schemas.openxmlformats.org/spreadsheetml/2006/main" count="510" uniqueCount="187">
  <si>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</si>
  <si>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</si>
  <si>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</si>
  <si>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</si>
  <si>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</si>
  <si>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</si>
  <si>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</si>
  <si>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</si>
  <si>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</si>
  <si>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</si>
  <si>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</si>
  <si>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</si>
  <si>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</si>
  <si>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</si>
  <si>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</si>
  <si>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hcmqap117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</si>
  <si>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</si>
  <si>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</si>
  <si>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</si>
  <si>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</si>
  <si>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</si>
  <si>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</si>
  <si>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</si>
  <si>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</si>
  <si>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</si>
  <si>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</si>
  <si>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</si>
  <si>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</si>
  <si>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</si>
  <si>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</si>
  <si>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</si>
  <si>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</si>
  <si>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</si>
  <si>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</si>
  <si>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</si>
  <si>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</si>
  <si>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</si>
  <si>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</si>
  <si>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</si>
  <si>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</si>
  <si>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</si>
  <si>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</si>
  <si>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</si>
  <si>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</si>
  <si>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</si>
  <si>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</si>
  <si>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</si>
  <si>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</si>
  <si>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</si>
  <si>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</si>
  <si>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</si>
  <si>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</si>
  <si>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</si>
  <si>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</si>
  <si>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</si>
  <si>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</si>
  <si>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</si>
  <si>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</si>
  <si>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</si>
  <si>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-2.251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</si>
  <si>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</si>
  <si>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</si>
  <si>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</si>
  <si>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</si>
  <si>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</si>
  <si>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</si>
  <si>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</si>
  <si>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</si>
  <si>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HCMQAP117_pos1ap2</t>
  </si>
  <si>
    <t>31/10/2003</t>
  </si>
  <si>
    <t>±12.5</t>
  </si>
  <si>
    <t>THCMQAP117_pos1ap2.xls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</si>
  <si>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-3.751 mT)</t>
    </r>
  </si>
  <si>
    <t>HCMQAP117_pos2ap2</t>
  </si>
  <si>
    <t>THCMQAP117_pos2ap2.xls</t>
  </si>
  <si>
    <t>HCMQAP117_pos3ap2</t>
  </si>
  <si>
    <t>THCMQAP117_pos3ap2.xls</t>
  </si>
  <si>
    <t>HCMQAP117_pos4ap2</t>
  </si>
  <si>
    <t>THCMQAP117_pos4ap2.xls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</si>
  <si>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-2.084 mT)</t>
    </r>
  </si>
  <si>
    <t>HCMQAP117_pos5ap2</t>
  </si>
  <si>
    <t>THCMQAP117_pos5ap2.xls</t>
  </si>
  <si>
    <t>Sommaire : Valeurs intégrales calculées avec les fichiers: HCMQAP117_pos1ap2+HCMQAP117_pos2ap2+HCMQAP117_pos3ap2+HCMQAP117_pos4ap2+HCMQAP117_pos5ap2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</si>
  <si>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</si>
  <si>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</si>
  <si>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</si>
  <si>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</si>
  <si>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</si>
  <si>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</si>
  <si>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</si>
  <si>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</si>
  <si>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</si>
  <si>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</si>
  <si>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</si>
  <si>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</si>
  <si>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</si>
  <si>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</si>
  <si>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</si>
  <si>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</si>
  <si>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</si>
  <si>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</si>
  <si>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</si>
  <si>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</si>
  <si>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</si>
  <si>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</si>
  <si>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</si>
  <si>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</si>
  <si>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</si>
  <si>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</si>
  <si>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</si>
  <si>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</si>
  <si>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</si>
  <si>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</si>
  <si>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</si>
  <si>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</si>
  <si>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</si>
  <si>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</si>
  <si>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</si>
  <si>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</si>
  <si>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</si>
  <si>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</si>
  <si>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</si>
  <si>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</si>
  <si>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</si>
  <si>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</si>
  <si>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</si>
  <si>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=-3.751</t>
    </r>
  </si>
  <si>
    <t>Gradient (T/m)</t>
  </si>
  <si>
    <t xml:space="preserve"> Fri 31/10/2003       07:43:45</t>
  </si>
  <si>
    <t>SIEGMUND</t>
  </si>
  <si>
    <t>HCMQAP117</t>
  </si>
  <si>
    <t>Aperture2</t>
  </si>
  <si>
    <t>Position</t>
  </si>
  <si>
    <t>Integrales</t>
  </si>
  <si>
    <t>Cn (mT)</t>
  </si>
  <si>
    <t>Angle(Horiz,Cn)</t>
  </si>
  <si>
    <t>b1</t>
  </si>
  <si>
    <t>b2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</si>
  <si>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</si>
  <si>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</si>
  <si>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</si>
  <si>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</si>
  <si>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</si>
  <si>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</si>
  <si>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</si>
  <si>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</si>
  <si>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ACCEPTED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</si>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</sst>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3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0" fillId="0" borderId="66" xfId="0" applyNumberFormat="1" applyFont="1" applyBorder="1" applyAlignment="1">
      <alignment horizontal="center"/>
    </xf>
    <xf numFmtId="179" fontId="10" fillId="0" borderId="67" xfId="0" applyNumberFormat="1" applyFont="1" applyBorder="1" applyAlignment="1">
      <alignment horizontal="center"/>
    </xf>
    <xf numFmtId="2" fontId="10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17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5694279"/>
        <c:axId val="52813056"/>
      </c:lineChart>
      <c:catAx>
        <c:axId val="356942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2813056"/>
        <c:crosses val="autoZero"/>
        <c:auto val="1"/>
        <c:lblOffset val="100"/>
        <c:noMultiLvlLbl val="0"/>
      </c:catAx>
      <c:valAx>
        <c:axId val="5281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569427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2520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2520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75</v>
      </c>
      <c r="H4" s="25">
        <v>2520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77</v>
      </c>
      <c r="H5" s="25">
        <v>2520</v>
      </c>
      <c r="I5" s="27" t="s">
        <v>78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80</v>
      </c>
      <c r="H6" s="25">
        <v>2520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5.238449699999999E-05</v>
      </c>
      <c r="L2" s="55">
        <v>5.279843204713824E-08</v>
      </c>
      <c r="M2" s="55">
        <v>6.487306200000001E-05</v>
      </c>
      <c r="N2" s="56">
        <v>1.4330682511877933E-07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-3.1290737E-05</v>
      </c>
      <c r="L3" s="55">
        <v>8.817080393232438E-08</v>
      </c>
      <c r="M3" s="55">
        <v>1.3752174E-05</v>
      </c>
      <c r="N3" s="56">
        <v>2.117737865600849E-07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-0.0022511037134114566</v>
      </c>
      <c r="L4" s="55">
        <v>7.346172584336584E-06</v>
      </c>
      <c r="M4" s="55">
        <v>7.035524891971028E-08</v>
      </c>
      <c r="N4" s="56">
        <v>-1.6316766</v>
      </c>
    </row>
    <row r="5" spans="1:14" ht="15" customHeight="1" thickBot="1">
      <c r="A5" t="s">
        <v>18</v>
      </c>
      <c r="B5" s="59">
        <v>37925.30032407407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2520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-1.6647624</v>
      </c>
      <c r="E8" s="78">
        <v>0.022079606145487974</v>
      </c>
      <c r="F8" s="78">
        <v>-1.7104415</v>
      </c>
      <c r="G8" s="78">
        <v>0.024279194436802574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-0.35183605</v>
      </c>
      <c r="E9" s="80">
        <v>0.03911310824591929</v>
      </c>
      <c r="F9" s="80">
        <v>-0.34240597</v>
      </c>
      <c r="G9" s="80">
        <v>0.034934404856324666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1.1001773199999998</v>
      </c>
      <c r="E10" s="80">
        <v>0.009147467811015194</v>
      </c>
      <c r="F10" s="80">
        <v>-0.52086082</v>
      </c>
      <c r="G10" s="80">
        <v>0.016167647195047485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3.7963712999999997</v>
      </c>
      <c r="E11" s="78">
        <v>0.009629228191327437</v>
      </c>
      <c r="F11" s="78">
        <v>0.66352182</v>
      </c>
      <c r="G11" s="78">
        <v>0.015399853801952348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0.1373762</v>
      </c>
      <c r="E12" s="80">
        <v>0.0060142285095429624</v>
      </c>
      <c r="F12" s="80">
        <v>-0.080242977</v>
      </c>
      <c r="G12" s="80">
        <v>0.013045532064042657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17.288209</v>
      </c>
      <c r="D13" s="83">
        <v>0.095283821</v>
      </c>
      <c r="E13" s="80">
        <v>0.005808509230520683</v>
      </c>
      <c r="F13" s="80">
        <v>-0.23608267</v>
      </c>
      <c r="G13" s="80">
        <v>0.0032905198354673494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-0.061857827</v>
      </c>
      <c r="E14" s="80">
        <v>0.0019741225076668413</v>
      </c>
      <c r="F14" s="80">
        <v>0.068393503</v>
      </c>
      <c r="G14" s="80">
        <v>0.005131293752565285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-0.38112447000000005</v>
      </c>
      <c r="E15" s="78">
        <v>0.0011952612474135323</v>
      </c>
      <c r="F15" s="78">
        <v>0.15262791</v>
      </c>
      <c r="G15" s="78">
        <v>0.0031573726842741238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0.067868711</v>
      </c>
      <c r="E16" s="80">
        <v>0.004687085844453186</v>
      </c>
      <c r="F16" s="80">
        <v>0.022341888</v>
      </c>
      <c r="G16" s="80">
        <v>0.002726286051687534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-0.29600000381469727</v>
      </c>
      <c r="D17" s="83">
        <v>-0.0243291328</v>
      </c>
      <c r="E17" s="80">
        <v>0.0018042961473498076</v>
      </c>
      <c r="F17" s="80">
        <v>-0.0137990856</v>
      </c>
      <c r="G17" s="80">
        <v>0.001765792747375952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21.36199951171875</v>
      </c>
      <c r="D18" s="83">
        <v>0.02779977</v>
      </c>
      <c r="E18" s="80">
        <v>0.002474865031093615</v>
      </c>
      <c r="F18" s="80">
        <v>0.055358151</v>
      </c>
      <c r="G18" s="80">
        <v>0.0021262249989767506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-0.3179999887943268</v>
      </c>
      <c r="D19" s="86">
        <v>-0.17097745999999997</v>
      </c>
      <c r="E19" s="80">
        <v>0.0007039482718249728</v>
      </c>
      <c r="F19" s="80">
        <v>0.019217905</v>
      </c>
      <c r="G19" s="80">
        <v>0.0017633005778510847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0.39720580000000005</v>
      </c>
      <c r="D20" s="88">
        <v>0.00018222088999999997</v>
      </c>
      <c r="E20" s="89">
        <v>0.001299778671681547</v>
      </c>
      <c r="F20" s="89">
        <v>-0.0008338078000000003</v>
      </c>
      <c r="G20" s="89">
        <v>0.002687797578809695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0.4885967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-0.09348826167641226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-2.2511156999999997</v>
      </c>
      <c r="I25" s="101" t="s">
        <v>49</v>
      </c>
      <c r="J25" s="102"/>
      <c r="K25" s="101"/>
      <c r="L25" s="104">
        <v>3.85391959608394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2.3868481253267895</v>
      </c>
      <c r="I26" s="106" t="s">
        <v>53</v>
      </c>
      <c r="J26" s="107"/>
      <c r="K26" s="106"/>
      <c r="L26" s="109">
        <v>0.4105498027569238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HCMQAP117_pos1ap2res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6.9381808E-05</v>
      </c>
      <c r="L2" s="55">
        <v>4.3558176802252163E-08</v>
      </c>
      <c r="M2" s="55">
        <v>6.0349329E-05</v>
      </c>
      <c r="N2" s="56">
        <v>2.239307666099077E-07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-2.8716528E-05</v>
      </c>
      <c r="L3" s="55">
        <v>1.3800398844249746E-07</v>
      </c>
      <c r="M3" s="55">
        <v>1.2429169000000001E-05</v>
      </c>
      <c r="N3" s="56">
        <v>1.7700700820594933E-07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-0.0037505483970179383</v>
      </c>
      <c r="L4" s="55">
        <v>-2.486200987083348E-05</v>
      </c>
      <c r="M4" s="55">
        <v>5.743395414678505E-08</v>
      </c>
      <c r="N4" s="56">
        <v>3.3144014</v>
      </c>
    </row>
    <row r="5" spans="1:14" ht="15" customHeight="1" thickBot="1">
      <c r="A5" t="s">
        <v>18</v>
      </c>
      <c r="B5" s="59">
        <v>37925.30490740741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2520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-2.5077381</v>
      </c>
      <c r="E8" s="78">
        <v>0.016127846463170743</v>
      </c>
      <c r="F8" s="78">
        <v>1.1891782</v>
      </c>
      <c r="G8" s="78">
        <v>0.009908174623008567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-0.21077408000000003</v>
      </c>
      <c r="E9" s="80">
        <v>0.01471329046299963</v>
      </c>
      <c r="F9" s="80">
        <v>-0.6353614999999999</v>
      </c>
      <c r="G9" s="80">
        <v>0.007262591241628947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0.47376313999999997</v>
      </c>
      <c r="E10" s="80">
        <v>0.004505088986962146</v>
      </c>
      <c r="F10" s="80">
        <v>0.23277226999999998</v>
      </c>
      <c r="G10" s="80">
        <v>0.003985244861937958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3.9745236</v>
      </c>
      <c r="E11" s="78">
        <v>0.007469411726568257</v>
      </c>
      <c r="F11" s="78">
        <v>0.18112889999999998</v>
      </c>
      <c r="G11" s="78">
        <v>0.0012478094686309488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-0.28593022</v>
      </c>
      <c r="E12" s="80">
        <v>0.003746063328692936</v>
      </c>
      <c r="F12" s="80">
        <v>-0.042874765</v>
      </c>
      <c r="G12" s="80">
        <v>0.004080816984138077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17.431641</v>
      </c>
      <c r="D13" s="83">
        <v>0.0008461323999999999</v>
      </c>
      <c r="E13" s="80">
        <v>0.00192386444868539</v>
      </c>
      <c r="F13" s="80">
        <v>-0.13908068999999998</v>
      </c>
      <c r="G13" s="80">
        <v>0.0051466040071492915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-0.028096881</v>
      </c>
      <c r="E14" s="80">
        <v>0.002973231499635357</v>
      </c>
      <c r="F14" s="80">
        <v>0.05788681200000001</v>
      </c>
      <c r="G14" s="80">
        <v>0.002282007180857567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-0.1811965</v>
      </c>
      <c r="E15" s="78">
        <v>0.0023625992736819256</v>
      </c>
      <c r="F15" s="78">
        <v>0.039900559999999995</v>
      </c>
      <c r="G15" s="78">
        <v>0.002833983162891047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0.00587078273</v>
      </c>
      <c r="E16" s="80">
        <v>0.0021493859443559656</v>
      </c>
      <c r="F16" s="80">
        <v>0.0013186352</v>
      </c>
      <c r="G16" s="80">
        <v>0.0007670048760495333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0.4729999899864197</v>
      </c>
      <c r="D17" s="83">
        <v>0.0004218505</v>
      </c>
      <c r="E17" s="80">
        <v>0.0010209398766496487</v>
      </c>
      <c r="F17" s="80">
        <v>-0.015504313999999996</v>
      </c>
      <c r="G17" s="80">
        <v>0.0009068499476892584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2.5429999828338623</v>
      </c>
      <c r="D18" s="83">
        <v>0.022358006000000003</v>
      </c>
      <c r="E18" s="80">
        <v>0.0007564256186789956</v>
      </c>
      <c r="F18" s="80">
        <v>0.017723854</v>
      </c>
      <c r="G18" s="80">
        <v>0.001539111606701718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0.3790000081062317</v>
      </c>
      <c r="D19" s="86">
        <v>-0.15671511</v>
      </c>
      <c r="E19" s="80">
        <v>0.00075011559268927</v>
      </c>
      <c r="F19" s="80">
        <v>0.01519595</v>
      </c>
      <c r="G19" s="80">
        <v>0.000941408018714519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0.3126576</v>
      </c>
      <c r="D20" s="88">
        <v>0.00205527067</v>
      </c>
      <c r="E20" s="89">
        <v>0.0010109122065084586</v>
      </c>
      <c r="F20" s="89">
        <v>0.0008589202909999999</v>
      </c>
      <c r="G20" s="89">
        <v>0.0009246473372841099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0.2756115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0.18990137223507841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-3.7506308</v>
      </c>
      <c r="I25" s="101" t="s">
        <v>49</v>
      </c>
      <c r="J25" s="102"/>
      <c r="K25" s="101"/>
      <c r="L25" s="104">
        <v>3.9786487059518296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2.7754090094158825</v>
      </c>
      <c r="I26" s="106" t="s">
        <v>53</v>
      </c>
      <c r="J26" s="107"/>
      <c r="K26" s="106"/>
      <c r="L26" s="109">
        <v>0.18553766814467515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HCMQAP117_pos2ap2res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5.9017014E-05</v>
      </c>
      <c r="L2" s="55">
        <v>1.6185599696877218E-07</v>
      </c>
      <c r="M2" s="55">
        <v>2.8757673E-05</v>
      </c>
      <c r="N2" s="56">
        <v>2.310320233993916E-07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-2.78704E-05</v>
      </c>
      <c r="L3" s="55">
        <v>6.401539306972572E-08</v>
      </c>
      <c r="M3" s="55">
        <v>1.0744738999999999E-05</v>
      </c>
      <c r="N3" s="56">
        <v>4.0503018455607814E-08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-0.003750509083137898</v>
      </c>
      <c r="L4" s="55">
        <v>-3.791250823419828E-05</v>
      </c>
      <c r="M4" s="55">
        <v>7.345925989035262E-08</v>
      </c>
      <c r="N4" s="56">
        <v>5.054142799999999</v>
      </c>
    </row>
    <row r="5" spans="1:14" ht="15" customHeight="1" thickBot="1">
      <c r="A5" t="s">
        <v>18</v>
      </c>
      <c r="B5" s="59">
        <v>37925.30934027778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2520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-1.9280214</v>
      </c>
      <c r="E8" s="78">
        <v>0.011573447228010595</v>
      </c>
      <c r="F8" s="78">
        <v>2.9074883</v>
      </c>
      <c r="G8" s="78">
        <v>0.008352676149788548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0.10614160099999999</v>
      </c>
      <c r="E9" s="80">
        <v>0.014349917867281556</v>
      </c>
      <c r="F9" s="80">
        <v>-1.3045987000000001</v>
      </c>
      <c r="G9" s="80">
        <v>0.009019371544639831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0.47174218999999995</v>
      </c>
      <c r="E10" s="80">
        <v>0.007425637172421924</v>
      </c>
      <c r="F10" s="80">
        <v>0.89380852</v>
      </c>
      <c r="G10" s="80">
        <v>0.006104357096091553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3.9481773000000002</v>
      </c>
      <c r="E11" s="78">
        <v>0.0018083343322344402</v>
      </c>
      <c r="F11" s="78">
        <v>0.063184125</v>
      </c>
      <c r="G11" s="78">
        <v>0.005468960329943058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0.18931326999999998</v>
      </c>
      <c r="E12" s="80">
        <v>0.006318265275027087</v>
      </c>
      <c r="F12" s="80">
        <v>-0.15058169999999999</v>
      </c>
      <c r="G12" s="80">
        <v>0.0025126692012671756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17.575074</v>
      </c>
      <c r="D13" s="83">
        <v>-0.039840011999999994</v>
      </c>
      <c r="E13" s="80">
        <v>0.0021121173121624497</v>
      </c>
      <c r="F13" s="80">
        <v>-0.15614053</v>
      </c>
      <c r="G13" s="80">
        <v>0.0034684055513456912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0.021535831</v>
      </c>
      <c r="E14" s="80">
        <v>0.002770084217263806</v>
      </c>
      <c r="F14" s="80">
        <v>0.049810779000000006</v>
      </c>
      <c r="G14" s="80">
        <v>0.0032505594072073526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-0.16942704</v>
      </c>
      <c r="E15" s="78">
        <v>0.0006582062817996753</v>
      </c>
      <c r="F15" s="78">
        <v>0.012342915800000001</v>
      </c>
      <c r="G15" s="78">
        <v>0.0021356721581049067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0.031793544</v>
      </c>
      <c r="E16" s="80">
        <v>0.0013928234042813402</v>
      </c>
      <c r="F16" s="80">
        <v>-0.034890636</v>
      </c>
      <c r="G16" s="80">
        <v>0.001882794934881093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-0.257999986410141</v>
      </c>
      <c r="D17" s="83">
        <v>-0.00371517102</v>
      </c>
      <c r="E17" s="80">
        <v>0.0012523982943053566</v>
      </c>
      <c r="F17" s="80">
        <v>-0.0133427326</v>
      </c>
      <c r="G17" s="80">
        <v>0.0014421693494936752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23.39699935913086</v>
      </c>
      <c r="D18" s="83">
        <v>0.0119701243</v>
      </c>
      <c r="E18" s="80">
        <v>0.0011180920030703506</v>
      </c>
      <c r="F18" s="80">
        <v>-0.0041713531499999994</v>
      </c>
      <c r="G18" s="80">
        <v>0.0010778852801583952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-0.3009999990463257</v>
      </c>
      <c r="D19" s="86">
        <v>-0.15654746000000003</v>
      </c>
      <c r="E19" s="80">
        <v>0.0005484358279676564</v>
      </c>
      <c r="F19" s="80">
        <v>0.008321257500000002</v>
      </c>
      <c r="G19" s="80">
        <v>0.0008719116783574916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0.2661594</v>
      </c>
      <c r="D20" s="88">
        <v>-0.00134308537</v>
      </c>
      <c r="E20" s="89">
        <v>0.0008810957054084576</v>
      </c>
      <c r="F20" s="89">
        <v>0.004336857899999999</v>
      </c>
      <c r="G20" s="89">
        <v>0.0007348940086825727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0.1330414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0.28958129609528926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-3.7507006999999994</v>
      </c>
      <c r="I25" s="101" t="s">
        <v>49</v>
      </c>
      <c r="J25" s="102"/>
      <c r="K25" s="101"/>
      <c r="L25" s="104">
        <v>3.948682846961415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3.4886608796922136</v>
      </c>
      <c r="I26" s="106" t="s">
        <v>53</v>
      </c>
      <c r="J26" s="107"/>
      <c r="K26" s="106"/>
      <c r="L26" s="109">
        <v>0.169876041434946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HCMQAP117_pos3ap2res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5.5334963000000003E-05</v>
      </c>
      <c r="L2" s="55">
        <v>1.739853573877687E-07</v>
      </c>
      <c r="M2" s="55">
        <v>7.245545300000002E-05</v>
      </c>
      <c r="N2" s="56">
        <v>6.755018203620982E-08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-2.8442716999999998E-05</v>
      </c>
      <c r="L3" s="55">
        <v>1.6737666714902328E-07</v>
      </c>
      <c r="M3" s="55">
        <v>9.859101E-06</v>
      </c>
      <c r="N3" s="56">
        <v>2.1863051100884053E-07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-0.0037505422916021243</v>
      </c>
      <c r="L4" s="55">
        <v>-4.747872382159417E-05</v>
      </c>
      <c r="M4" s="55">
        <v>4.874072490083619E-08</v>
      </c>
      <c r="N4" s="56">
        <v>6.3292431</v>
      </c>
    </row>
    <row r="5" spans="1:14" ht="15" customHeight="1" thickBot="1">
      <c r="A5" t="s">
        <v>18</v>
      </c>
      <c r="B5" s="59">
        <v>37925.31407407407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2520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-2.8315759999999996</v>
      </c>
      <c r="E8" s="78">
        <v>0.004393344796495342</v>
      </c>
      <c r="F8" s="78">
        <v>0.3561669</v>
      </c>
      <c r="G8" s="78">
        <v>0.008465834067769615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-0.19265417</v>
      </c>
      <c r="E9" s="80">
        <v>0.01309776330487757</v>
      </c>
      <c r="F9" s="80">
        <v>-1.716028</v>
      </c>
      <c r="G9" s="80">
        <v>0.01006837338898539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0.5124183600000001</v>
      </c>
      <c r="E10" s="80">
        <v>0.0043363388103816874</v>
      </c>
      <c r="F10" s="80">
        <v>0.15325584</v>
      </c>
      <c r="G10" s="80">
        <v>0.004283054380275691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4.0255674</v>
      </c>
      <c r="E11" s="78">
        <v>0.004619686541426959</v>
      </c>
      <c r="F11" s="78">
        <v>0.48191315</v>
      </c>
      <c r="G11" s="78">
        <v>0.005924190593744154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-0.1370242</v>
      </c>
      <c r="E12" s="80">
        <v>0.0030618971453970248</v>
      </c>
      <c r="F12" s="80">
        <v>-0.107230618</v>
      </c>
      <c r="G12" s="80">
        <v>0.004884135253442919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17.712403</v>
      </c>
      <c r="D13" s="83">
        <v>-0.054377005</v>
      </c>
      <c r="E13" s="80">
        <v>0.0033081773513189243</v>
      </c>
      <c r="F13" s="80">
        <v>-0.25769488</v>
      </c>
      <c r="G13" s="80">
        <v>0.002923048528262189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-0.049479063000000004</v>
      </c>
      <c r="E14" s="80">
        <v>0.0012491351103328789</v>
      </c>
      <c r="F14" s="80">
        <v>0.06624074599999999</v>
      </c>
      <c r="G14" s="80">
        <v>0.0013708037875110478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-0.14752154999999997</v>
      </c>
      <c r="E15" s="78">
        <v>0.0015235274165584184</v>
      </c>
      <c r="F15" s="78">
        <v>0.0119682353</v>
      </c>
      <c r="G15" s="78">
        <v>0.0023479610664456072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0.03421182</v>
      </c>
      <c r="E16" s="80">
        <v>0.0014401508917089615</v>
      </c>
      <c r="F16" s="80">
        <v>0.00142675359</v>
      </c>
      <c r="G16" s="80">
        <v>0.0011991310022915896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0.46799999475479126</v>
      </c>
      <c r="D17" s="83">
        <v>0.0026029813799999997</v>
      </c>
      <c r="E17" s="80">
        <v>0.001423283597449131</v>
      </c>
      <c r="F17" s="80">
        <v>-0.026482548000000005</v>
      </c>
      <c r="G17" s="80">
        <v>0.0011955693523111146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-0.5090000033378601</v>
      </c>
      <c r="D18" s="83">
        <v>0.01532435</v>
      </c>
      <c r="E18" s="80">
        <v>0.0004310621870566236</v>
      </c>
      <c r="F18" s="80">
        <v>0.025769190000000004</v>
      </c>
      <c r="G18" s="80">
        <v>0.0006618755822507648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0.27300000190734863</v>
      </c>
      <c r="D19" s="86">
        <v>-0.15690547999999999</v>
      </c>
      <c r="E19" s="80">
        <v>0.0008910945486342673</v>
      </c>
      <c r="F19" s="80">
        <v>0.0117637781</v>
      </c>
      <c r="G19" s="80">
        <v>0.0011116153820475033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0.24661820000000004</v>
      </c>
      <c r="D20" s="88">
        <v>0.00129812926</v>
      </c>
      <c r="E20" s="89">
        <v>0.000777158673896345</v>
      </c>
      <c r="F20" s="89">
        <v>0.003597746</v>
      </c>
      <c r="G20" s="89">
        <v>0.0007301636280107337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0.3315295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0.3626392234505458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-3.7508428</v>
      </c>
      <c r="I25" s="101" t="s">
        <v>49</v>
      </c>
      <c r="J25" s="102"/>
      <c r="K25" s="101"/>
      <c r="L25" s="104">
        <v>4.05431044397018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2.8538881380375805</v>
      </c>
      <c r="I26" s="106" t="s">
        <v>53</v>
      </c>
      <c r="J26" s="107"/>
      <c r="K26" s="106"/>
      <c r="L26" s="109">
        <v>0.1480062376070639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HCMQAP117_pos4ap2res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1.5419393E-05</v>
      </c>
      <c r="L2" s="55">
        <v>1.4024791975631405E-07</v>
      </c>
      <c r="M2" s="55">
        <v>7.5001384E-05</v>
      </c>
      <c r="N2" s="56">
        <v>1.5502747812686295E-07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-3.0979909E-05</v>
      </c>
      <c r="L3" s="55">
        <v>2.08139192090707E-07</v>
      </c>
      <c r="M3" s="55">
        <v>9.60872E-06</v>
      </c>
      <c r="N3" s="56">
        <v>9.857085334918754E-08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-0.0020836547457036827</v>
      </c>
      <c r="L4" s="55">
        <v>-4.0365584289234445E-05</v>
      </c>
      <c r="M4" s="55">
        <v>1.206319225093358E-07</v>
      </c>
      <c r="N4" s="56">
        <v>9.685034399999997</v>
      </c>
    </row>
    <row r="5" spans="1:14" ht="15" customHeight="1" thickBot="1">
      <c r="A5" t="s">
        <v>18</v>
      </c>
      <c r="B5" s="59">
        <v>37925.31854166667</v>
      </c>
      <c r="D5" s="60"/>
      <c r="E5" s="61" t="s">
        <v>79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2520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7" t="s">
        <v>27</v>
      </c>
      <c r="B8" s="72" t="s">
        <v>28</v>
      </c>
      <c r="D8" s="77">
        <v>-1.8425573</v>
      </c>
      <c r="E8" s="78">
        <v>0.016085380513375096</v>
      </c>
      <c r="F8" s="78">
        <v>3.7257800000000003</v>
      </c>
      <c r="G8" s="78">
        <v>0.026152179505707317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-0.9011009299999999</v>
      </c>
      <c r="E9" s="80">
        <v>0.013889096867389613</v>
      </c>
      <c r="F9" s="80">
        <v>-0.64912886</v>
      </c>
      <c r="G9" s="80">
        <v>0.023280232482719015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-0.38354432</v>
      </c>
      <c r="E10" s="80">
        <v>0.014004779069541007</v>
      </c>
      <c r="F10" s="80">
        <v>-2.2334837999999997</v>
      </c>
      <c r="G10" s="80">
        <v>0.013581210993889644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4">
        <v>14.263212000000001</v>
      </c>
      <c r="E11" s="78">
        <v>0.0026861786911914435</v>
      </c>
      <c r="F11" s="78">
        <v>1.0693621</v>
      </c>
      <c r="G11" s="78">
        <v>0.001543770753611514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-0.08469928099999999</v>
      </c>
      <c r="E12" s="80">
        <v>0.005400816631095303</v>
      </c>
      <c r="F12" s="115">
        <v>0.67550379</v>
      </c>
      <c r="G12" s="80">
        <v>0.007686283788762507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17.82837</v>
      </c>
      <c r="D13" s="83">
        <v>-0.137597147</v>
      </c>
      <c r="E13" s="80">
        <v>0.007382151541226508</v>
      </c>
      <c r="F13" s="80">
        <v>-0.25395062</v>
      </c>
      <c r="G13" s="80">
        <v>0.006901037555441077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-0.079256386</v>
      </c>
      <c r="E14" s="80">
        <v>0.006337524090774219</v>
      </c>
      <c r="F14" s="80">
        <v>-0.05197027369999999</v>
      </c>
      <c r="G14" s="80">
        <v>0.002560779827871175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-0.35585053999999994</v>
      </c>
      <c r="E15" s="78">
        <v>0.002128344800407346</v>
      </c>
      <c r="F15" s="78">
        <v>0.25656200999999995</v>
      </c>
      <c r="G15" s="78">
        <v>0.0046880854576713945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0.022358948</v>
      </c>
      <c r="E16" s="80">
        <v>0.0019863822335180093</v>
      </c>
      <c r="F16" s="80">
        <v>0.06423279</v>
      </c>
      <c r="G16" s="80">
        <v>0.002596522324853033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-0.1459999978542328</v>
      </c>
      <c r="D17" s="83">
        <v>-0.0184341327</v>
      </c>
      <c r="E17" s="80">
        <v>0.0021206744583023933</v>
      </c>
      <c r="F17" s="80">
        <v>-0.027539840000000003</v>
      </c>
      <c r="G17" s="80">
        <v>0.0028134870039845192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31.025999069213867</v>
      </c>
      <c r="D18" s="83">
        <v>-0.030532194000000002</v>
      </c>
      <c r="E18" s="80">
        <v>0.0027854567600456184</v>
      </c>
      <c r="F18" s="80">
        <v>0.048059898000000004</v>
      </c>
      <c r="G18" s="80">
        <v>0.0018521847066142027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-0.2029999941587448</v>
      </c>
      <c r="D19" s="83">
        <v>-0.12194457</v>
      </c>
      <c r="E19" s="80">
        <v>0.0008386580599979963</v>
      </c>
      <c r="F19" s="80">
        <v>-0.015622754999999999</v>
      </c>
      <c r="G19" s="80">
        <v>0.0011165030231934008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0.11389990000000001</v>
      </c>
      <c r="D20" s="88">
        <v>0.0017609337500000002</v>
      </c>
      <c r="E20" s="89">
        <v>0.0007299359976842483</v>
      </c>
      <c r="F20" s="89">
        <v>-0.002296605</v>
      </c>
      <c r="G20" s="89">
        <v>0.0014903629613750749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0.6141182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0.5549120642731864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-2.0840457</v>
      </c>
      <c r="I25" s="101" t="s">
        <v>49</v>
      </c>
      <c r="J25" s="102"/>
      <c r="K25" s="101"/>
      <c r="L25" s="104">
        <v>14.303242704291234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4.156495400236032</v>
      </c>
      <c r="I26" s="106" t="s">
        <v>53</v>
      </c>
      <c r="J26" s="107"/>
      <c r="K26" s="106"/>
      <c r="L26" s="109">
        <v>0.4386954203015249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HCMQAP117_pos5ap2res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8" t="s">
        <v>119</v>
      </c>
      <c r="B1" s="130" t="s">
        <v>68</v>
      </c>
      <c r="C1" s="120" t="s">
        <v>73</v>
      </c>
      <c r="D1" s="120" t="s">
        <v>75</v>
      </c>
      <c r="E1" s="120" t="s">
        <v>77</v>
      </c>
      <c r="F1" s="127" t="s">
        <v>80</v>
      </c>
      <c r="G1" s="161" t="s">
        <v>120</v>
      </c>
    </row>
    <row r="2" spans="1:7" ht="13.5" thickBot="1">
      <c r="A2" s="139" t="s">
        <v>89</v>
      </c>
      <c r="B2" s="131">
        <v>-2.2511156999999997</v>
      </c>
      <c r="C2" s="122">
        <v>-3.7506308</v>
      </c>
      <c r="D2" s="122">
        <v>-3.7507006999999994</v>
      </c>
      <c r="E2" s="122">
        <v>-3.7508428</v>
      </c>
      <c r="F2" s="128">
        <v>-2.0840457</v>
      </c>
      <c r="G2" s="162">
        <v>3.116449158123155</v>
      </c>
    </row>
    <row r="3" spans="1:7" ht="14.25" thickBot="1" thickTop="1">
      <c r="A3" s="147" t="s">
        <v>88</v>
      </c>
      <c r="B3" s="148" t="s">
        <v>83</v>
      </c>
      <c r="C3" s="149" t="s">
        <v>84</v>
      </c>
      <c r="D3" s="149" t="s">
        <v>85</v>
      </c>
      <c r="E3" s="149" t="s">
        <v>86</v>
      </c>
      <c r="F3" s="150" t="s">
        <v>87</v>
      </c>
      <c r="G3" s="157" t="s">
        <v>121</v>
      </c>
    </row>
    <row r="4" spans="1:7" ht="12.75">
      <c r="A4" s="144" t="s">
        <v>90</v>
      </c>
      <c r="B4" s="145">
        <v>-1.6647624</v>
      </c>
      <c r="C4" s="146">
        <v>-2.5077381</v>
      </c>
      <c r="D4" s="146">
        <v>-1.9280214</v>
      </c>
      <c r="E4" s="146">
        <v>-2.8315759999999996</v>
      </c>
      <c r="F4" s="151">
        <v>-1.8425573</v>
      </c>
      <c r="G4" s="158">
        <v>-2.2354926131808113</v>
      </c>
    </row>
    <row r="5" spans="1:7" ht="12.75">
      <c r="A5" s="139" t="s">
        <v>92</v>
      </c>
      <c r="B5" s="133">
        <v>-0.35183605</v>
      </c>
      <c r="C5" s="117">
        <v>-0.21077408000000003</v>
      </c>
      <c r="D5" s="117">
        <v>0.10614160099999999</v>
      </c>
      <c r="E5" s="117">
        <v>-0.19265417</v>
      </c>
      <c r="F5" s="152">
        <v>-0.9011009299999999</v>
      </c>
      <c r="G5" s="159">
        <v>-0.24282565877937723</v>
      </c>
    </row>
    <row r="6" spans="1:7" ht="12.75">
      <c r="A6" s="139" t="s">
        <v>94</v>
      </c>
      <c r="B6" s="133">
        <v>1.1001773199999998</v>
      </c>
      <c r="C6" s="117">
        <v>0.47376313999999997</v>
      </c>
      <c r="D6" s="117">
        <v>0.47174218999999995</v>
      </c>
      <c r="E6" s="117">
        <v>0.5124183600000001</v>
      </c>
      <c r="F6" s="152">
        <v>-0.38354432</v>
      </c>
      <c r="G6" s="159">
        <v>0.4584220028196064</v>
      </c>
    </row>
    <row r="7" spans="1:7" ht="12.75">
      <c r="A7" s="139" t="s">
        <v>96</v>
      </c>
      <c r="B7" s="132">
        <v>3.7963712999999997</v>
      </c>
      <c r="C7" s="116">
        <v>3.9745236</v>
      </c>
      <c r="D7" s="116">
        <v>3.9481773000000002</v>
      </c>
      <c r="E7" s="116">
        <v>4.0255674</v>
      </c>
      <c r="F7" s="153">
        <v>14.263212000000001</v>
      </c>
      <c r="G7" s="159">
        <v>5.330348352205792</v>
      </c>
    </row>
    <row r="8" spans="1:7" ht="12.75">
      <c r="A8" s="139" t="s">
        <v>98</v>
      </c>
      <c r="B8" s="133">
        <v>0.1373762</v>
      </c>
      <c r="C8" s="117">
        <v>-0.28593022</v>
      </c>
      <c r="D8" s="117">
        <v>0.18931326999999998</v>
      </c>
      <c r="E8" s="117">
        <v>-0.1370242</v>
      </c>
      <c r="F8" s="152">
        <v>-0.08469928099999999</v>
      </c>
      <c r="G8" s="159">
        <v>-0.047704429770191514</v>
      </c>
    </row>
    <row r="9" spans="1:7" ht="12.75">
      <c r="A9" s="139" t="s">
        <v>100</v>
      </c>
      <c r="B9" s="133">
        <v>0.095283821</v>
      </c>
      <c r="C9" s="117">
        <v>0.0008461323999999999</v>
      </c>
      <c r="D9" s="117">
        <v>-0.039840011999999994</v>
      </c>
      <c r="E9" s="117">
        <v>-0.054377005</v>
      </c>
      <c r="F9" s="152">
        <v>-0.137597147</v>
      </c>
      <c r="G9" s="159">
        <v>-0.027103917796190962</v>
      </c>
    </row>
    <row r="10" spans="1:7" ht="12.75">
      <c r="A10" s="139" t="s">
        <v>102</v>
      </c>
      <c r="B10" s="133">
        <v>-0.061857827</v>
      </c>
      <c r="C10" s="117">
        <v>-0.028096881</v>
      </c>
      <c r="D10" s="117">
        <v>0.021535831</v>
      </c>
      <c r="E10" s="117">
        <v>-0.049479063000000004</v>
      </c>
      <c r="F10" s="152">
        <v>-0.079256386</v>
      </c>
      <c r="G10" s="159">
        <v>-0.03301512355498148</v>
      </c>
    </row>
    <row r="11" spans="1:7" ht="12.75">
      <c r="A11" s="139" t="s">
        <v>104</v>
      </c>
      <c r="B11" s="132">
        <v>-0.38112447000000005</v>
      </c>
      <c r="C11" s="116">
        <v>-0.1811965</v>
      </c>
      <c r="D11" s="116">
        <v>-0.16942704</v>
      </c>
      <c r="E11" s="116">
        <v>-0.14752154999999997</v>
      </c>
      <c r="F11" s="154">
        <v>-0.35585053999999994</v>
      </c>
      <c r="G11" s="159">
        <v>-0.22248609816893372</v>
      </c>
    </row>
    <row r="12" spans="1:7" ht="12.75">
      <c r="A12" s="139" t="s">
        <v>106</v>
      </c>
      <c r="B12" s="133">
        <v>0.067868711</v>
      </c>
      <c r="C12" s="117">
        <v>0.00587078273</v>
      </c>
      <c r="D12" s="117">
        <v>0.031793544</v>
      </c>
      <c r="E12" s="117">
        <v>0.03421182</v>
      </c>
      <c r="F12" s="152">
        <v>0.022358948</v>
      </c>
      <c r="G12" s="159">
        <v>0.030086460208347803</v>
      </c>
    </row>
    <row r="13" spans="1:7" ht="12.75">
      <c r="A13" s="139" t="s">
        <v>108</v>
      </c>
      <c r="B13" s="133">
        <v>-0.0243291328</v>
      </c>
      <c r="C13" s="117">
        <v>0.0004218505</v>
      </c>
      <c r="D13" s="117">
        <v>-0.00371517102</v>
      </c>
      <c r="E13" s="117">
        <v>0.0026029813799999997</v>
      </c>
      <c r="F13" s="152">
        <v>-0.0184341327</v>
      </c>
      <c r="G13" s="159">
        <v>-0.006144358775788771</v>
      </c>
    </row>
    <row r="14" spans="1:7" ht="12.75">
      <c r="A14" s="139" t="s">
        <v>110</v>
      </c>
      <c r="B14" s="133">
        <v>0.02779977</v>
      </c>
      <c r="C14" s="117">
        <v>0.022358006000000003</v>
      </c>
      <c r="D14" s="117">
        <v>0.0119701243</v>
      </c>
      <c r="E14" s="117">
        <v>0.01532435</v>
      </c>
      <c r="F14" s="152">
        <v>-0.030532194000000002</v>
      </c>
      <c r="G14" s="159">
        <v>0.011880299624879772</v>
      </c>
    </row>
    <row r="15" spans="1:7" ht="12.75">
      <c r="A15" s="139" t="s">
        <v>112</v>
      </c>
      <c r="B15" s="134">
        <v>-0.17097745999999997</v>
      </c>
      <c r="C15" s="118">
        <v>-0.15671511</v>
      </c>
      <c r="D15" s="118">
        <v>-0.15654746000000003</v>
      </c>
      <c r="E15" s="118">
        <v>-0.15690547999999999</v>
      </c>
      <c r="F15" s="152">
        <v>-0.12194457</v>
      </c>
      <c r="G15" s="159">
        <v>-0.15413147722443193</v>
      </c>
    </row>
    <row r="16" spans="1:7" ht="12.75">
      <c r="A16" s="139" t="s">
        <v>114</v>
      </c>
      <c r="B16" s="133">
        <v>0.00018222088999999997</v>
      </c>
      <c r="C16" s="117">
        <v>0.00205527067</v>
      </c>
      <c r="D16" s="117">
        <v>-0.00134308537</v>
      </c>
      <c r="E16" s="117">
        <v>0.00129812926</v>
      </c>
      <c r="F16" s="152">
        <v>0.0017609337500000002</v>
      </c>
      <c r="G16" s="159">
        <v>0.0007454895414987152</v>
      </c>
    </row>
    <row r="17" spans="1:7" ht="12.75">
      <c r="A17" s="139" t="s">
        <v>91</v>
      </c>
      <c r="B17" s="132">
        <v>-1.7104415</v>
      </c>
      <c r="C17" s="116">
        <v>1.1891782</v>
      </c>
      <c r="D17" s="116">
        <v>2.9074883</v>
      </c>
      <c r="E17" s="116">
        <v>0.3561669</v>
      </c>
      <c r="F17" s="154">
        <v>3.7257800000000003</v>
      </c>
      <c r="G17" s="159">
        <v>1.3225805428498048</v>
      </c>
    </row>
    <row r="18" spans="1:7" ht="12.75">
      <c r="A18" s="139" t="s">
        <v>93</v>
      </c>
      <c r="B18" s="133">
        <v>-0.34240597</v>
      </c>
      <c r="C18" s="117">
        <v>-0.6353614999999999</v>
      </c>
      <c r="D18" s="117">
        <v>-1.3045987000000001</v>
      </c>
      <c r="E18" s="117">
        <v>-1.716028</v>
      </c>
      <c r="F18" s="152">
        <v>-0.64912886</v>
      </c>
      <c r="G18" s="159">
        <v>-1.0159739230490379</v>
      </c>
    </row>
    <row r="19" spans="1:7" ht="12.75">
      <c r="A19" s="139" t="s">
        <v>95</v>
      </c>
      <c r="B19" s="133">
        <v>-0.52086082</v>
      </c>
      <c r="C19" s="117">
        <v>0.23277226999999998</v>
      </c>
      <c r="D19" s="117">
        <v>0.89380852</v>
      </c>
      <c r="E19" s="117">
        <v>0.15325584</v>
      </c>
      <c r="F19" s="152">
        <v>-2.2334837999999997</v>
      </c>
      <c r="G19" s="159">
        <v>-0.06588108755024127</v>
      </c>
    </row>
    <row r="20" spans="1:7" ht="12.75">
      <c r="A20" s="139" t="s">
        <v>97</v>
      </c>
      <c r="B20" s="132">
        <v>0.66352182</v>
      </c>
      <c r="C20" s="116">
        <v>0.18112889999999998</v>
      </c>
      <c r="D20" s="116">
        <v>0.063184125</v>
      </c>
      <c r="E20" s="116">
        <v>0.48191315</v>
      </c>
      <c r="F20" s="154">
        <v>1.0693621</v>
      </c>
      <c r="G20" s="159">
        <v>0.41355218354743406</v>
      </c>
    </row>
    <row r="21" spans="1:7" ht="12.75">
      <c r="A21" s="139" t="s">
        <v>99</v>
      </c>
      <c r="B21" s="133">
        <v>-0.080242977</v>
      </c>
      <c r="C21" s="117">
        <v>-0.042874765</v>
      </c>
      <c r="D21" s="117">
        <v>-0.15058169999999999</v>
      </c>
      <c r="E21" s="117">
        <v>-0.107230618</v>
      </c>
      <c r="F21" s="155">
        <v>0.67550379</v>
      </c>
      <c r="G21" s="159">
        <v>0.006373446510808258</v>
      </c>
    </row>
    <row r="22" spans="1:7" ht="12.75">
      <c r="A22" s="139" t="s">
        <v>101</v>
      </c>
      <c r="B22" s="133">
        <v>-0.23608267</v>
      </c>
      <c r="C22" s="117">
        <v>-0.13908068999999998</v>
      </c>
      <c r="D22" s="117">
        <v>-0.15614053</v>
      </c>
      <c r="E22" s="117">
        <v>-0.25769488</v>
      </c>
      <c r="F22" s="152">
        <v>-0.25395062</v>
      </c>
      <c r="G22" s="159">
        <v>-0.20109554723786055</v>
      </c>
    </row>
    <row r="23" spans="1:7" ht="12.75">
      <c r="A23" s="139" t="s">
        <v>103</v>
      </c>
      <c r="B23" s="133">
        <v>0.068393503</v>
      </c>
      <c r="C23" s="117">
        <v>0.05788681200000001</v>
      </c>
      <c r="D23" s="117">
        <v>0.049810779000000006</v>
      </c>
      <c r="E23" s="117">
        <v>0.06624074599999999</v>
      </c>
      <c r="F23" s="152">
        <v>-0.05197027369999999</v>
      </c>
      <c r="G23" s="159">
        <v>0.04478310374835725</v>
      </c>
    </row>
    <row r="24" spans="1:7" ht="12.75">
      <c r="A24" s="139" t="s">
        <v>105</v>
      </c>
      <c r="B24" s="132">
        <v>0.15262791</v>
      </c>
      <c r="C24" s="116">
        <v>0.039900559999999995</v>
      </c>
      <c r="D24" s="116">
        <v>0.012342915800000001</v>
      </c>
      <c r="E24" s="116">
        <v>0.0119682353</v>
      </c>
      <c r="F24" s="154">
        <v>0.25656200999999995</v>
      </c>
      <c r="G24" s="159">
        <v>0.07179596828668441</v>
      </c>
    </row>
    <row r="25" spans="1:7" ht="12.75">
      <c r="A25" s="139" t="s">
        <v>107</v>
      </c>
      <c r="B25" s="133">
        <v>0.022341888</v>
      </c>
      <c r="C25" s="117">
        <v>0.0013186352</v>
      </c>
      <c r="D25" s="117">
        <v>-0.034890636</v>
      </c>
      <c r="E25" s="117">
        <v>0.00142675359</v>
      </c>
      <c r="F25" s="152">
        <v>0.06423279</v>
      </c>
      <c r="G25" s="159">
        <v>0.004079667957610562</v>
      </c>
    </row>
    <row r="26" spans="1:7" ht="12.75">
      <c r="A26" s="139" t="s">
        <v>109</v>
      </c>
      <c r="B26" s="133">
        <v>-0.0137990856</v>
      </c>
      <c r="C26" s="117">
        <v>-0.015504313999999996</v>
      </c>
      <c r="D26" s="117">
        <v>-0.0133427326</v>
      </c>
      <c r="E26" s="117">
        <v>-0.026482548000000005</v>
      </c>
      <c r="F26" s="152">
        <v>-0.027539840000000003</v>
      </c>
      <c r="G26" s="159">
        <v>-0.018988816157077468</v>
      </c>
    </row>
    <row r="27" spans="1:7" ht="12.75">
      <c r="A27" s="139" t="s">
        <v>111</v>
      </c>
      <c r="B27" s="133">
        <v>0.055358151</v>
      </c>
      <c r="C27" s="117">
        <v>0.017723854</v>
      </c>
      <c r="D27" s="117">
        <v>-0.0041713531499999994</v>
      </c>
      <c r="E27" s="117">
        <v>0.025769190000000004</v>
      </c>
      <c r="F27" s="152">
        <v>0.048059898000000004</v>
      </c>
      <c r="G27" s="159">
        <v>0.023882397227718163</v>
      </c>
    </row>
    <row r="28" spans="1:7" ht="12.75">
      <c r="A28" s="139" t="s">
        <v>113</v>
      </c>
      <c r="B28" s="133">
        <v>0.019217905</v>
      </c>
      <c r="C28" s="117">
        <v>0.01519595</v>
      </c>
      <c r="D28" s="117">
        <v>0.008321257500000002</v>
      </c>
      <c r="E28" s="117">
        <v>0.0117637781</v>
      </c>
      <c r="F28" s="152">
        <v>-0.015622754999999999</v>
      </c>
      <c r="G28" s="159">
        <v>0.00917618134761016</v>
      </c>
    </row>
    <row r="29" spans="1:7" ht="13.5" thickBot="1">
      <c r="A29" s="140" t="s">
        <v>115</v>
      </c>
      <c r="B29" s="135">
        <v>-0.0008338078000000003</v>
      </c>
      <c r="C29" s="119">
        <v>0.0008589202909999999</v>
      </c>
      <c r="D29" s="119">
        <v>0.004336857899999999</v>
      </c>
      <c r="E29" s="119">
        <v>0.003597746</v>
      </c>
      <c r="F29" s="156">
        <v>-0.002296605</v>
      </c>
      <c r="G29" s="160">
        <v>0.001688492596949582</v>
      </c>
    </row>
    <row r="30" spans="1:7" ht="13.5" thickTop="1">
      <c r="A30" s="141" t="s">
        <v>116</v>
      </c>
      <c r="B30" s="136">
        <v>-0.09348826167641226</v>
      </c>
      <c r="C30" s="125">
        <v>0.18990137223507841</v>
      </c>
      <c r="D30" s="125">
        <v>0.28958129609528926</v>
      </c>
      <c r="E30" s="125">
        <v>0.3626392234505458</v>
      </c>
      <c r="F30" s="121">
        <v>0.5549120642731864</v>
      </c>
      <c r="G30" s="161" t="s">
        <v>127</v>
      </c>
    </row>
    <row r="31" spans="1:7" ht="13.5" thickBot="1">
      <c r="A31" s="142" t="s">
        <v>117</v>
      </c>
      <c r="B31" s="131">
        <v>17.288209</v>
      </c>
      <c r="C31" s="122">
        <v>17.431641</v>
      </c>
      <c r="D31" s="122">
        <v>17.575074</v>
      </c>
      <c r="E31" s="122">
        <v>17.712403</v>
      </c>
      <c r="F31" s="123">
        <v>17.82837</v>
      </c>
      <c r="G31" s="163">
        <v>-209.51</v>
      </c>
    </row>
    <row r="32" spans="1:7" ht="15.75" thickBot="1" thickTop="1">
      <c r="A32" s="143" t="s">
        <v>118</v>
      </c>
      <c r="B32" s="137">
        <v>-0.306999996304512</v>
      </c>
      <c r="C32" s="126">
        <v>0.4259999990463257</v>
      </c>
      <c r="D32" s="126">
        <v>-0.27949999272823334</v>
      </c>
      <c r="E32" s="126">
        <v>0.37049999833106995</v>
      </c>
      <c r="F32" s="124">
        <v>-0.1744999960064888</v>
      </c>
      <c r="G32" s="129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5.66015625" style="164" bestFit="1" customWidth="1"/>
    <col min="2" max="2" width="15.66015625" style="164" bestFit="1" customWidth="1"/>
    <col min="3" max="3" width="15.33203125" style="164" bestFit="1" customWidth="1"/>
    <col min="4" max="4" width="16" style="164" bestFit="1" customWidth="1"/>
    <col min="5" max="5" width="22.16015625" style="164" bestFit="1" customWidth="1"/>
    <col min="6" max="6" width="14.83203125" style="164" bestFit="1" customWidth="1"/>
    <col min="7" max="7" width="15.33203125" style="164" bestFit="1" customWidth="1"/>
    <col min="8" max="8" width="14.16015625" style="164" bestFit="1" customWidth="1"/>
    <col min="9" max="9" width="14.83203125" style="164" bestFit="1" customWidth="1"/>
    <col min="10" max="10" width="6.33203125" style="164" bestFit="1" customWidth="1"/>
    <col min="11" max="11" width="15" style="164" bestFit="1" customWidth="1"/>
    <col min="12" max="16384" width="10.66015625" style="164" customWidth="1"/>
  </cols>
  <sheetData>
    <row r="1" spans="1:5" ht="12.75">
      <c r="A1" s="164" t="s">
        <v>128</v>
      </c>
      <c r="B1" s="164" t="s">
        <v>129</v>
      </c>
      <c r="C1" s="164" t="s">
        <v>130</v>
      </c>
      <c r="D1" s="164" t="s">
        <v>131</v>
      </c>
      <c r="E1" s="164" t="s">
        <v>28</v>
      </c>
    </row>
    <row r="3" spans="1:7" ht="12.75">
      <c r="A3" s="164" t="s">
        <v>132</v>
      </c>
      <c r="B3" s="164" t="s">
        <v>83</v>
      </c>
      <c r="C3" s="164" t="s">
        <v>84</v>
      </c>
      <c r="D3" s="164" t="s">
        <v>85</v>
      </c>
      <c r="E3" s="164" t="s">
        <v>86</v>
      </c>
      <c r="F3" s="164" t="s">
        <v>87</v>
      </c>
      <c r="G3" s="164" t="s">
        <v>133</v>
      </c>
    </row>
    <row r="4" spans="1:7" ht="12.75">
      <c r="A4" s="164" t="s">
        <v>134</v>
      </c>
      <c r="B4" s="164">
        <f>0.00225*1.0033</f>
        <v>0.002257425</v>
      </c>
      <c r="C4" s="164">
        <f>0.003749*1.0033</f>
        <v>0.0037613717000000006</v>
      </c>
      <c r="D4" s="164">
        <f>0.003749*1.0033</f>
        <v>0.0037613717000000006</v>
      </c>
      <c r="E4" s="164">
        <f>0.003749*1.0033</f>
        <v>0.0037613717000000006</v>
      </c>
      <c r="F4" s="164">
        <f>0.002083*1.0033</f>
        <v>0.0020898739</v>
      </c>
      <c r="G4" s="164">
        <f>0.011683*1.0033</f>
        <v>0.011721553900000002</v>
      </c>
    </row>
    <row r="5" spans="1:7" ht="12.75">
      <c r="A5" s="164" t="s">
        <v>135</v>
      </c>
      <c r="B5" s="164">
        <v>6.370066</v>
      </c>
      <c r="C5" s="164">
        <v>1.562489</v>
      </c>
      <c r="D5" s="164">
        <v>-0.885013</v>
      </c>
      <c r="E5" s="164">
        <v>-1.484179</v>
      </c>
      <c r="F5" s="164">
        <v>-5.439795</v>
      </c>
      <c r="G5" s="164">
        <v>4.580425</v>
      </c>
    </row>
    <row r="6" spans="1:7" ht="12.75">
      <c r="A6" s="164" t="s">
        <v>136</v>
      </c>
      <c r="B6" s="165">
        <v>-73.35072</v>
      </c>
      <c r="C6" s="165">
        <v>-24.32472</v>
      </c>
      <c r="D6" s="165">
        <v>3.797946</v>
      </c>
      <c r="E6" s="165">
        <v>14.46923</v>
      </c>
      <c r="F6" s="165">
        <v>90.1255</v>
      </c>
      <c r="G6" s="165">
        <v>-0.0008476176</v>
      </c>
    </row>
    <row r="7" spans="1:7" ht="12.75">
      <c r="A7" s="164" t="s">
        <v>137</v>
      </c>
      <c r="B7" s="165">
        <v>10000</v>
      </c>
      <c r="C7" s="165">
        <v>10000</v>
      </c>
      <c r="D7" s="165">
        <v>10000</v>
      </c>
      <c r="E7" s="165">
        <v>10000</v>
      </c>
      <c r="F7" s="165">
        <v>10000</v>
      </c>
      <c r="G7" s="165">
        <v>10000</v>
      </c>
    </row>
    <row r="8" spans="1:7" ht="12.75">
      <c r="A8" s="164" t="s">
        <v>90</v>
      </c>
      <c r="B8" s="165">
        <v>-1.636587</v>
      </c>
      <c r="C8" s="165">
        <v>-2.506521</v>
      </c>
      <c r="D8" s="165">
        <v>-1.876436</v>
      </c>
      <c r="E8" s="165">
        <v>-2.832196</v>
      </c>
      <c r="F8" s="165">
        <v>-1.84524</v>
      </c>
      <c r="G8" s="165">
        <v>-2.219241</v>
      </c>
    </row>
    <row r="9" spans="1:7" ht="12.75">
      <c r="A9" s="164" t="s">
        <v>92</v>
      </c>
      <c r="B9" s="165">
        <v>-0.4072631</v>
      </c>
      <c r="C9" s="165">
        <v>-0.2180009</v>
      </c>
      <c r="D9" s="165">
        <v>0.05225992</v>
      </c>
      <c r="E9" s="165">
        <v>-0.2030083</v>
      </c>
      <c r="F9" s="165">
        <v>-1.137882</v>
      </c>
      <c r="G9" s="165">
        <v>-0.2996701</v>
      </c>
    </row>
    <row r="10" spans="1:7" ht="12.75">
      <c r="A10" s="164" t="s">
        <v>94</v>
      </c>
      <c r="B10" s="165">
        <v>1.012396</v>
      </c>
      <c r="C10" s="165">
        <v>0.4207955</v>
      </c>
      <c r="D10" s="165">
        <v>0.4805925</v>
      </c>
      <c r="E10" s="165">
        <v>0.5432235</v>
      </c>
      <c r="F10" s="165">
        <v>0.264913</v>
      </c>
      <c r="G10" s="165">
        <v>0.5292408</v>
      </c>
    </row>
    <row r="11" spans="1:7" ht="12.75">
      <c r="A11" s="164" t="s">
        <v>96</v>
      </c>
      <c r="B11" s="165">
        <v>3.758648</v>
      </c>
      <c r="C11" s="165">
        <v>3.97803</v>
      </c>
      <c r="D11" s="165">
        <v>3.960187</v>
      </c>
      <c r="E11" s="165">
        <v>4.029054</v>
      </c>
      <c r="F11" s="165">
        <v>14.35654</v>
      </c>
      <c r="G11" s="165">
        <v>5.341886</v>
      </c>
    </row>
    <row r="12" spans="1:7" ht="12.75">
      <c r="A12" s="164" t="s">
        <v>98</v>
      </c>
      <c r="B12" s="165">
        <v>0.116193</v>
      </c>
      <c r="C12" s="165">
        <v>-0.2828155</v>
      </c>
      <c r="D12" s="165">
        <v>0.1999877</v>
      </c>
      <c r="E12" s="165">
        <v>-0.1394521</v>
      </c>
      <c r="F12" s="165">
        <v>-0.0999191</v>
      </c>
      <c r="G12" s="165">
        <v>-0.05006606</v>
      </c>
    </row>
    <row r="13" spans="1:7" ht="12.75">
      <c r="A13" s="164" t="s">
        <v>100</v>
      </c>
      <c r="B13" s="165">
        <v>0.116479</v>
      </c>
      <c r="C13" s="165">
        <v>0.001905792</v>
      </c>
      <c r="D13" s="165">
        <v>-0.0445552</v>
      </c>
      <c r="E13" s="165">
        <v>-0.05796077</v>
      </c>
      <c r="F13" s="165">
        <v>-0.1551931</v>
      </c>
      <c r="G13" s="165">
        <v>-0.02813539</v>
      </c>
    </row>
    <row r="14" spans="1:7" ht="12.75">
      <c r="A14" s="164" t="s">
        <v>102</v>
      </c>
      <c r="B14" s="165">
        <v>-0.03170171</v>
      </c>
      <c r="C14" s="165">
        <v>-0.02680732</v>
      </c>
      <c r="D14" s="165">
        <v>0.01900995</v>
      </c>
      <c r="E14" s="165">
        <v>-0.0512639</v>
      </c>
      <c r="F14" s="165">
        <v>-0.06996029</v>
      </c>
      <c r="G14" s="165">
        <v>-0.02814442</v>
      </c>
    </row>
    <row r="15" spans="1:7" ht="12.75">
      <c r="A15" s="164" t="s">
        <v>104</v>
      </c>
      <c r="B15" s="165">
        <v>-0.3931972</v>
      </c>
      <c r="C15" s="165">
        <v>-0.1824199</v>
      </c>
      <c r="D15" s="165">
        <v>-0.1655819</v>
      </c>
      <c r="E15" s="165">
        <v>-0.147262</v>
      </c>
      <c r="F15" s="165">
        <v>-0.3291136</v>
      </c>
      <c r="G15" s="165">
        <v>-0.2199602</v>
      </c>
    </row>
    <row r="16" spans="1:7" ht="12.75">
      <c r="A16" s="164" t="s">
        <v>106</v>
      </c>
      <c r="B16" s="165">
        <v>0.06457483</v>
      </c>
      <c r="C16" s="165">
        <v>0.006055784</v>
      </c>
      <c r="D16" s="165">
        <v>0.03285896</v>
      </c>
      <c r="E16" s="165">
        <v>0.03390659</v>
      </c>
      <c r="F16" s="165">
        <v>0.01952876</v>
      </c>
      <c r="G16" s="165">
        <v>0.02945949</v>
      </c>
    </row>
    <row r="17" spans="1:7" ht="12.75">
      <c r="A17" s="164" t="s">
        <v>108</v>
      </c>
      <c r="B17" s="165">
        <v>-0.01879946</v>
      </c>
      <c r="C17" s="165">
        <v>-0.0006184764</v>
      </c>
      <c r="D17" s="165">
        <v>-0.002665511</v>
      </c>
      <c r="E17" s="165">
        <v>0.002440646</v>
      </c>
      <c r="F17" s="165">
        <v>-0.01230355</v>
      </c>
      <c r="G17" s="165">
        <v>-0.004562395</v>
      </c>
    </row>
    <row r="18" spans="1:7" ht="12.75">
      <c r="A18" s="164" t="s">
        <v>110</v>
      </c>
      <c r="B18" s="165">
        <v>0.02839301</v>
      </c>
      <c r="C18" s="165">
        <v>0.023359</v>
      </c>
      <c r="D18" s="165">
        <v>0.01123854</v>
      </c>
      <c r="E18" s="165">
        <v>0.01491027</v>
      </c>
      <c r="F18" s="165">
        <v>-0.03208062</v>
      </c>
      <c r="G18" s="165">
        <v>0.01172389</v>
      </c>
    </row>
    <row r="19" spans="1:7" ht="12.75">
      <c r="A19" s="164" t="s">
        <v>112</v>
      </c>
      <c r="B19" s="165">
        <v>-0.1720403</v>
      </c>
      <c r="C19" s="165">
        <v>-0.1570247</v>
      </c>
      <c r="D19" s="165">
        <v>-0.156473</v>
      </c>
      <c r="E19" s="165">
        <v>-0.156612</v>
      </c>
      <c r="F19" s="165">
        <v>-0.1227771</v>
      </c>
      <c r="G19" s="165">
        <v>-0.1543825</v>
      </c>
    </row>
    <row r="20" spans="1:7" ht="12.75">
      <c r="A20" s="164" t="s">
        <v>114</v>
      </c>
      <c r="B20" s="165">
        <v>0.000272129</v>
      </c>
      <c r="C20" s="165">
        <v>0.002029266</v>
      </c>
      <c r="D20" s="165">
        <v>-0.001276654</v>
      </c>
      <c r="E20" s="165">
        <v>0.001382399</v>
      </c>
      <c r="F20" s="165">
        <v>0.001562098</v>
      </c>
      <c r="G20" s="165">
        <v>0.0007618566</v>
      </c>
    </row>
    <row r="21" spans="1:7" ht="12.75">
      <c r="A21" s="164" t="s">
        <v>138</v>
      </c>
      <c r="B21" s="165">
        <v>-93.11979</v>
      </c>
      <c r="C21" s="165">
        <v>32.83129</v>
      </c>
      <c r="D21" s="165">
        <v>116.5229</v>
      </c>
      <c r="E21" s="165">
        <v>-0.225761</v>
      </c>
      <c r="F21" s="165">
        <v>-167.832</v>
      </c>
      <c r="G21" s="165">
        <v>-0.001602051</v>
      </c>
    </row>
    <row r="22" spans="1:7" ht="12.75">
      <c r="A22" s="164" t="s">
        <v>139</v>
      </c>
      <c r="B22" s="165">
        <v>127.4082</v>
      </c>
      <c r="C22" s="165">
        <v>31.24989</v>
      </c>
      <c r="D22" s="165">
        <v>-17.70028</v>
      </c>
      <c r="E22" s="165">
        <v>-29.68367</v>
      </c>
      <c r="F22" s="165">
        <v>-108.8002</v>
      </c>
      <c r="G22" s="165">
        <v>0</v>
      </c>
    </row>
    <row r="23" spans="1:7" ht="12.75">
      <c r="A23" s="164" t="s">
        <v>91</v>
      </c>
      <c r="B23" s="165">
        <v>-1.719557</v>
      </c>
      <c r="C23" s="165">
        <v>1.180651</v>
      </c>
      <c r="D23" s="165">
        <v>2.914363</v>
      </c>
      <c r="E23" s="165">
        <v>0.3620113</v>
      </c>
      <c r="F23" s="165">
        <v>3.795041</v>
      </c>
      <c r="G23" s="165">
        <v>1.331529</v>
      </c>
    </row>
    <row r="24" spans="1:7" ht="12.75">
      <c r="A24" s="164" t="s">
        <v>93</v>
      </c>
      <c r="B24" s="165">
        <v>-0.367631</v>
      </c>
      <c r="C24" s="165">
        <v>-0.6316198</v>
      </c>
      <c r="D24" s="165">
        <v>-1.279665</v>
      </c>
      <c r="E24" s="165">
        <v>-1.712999</v>
      </c>
      <c r="F24" s="165">
        <v>-0.7102014</v>
      </c>
      <c r="G24" s="165">
        <v>-1.020164</v>
      </c>
    </row>
    <row r="25" spans="1:7" ht="12.75">
      <c r="A25" s="164" t="s">
        <v>95</v>
      </c>
      <c r="B25" s="165">
        <v>-0.6871382</v>
      </c>
      <c r="C25" s="165">
        <v>0.3003135</v>
      </c>
      <c r="D25" s="165">
        <v>1.12318</v>
      </c>
      <c r="E25" s="165">
        <v>0.15338</v>
      </c>
      <c r="F25" s="165">
        <v>-3.38848</v>
      </c>
      <c r="G25" s="165">
        <v>-0.1728099</v>
      </c>
    </row>
    <row r="26" spans="1:7" ht="12.75">
      <c r="A26" s="164" t="s">
        <v>97</v>
      </c>
      <c r="B26" s="165">
        <v>0.8049191</v>
      </c>
      <c r="C26" s="165">
        <v>0.213567</v>
      </c>
      <c r="D26" s="165">
        <v>0.05542419</v>
      </c>
      <c r="E26" s="165">
        <v>0.4451587</v>
      </c>
      <c r="F26" s="165">
        <v>0.6490328</v>
      </c>
      <c r="G26" s="165">
        <v>0.3749089</v>
      </c>
    </row>
    <row r="27" spans="1:7" ht="12.75">
      <c r="A27" s="164" t="s">
        <v>99</v>
      </c>
      <c r="B27" s="165">
        <v>-0.07039985</v>
      </c>
      <c r="C27" s="165">
        <v>-0.04343128</v>
      </c>
      <c r="D27" s="165">
        <v>-0.1557278</v>
      </c>
      <c r="E27" s="165">
        <v>-0.1083457</v>
      </c>
      <c r="F27" s="165">
        <v>0.6803139</v>
      </c>
      <c r="G27" s="165">
        <v>0.006792092</v>
      </c>
    </row>
    <row r="28" spans="1:7" ht="12.75">
      <c r="A28" s="164" t="s">
        <v>101</v>
      </c>
      <c r="B28" s="165">
        <v>-0.2352222</v>
      </c>
      <c r="C28" s="165">
        <v>-0.1409381</v>
      </c>
      <c r="D28" s="165">
        <v>-0.1540254</v>
      </c>
      <c r="E28" s="165">
        <v>-0.2561888</v>
      </c>
      <c r="F28" s="165">
        <v>-0.2421241</v>
      </c>
      <c r="G28" s="165">
        <v>-0.1989653</v>
      </c>
    </row>
    <row r="29" spans="1:7" ht="12.75">
      <c r="A29" s="164" t="s">
        <v>103</v>
      </c>
      <c r="B29" s="165">
        <v>0.08928375</v>
      </c>
      <c r="C29" s="165">
        <v>0.05148164</v>
      </c>
      <c r="D29" s="165">
        <v>0.03249865</v>
      </c>
      <c r="E29" s="165">
        <v>0.06733065</v>
      </c>
      <c r="F29" s="165">
        <v>0.02505699</v>
      </c>
      <c r="G29" s="165">
        <v>0.05265358</v>
      </c>
    </row>
    <row r="30" spans="1:7" ht="12.75">
      <c r="A30" s="164" t="s">
        <v>105</v>
      </c>
      <c r="B30" s="165">
        <v>0.1200419</v>
      </c>
      <c r="C30" s="165">
        <v>0.03760118</v>
      </c>
      <c r="D30" s="165">
        <v>0.01771939</v>
      </c>
      <c r="E30" s="165">
        <v>0.01439456</v>
      </c>
      <c r="F30" s="165">
        <v>0.2780664</v>
      </c>
      <c r="G30" s="165">
        <v>0.07128396</v>
      </c>
    </row>
    <row r="31" spans="1:7" ht="12.75">
      <c r="A31" s="164" t="s">
        <v>107</v>
      </c>
      <c r="B31" s="165">
        <v>0.03118571</v>
      </c>
      <c r="C31" s="165">
        <v>0.002065193</v>
      </c>
      <c r="D31" s="165">
        <v>-0.03530905</v>
      </c>
      <c r="E31" s="165">
        <v>0.0006685917</v>
      </c>
      <c r="F31" s="165">
        <v>0.06378181</v>
      </c>
      <c r="G31" s="165">
        <v>0.005192874</v>
      </c>
    </row>
    <row r="32" spans="1:7" ht="12.75">
      <c r="A32" s="164" t="s">
        <v>109</v>
      </c>
      <c r="B32" s="165">
        <v>-0.02452252</v>
      </c>
      <c r="C32" s="165">
        <v>-0.01533272</v>
      </c>
      <c r="D32" s="165">
        <v>-0.01186106</v>
      </c>
      <c r="E32" s="165">
        <v>-0.02623746</v>
      </c>
      <c r="F32" s="165">
        <v>-0.01522908</v>
      </c>
      <c r="G32" s="165">
        <v>-0.01843479</v>
      </c>
    </row>
    <row r="33" spans="1:7" ht="12.75">
      <c r="A33" s="164" t="s">
        <v>111</v>
      </c>
      <c r="B33" s="165">
        <v>0.06365825</v>
      </c>
      <c r="C33" s="165">
        <v>0.01596314</v>
      </c>
      <c r="D33" s="165">
        <v>-0.01167731</v>
      </c>
      <c r="E33" s="165">
        <v>0.02555862</v>
      </c>
      <c r="F33" s="165">
        <v>0.05813868</v>
      </c>
      <c r="G33" s="165">
        <v>0.02414779</v>
      </c>
    </row>
    <row r="34" spans="1:7" ht="12.75">
      <c r="A34" s="164" t="s">
        <v>113</v>
      </c>
      <c r="B34" s="165">
        <v>0.003921372</v>
      </c>
      <c r="C34" s="165">
        <v>0.01177084</v>
      </c>
      <c r="D34" s="165">
        <v>0.01024739</v>
      </c>
      <c r="E34" s="165">
        <v>0.01502761</v>
      </c>
      <c r="F34" s="165">
        <v>-0.006319929</v>
      </c>
      <c r="G34" s="165">
        <v>0.008632572</v>
      </c>
    </row>
    <row r="35" spans="1:7" ht="12.75">
      <c r="A35" s="164" t="s">
        <v>115</v>
      </c>
      <c r="B35" s="165">
        <v>-0.0008125105</v>
      </c>
      <c r="C35" s="165">
        <v>0.0009063962</v>
      </c>
      <c r="D35" s="165">
        <v>0.004354952</v>
      </c>
      <c r="E35" s="165">
        <v>0.003567662</v>
      </c>
      <c r="F35" s="165">
        <v>-0.002433113</v>
      </c>
      <c r="G35" s="165">
        <v>0.001681929</v>
      </c>
    </row>
    <row r="36" spans="1:6" ht="12.75">
      <c r="A36" s="164" t="s">
        <v>140</v>
      </c>
      <c r="B36" s="165">
        <v>17.82837</v>
      </c>
      <c r="C36" s="165">
        <v>17.84058</v>
      </c>
      <c r="D36" s="165">
        <v>17.85584</v>
      </c>
      <c r="E36" s="165">
        <v>17.86194</v>
      </c>
      <c r="F36" s="165">
        <v>17.8772</v>
      </c>
    </row>
    <row r="37" spans="1:6" ht="12.75">
      <c r="A37" s="164" t="s">
        <v>141</v>
      </c>
      <c r="B37" s="165">
        <v>-0.1729329</v>
      </c>
      <c r="C37" s="165">
        <v>-0.163269</v>
      </c>
      <c r="D37" s="165">
        <v>-0.1576742</v>
      </c>
      <c r="E37" s="165">
        <v>-0.1566569</v>
      </c>
      <c r="F37" s="165">
        <v>-0.1541138</v>
      </c>
    </row>
    <row r="38" spans="1:7" ht="12.75">
      <c r="A38" s="164" t="s">
        <v>142</v>
      </c>
      <c r="B38" s="165">
        <v>0.0001266926</v>
      </c>
      <c r="C38" s="165">
        <v>4.117721E-05</v>
      </c>
      <c r="D38" s="165">
        <v>0</v>
      </c>
      <c r="E38" s="165">
        <v>-2.459861E-05</v>
      </c>
      <c r="F38" s="165">
        <v>-0.0001562991</v>
      </c>
      <c r="G38" s="165">
        <v>0.0002713182</v>
      </c>
    </row>
    <row r="39" spans="1:7" ht="12.75">
      <c r="A39" s="164" t="s">
        <v>143</v>
      </c>
      <c r="B39" s="165">
        <v>0.0001566895</v>
      </c>
      <c r="C39" s="165">
        <v>-5.594188E-05</v>
      </c>
      <c r="D39" s="165">
        <v>-0.0001980997</v>
      </c>
      <c r="E39" s="165">
        <v>0</v>
      </c>
      <c r="F39" s="165">
        <v>0.0002836138</v>
      </c>
      <c r="G39" s="165">
        <v>0.0003312734</v>
      </c>
    </row>
    <row r="40" spans="2:5" ht="12.75">
      <c r="B40" s="164" t="s">
        <v>144</v>
      </c>
      <c r="C40" s="164">
        <v>0.003749</v>
      </c>
      <c r="D40" s="164" t="s">
        <v>145</v>
      </c>
      <c r="E40" s="164">
        <v>3.116449</v>
      </c>
    </row>
    <row r="42" ht="12.75">
      <c r="A42" s="164" t="s">
        <v>146</v>
      </c>
    </row>
    <row r="50" spans="1:7" ht="12.75">
      <c r="A50" s="164" t="s">
        <v>147</v>
      </c>
      <c r="B50" s="164">
        <f>-0.017/(B7*B7+B22*B22)*(B21*B22+B6*B7)</f>
        <v>0.00012669257640564384</v>
      </c>
      <c r="C50" s="164">
        <f>-0.017/(C7*C7+C22*C22)*(C21*C22+C6*C7)</f>
        <v>4.1177206267496094E-05</v>
      </c>
      <c r="D50" s="164">
        <f>-0.017/(D7*D7+D22*D22)*(D21*D22+D6*D7)</f>
        <v>-6.1058661177367815E-06</v>
      </c>
      <c r="E50" s="164">
        <f>-0.017/(E7*E7+E22*E22)*(E21*E22+E6*E7)</f>
        <v>-2.4598613497185535E-05</v>
      </c>
      <c r="F50" s="164">
        <f>-0.017/(F7*F7+F22*F22)*(F21*F22+F6*F7)</f>
        <v>-0.00015629907450110197</v>
      </c>
      <c r="G50" s="164">
        <f>(B50*B$4+C50*C$4+D50*D$4+E50*E$4+F50*F$4)/SUM(B$4:F$4)</f>
        <v>-8.025821903708218E-08</v>
      </c>
    </row>
    <row r="51" spans="1:7" ht="12.75">
      <c r="A51" s="164" t="s">
        <v>148</v>
      </c>
      <c r="B51" s="164">
        <f>-0.017/(B7*B7+B22*B22)*(B21*B7-B6*B22)</f>
        <v>0.00015668947568867945</v>
      </c>
      <c r="C51" s="164">
        <f>-0.017/(C7*C7+C22*C22)*(C21*C7-C6*C22)</f>
        <v>-5.5941871316636665E-05</v>
      </c>
      <c r="D51" s="164">
        <f>-0.017/(D7*D7+D22*D22)*(D21*D7-D6*D22)</f>
        <v>-0.00019809973755399265</v>
      </c>
      <c r="E51" s="164">
        <f>-0.017/(E7*E7+E22*E22)*(E21*E7-E6*E22)</f>
        <v>3.1077598744919987E-07</v>
      </c>
      <c r="F51" s="164">
        <f>-0.017/(F7*F7+F22*F22)*(F21*F7-F6*F22)</f>
        <v>0.0002836138629434465</v>
      </c>
      <c r="G51" s="164">
        <f>(B51*B$4+C51*C$4+D51*D$4+E51*E$4+F51*F$4)/SUM(B$4:F$4)</f>
        <v>-5.082089645901471E-07</v>
      </c>
    </row>
    <row r="58" ht="12.75">
      <c r="A58" s="164" t="s">
        <v>150</v>
      </c>
    </row>
    <row r="60" spans="2:6" ht="12.75">
      <c r="B60" s="164" t="s">
        <v>83</v>
      </c>
      <c r="C60" s="164" t="s">
        <v>84</v>
      </c>
      <c r="D60" s="164" t="s">
        <v>85</v>
      </c>
      <c r="E60" s="164" t="s">
        <v>86</v>
      </c>
      <c r="F60" s="164" t="s">
        <v>87</v>
      </c>
    </row>
    <row r="61" spans="1:6" ht="12.75">
      <c r="A61" s="164" t="s">
        <v>152</v>
      </c>
      <c r="B61" s="164">
        <f>B6+(1/0.017)*(B7*B50-B22*B51)</f>
        <v>0</v>
      </c>
      <c r="C61" s="164">
        <f>C6+(1/0.017)*(C7*C50-C22*C51)</f>
        <v>0</v>
      </c>
      <c r="D61" s="164">
        <f>D6+(1/0.017)*(D7*D50-D22*D51)</f>
        <v>0</v>
      </c>
      <c r="E61" s="164">
        <f>E6+(1/0.017)*(E7*E50-E22*E51)</f>
        <v>0</v>
      </c>
      <c r="F61" s="164">
        <f>F6+(1/0.017)*(F7*F50-F22*F51)</f>
        <v>0</v>
      </c>
    </row>
    <row r="62" spans="1:6" ht="12.75">
      <c r="A62" s="164" t="s">
        <v>155</v>
      </c>
      <c r="B62" s="164">
        <f>B7+(2/0.017)*(B8*B50-B23*B51)</f>
        <v>10000.007305066025</v>
      </c>
      <c r="C62" s="164">
        <f>C7+(2/0.017)*(C8*C50-C23*C51)</f>
        <v>9999.995627799304</v>
      </c>
      <c r="D62" s="164">
        <f>D7+(2/0.017)*(D8*D50-D23*D51)</f>
        <v>10000.069269624992</v>
      </c>
      <c r="E62" s="164">
        <f>E7+(2/0.017)*(E8*E50-E23*E51)</f>
        <v>10000.008183010628</v>
      </c>
      <c r="F62" s="164">
        <f>F7+(2/0.017)*(F8*F50-F23*F51)</f>
        <v>9999.90730389014</v>
      </c>
    </row>
    <row r="63" spans="1:6" ht="12.75">
      <c r="A63" s="164" t="s">
        <v>156</v>
      </c>
      <c r="B63" s="164">
        <f>B8+(3/0.017)*(B9*B50-B24*B51)</f>
        <v>-1.6355269946077138</v>
      </c>
      <c r="C63" s="164">
        <f>C8+(3/0.017)*(C9*C50-C24*C51)</f>
        <v>-2.514340528517372</v>
      </c>
      <c r="D63" s="164">
        <f>D8+(3/0.017)*(D9*D50-D24*D51)</f>
        <v>-1.9212278340115072</v>
      </c>
      <c r="E63" s="164">
        <f>E8+(3/0.017)*(E9*E50-E24*E51)</f>
        <v>-2.831220809118092</v>
      </c>
      <c r="F63" s="164">
        <f>F8+(3/0.017)*(F9*F50-F24*F51)</f>
        <v>-1.7783094942329458</v>
      </c>
    </row>
    <row r="64" spans="1:6" ht="12.75">
      <c r="A64" s="164" t="s">
        <v>157</v>
      </c>
      <c r="B64" s="164">
        <f>B9+(4/0.017)*(B10*B50-B25*B51)</f>
        <v>-0.3517500689726044</v>
      </c>
      <c r="C64" s="164">
        <f>C9+(4/0.017)*(C10*C50-C25*C51)</f>
        <v>-0.20997095123021578</v>
      </c>
      <c r="D64" s="164">
        <f>D9+(4/0.017)*(D10*D50-D25*D51)</f>
        <v>0.10392279759146002</v>
      </c>
      <c r="E64" s="164">
        <f>E9+(4/0.017)*(E10*E50-E25*E51)</f>
        <v>-0.2061636439388337</v>
      </c>
      <c r="F64" s="164">
        <f>F9+(4/0.017)*(F10*F50-F25*F51)</f>
        <v>-0.921502177509812</v>
      </c>
    </row>
    <row r="65" spans="1:6" ht="12.75">
      <c r="A65" s="164" t="s">
        <v>158</v>
      </c>
      <c r="B65" s="164">
        <f>B10+(5/0.017)*(B11*B50-B26*B51)</f>
        <v>1.1153578962267992</v>
      </c>
      <c r="C65" s="164">
        <f>C10+(5/0.017)*(C11*C50-C26*C51)</f>
        <v>0.4724871174940493</v>
      </c>
      <c r="D65" s="164">
        <f>D10+(5/0.017)*(D11*D50-D26*D51)</f>
        <v>0.4767098958441003</v>
      </c>
      <c r="E65" s="164">
        <f>E10+(5/0.017)*(E11*E50-E26*E51)</f>
        <v>0.5140330627235725</v>
      </c>
      <c r="F65" s="164">
        <f>F10+(5/0.017)*(F11*F50-F26*F51)</f>
        <v>-0.44920129841854467</v>
      </c>
    </row>
    <row r="66" spans="1:6" ht="12.75">
      <c r="A66" s="164" t="s">
        <v>159</v>
      </c>
      <c r="B66" s="164">
        <f>B11+(6/0.017)*(B12*B50-B27*B51)</f>
        <v>3.767736837452481</v>
      </c>
      <c r="C66" s="164">
        <f>C11+(6/0.017)*(C12*C50-C27*C51)</f>
        <v>3.973062289674345</v>
      </c>
      <c r="D66" s="164">
        <f>D11+(6/0.017)*(D12*D50-D27*D51)</f>
        <v>3.948867917259557</v>
      </c>
      <c r="E66" s="164">
        <f>E11+(6/0.017)*(E12*E50-E27*E51)</f>
        <v>4.030276588076886</v>
      </c>
      <c r="F66" s="164">
        <f>F11+(6/0.017)*(F12*F50-F27*F51)</f>
        <v>14.29395322693948</v>
      </c>
    </row>
    <row r="67" spans="1:6" ht="12.75">
      <c r="A67" s="164" t="s">
        <v>160</v>
      </c>
      <c r="B67" s="164">
        <f>B12+(7/0.017)*(B13*B50-B28*B51)</f>
        <v>0.13744576909226086</v>
      </c>
      <c r="C67" s="164">
        <f>C12+(7/0.017)*(C13*C50-C28*C51)</f>
        <v>-0.2860296800614512</v>
      </c>
      <c r="D67" s="164">
        <f>D12+(7/0.017)*(D13*D50-D28*D51)</f>
        <v>0.18753579396387068</v>
      </c>
      <c r="E67" s="164">
        <f>E12+(7/0.017)*(E13*E50-E28*E51)</f>
        <v>-0.13883224097966712</v>
      </c>
      <c r="F67" s="164">
        <f>F12+(7/0.017)*(F13*F50-F28*F51)</f>
        <v>-0.0616553338540214</v>
      </c>
    </row>
    <row r="68" spans="1:6" ht="12.75">
      <c r="A68" s="164" t="s">
        <v>161</v>
      </c>
      <c r="B68" s="164">
        <f>B13+(8/0.017)*(B14*B50-B29*B51)</f>
        <v>0.1080054963334665</v>
      </c>
      <c r="C68" s="164">
        <f>C13+(8/0.017)*(C14*C50-C29*C51)</f>
        <v>0.002741617287026184</v>
      </c>
      <c r="D68" s="164">
        <f>D13+(8/0.017)*(D14*D50-D29*D51)</f>
        <v>-0.04158018737588039</v>
      </c>
      <c r="E68" s="164">
        <f>E13+(8/0.017)*(E14*E50-E29*E51)</f>
        <v>-0.057377195358485164</v>
      </c>
      <c r="F68" s="164">
        <f>F13+(8/0.017)*(F14*F50-F29*F51)</f>
        <v>-0.15339158524649724</v>
      </c>
    </row>
    <row r="69" spans="1:6" ht="12.75">
      <c r="A69" s="164" t="s">
        <v>162</v>
      </c>
      <c r="B69" s="164">
        <f>B14+(9/0.017)*(B15*B50-B30*B51)</f>
        <v>-0.068032311063319</v>
      </c>
      <c r="C69" s="164">
        <f>C14+(9/0.017)*(C15*C50-C30*C51)</f>
        <v>-0.029670411370008285</v>
      </c>
      <c r="D69" s="164">
        <f>D14+(9/0.017)*(D15*D50-D30*D51)</f>
        <v>0.021403540987872702</v>
      </c>
      <c r="E69" s="164">
        <f>E14+(9/0.017)*(E15*E50-E30*E51)</f>
        <v>-0.04934850542146931</v>
      </c>
      <c r="F69" s="164">
        <f>F14+(9/0.017)*(F15*F50-F30*F51)</f>
        <v>-0.08447852605632147</v>
      </c>
    </row>
    <row r="70" spans="1:6" ht="12.75">
      <c r="A70" s="164" t="s">
        <v>163</v>
      </c>
      <c r="B70" s="164">
        <f>B15+(10/0.017)*(B16*B50-B31*B51)</f>
        <v>-0.39125915350895457</v>
      </c>
      <c r="C70" s="164">
        <f>C15+(10/0.017)*(C16*C50-C31*C51)</f>
        <v>-0.18220525821886505</v>
      </c>
      <c r="D70" s="164">
        <f>D15+(10/0.017)*(D16*D50-D31*D51)</f>
        <v>-0.16981445644047582</v>
      </c>
      <c r="E70" s="164">
        <f>E15+(10/0.017)*(E16*E50-E31*E51)</f>
        <v>-0.14775274287333137</v>
      </c>
      <c r="F70" s="164">
        <f>F15+(10/0.017)*(F16*F50-F31*F51)</f>
        <v>-0.3415499133139877</v>
      </c>
    </row>
    <row r="71" spans="1:6" ht="12.75">
      <c r="A71" s="164" t="s">
        <v>164</v>
      </c>
      <c r="B71" s="164">
        <f>B16+(11/0.017)*(B17*B50-B32*B51)</f>
        <v>0.06551996862166079</v>
      </c>
      <c r="C71" s="164">
        <f>C16+(11/0.017)*(C17*C50-C32*C51)</f>
        <v>0.005484296354461624</v>
      </c>
      <c r="D71" s="164">
        <f>D16+(11/0.017)*(D17*D50-D32*D51)</f>
        <v>0.03134911448129889</v>
      </c>
      <c r="E71" s="164">
        <f>E16+(11/0.017)*(E17*E50-E32*E51)</f>
        <v>0.0338730189478779</v>
      </c>
      <c r="F71" s="164">
        <f>F16+(11/0.017)*(F17*F50-F32*F51)</f>
        <v>0.023567838149734174</v>
      </c>
    </row>
    <row r="72" spans="1:6" ht="12.75">
      <c r="A72" s="164" t="s">
        <v>165</v>
      </c>
      <c r="B72" s="164">
        <f>B17+(12/0.017)*(B18*B50-B33*B51)</f>
        <v>-0.023301150042551295</v>
      </c>
      <c r="C72" s="164">
        <f>C17+(12/0.017)*(C18*C50-C33*C51)</f>
        <v>0.0006908409775707507</v>
      </c>
      <c r="D72" s="164">
        <f>D17+(12/0.017)*(D18*D50-D33*D51)</f>
        <v>-0.0043468472825426655</v>
      </c>
      <c r="E72" s="164">
        <f>E17+(12/0.017)*(E18*E50-E33*E51)</f>
        <v>0.0021761413123032804</v>
      </c>
      <c r="F72" s="164">
        <f>F17+(12/0.017)*(F18*F50-F33*F51)</f>
        <v>-0.020403383698219778</v>
      </c>
    </row>
    <row r="73" spans="1:6" ht="12.75">
      <c r="A73" s="164" t="s">
        <v>166</v>
      </c>
      <c r="B73" s="164">
        <f>B18+(13/0.017)*(B19*B50-B34*B51)</f>
        <v>0.011255441442448118</v>
      </c>
      <c r="C73" s="164">
        <f>C18+(13/0.017)*(C19*C50-C34*C51)</f>
        <v>0.018918080977794197</v>
      </c>
      <c r="D73" s="164">
        <f>D18+(13/0.017)*(D19*D50-D34*D51)</f>
        <v>0.01352149940955897</v>
      </c>
      <c r="E73" s="164">
        <f>E18+(13/0.017)*(E19*E50-E34*E51)</f>
        <v>0.017852680698641064</v>
      </c>
      <c r="F73" s="164">
        <f>F18+(13/0.017)*(F19*F50-F34*F51)</f>
        <v>-0.01603528085276951</v>
      </c>
    </row>
    <row r="74" spans="1:6" ht="12.75">
      <c r="A74" s="164" t="s">
        <v>167</v>
      </c>
      <c r="B74" s="164">
        <f>B19+(14/0.017)*(B20*B50-B35*B51)</f>
        <v>-0.1719070623554672</v>
      </c>
      <c r="C74" s="164">
        <f>C19+(14/0.017)*(C20*C50-C35*C51)</f>
        <v>-0.15691412882004102</v>
      </c>
      <c r="D74" s="164">
        <f>D19+(14/0.017)*(D20*D50-D35*D51)</f>
        <v>-0.15575610947215995</v>
      </c>
      <c r="E74" s="164">
        <f>E19+(14/0.017)*(E20*E50-E35*E51)</f>
        <v>-0.1566409172819607</v>
      </c>
      <c r="F74" s="164">
        <f>F19+(14/0.017)*(F20*F50-F35*F51)</f>
        <v>-0.12240987991334173</v>
      </c>
    </row>
    <row r="75" spans="1:6" ht="12.75">
      <c r="A75" s="164" t="s">
        <v>168</v>
      </c>
      <c r="B75" s="165">
        <f>B20</f>
        <v>0.000272129</v>
      </c>
      <c r="C75" s="165">
        <f>C20</f>
        <v>0.002029266</v>
      </c>
      <c r="D75" s="165">
        <f>D20</f>
        <v>-0.001276654</v>
      </c>
      <c r="E75" s="165">
        <f>E20</f>
        <v>0.001382399</v>
      </c>
      <c r="F75" s="165">
        <f>F20</f>
        <v>0.001562098</v>
      </c>
    </row>
    <row r="78" ht="12.75">
      <c r="A78" s="164" t="s">
        <v>150</v>
      </c>
    </row>
    <row r="80" spans="2:6" ht="12.75">
      <c r="B80" s="164" t="s">
        <v>83</v>
      </c>
      <c r="C80" s="164" t="s">
        <v>84</v>
      </c>
      <c r="D80" s="164" t="s">
        <v>85</v>
      </c>
      <c r="E80" s="164" t="s">
        <v>86</v>
      </c>
      <c r="F80" s="164" t="s">
        <v>87</v>
      </c>
    </row>
    <row r="81" spans="1:6" ht="12.75">
      <c r="A81" s="164" t="s">
        <v>169</v>
      </c>
      <c r="B81" s="164">
        <f>B21+(1/0.017)*(B7*B51+B22*B50)</f>
        <v>0</v>
      </c>
      <c r="C81" s="164">
        <f>C21+(1/0.017)*(C7*C51+C22*C50)</f>
        <v>0</v>
      </c>
      <c r="D81" s="164">
        <f>D21+(1/0.017)*(D7*D51+D22*D50)</f>
        <v>0</v>
      </c>
      <c r="E81" s="164">
        <f>E21+(1/0.017)*(E7*E51+E22*E50)</f>
        <v>0</v>
      </c>
      <c r="F81" s="164">
        <f>F21+(1/0.017)*(F7*F51+F22*F50)</f>
        <v>0</v>
      </c>
    </row>
    <row r="82" spans="1:6" ht="12.75">
      <c r="A82" s="164" t="s">
        <v>170</v>
      </c>
      <c r="B82" s="164">
        <f>B22+(2/0.017)*(B8*B51+B23*B50)</f>
        <v>127.35240105111114</v>
      </c>
      <c r="C82" s="164">
        <f>C22+(2/0.017)*(C8*C51+C23*C50)</f>
        <v>31.272105927646045</v>
      </c>
      <c r="D82" s="164">
        <f>D22+(2/0.017)*(D8*D51+D23*D50)</f>
        <v>-17.658641556607012</v>
      </c>
      <c r="E82" s="164">
        <f>E22+(2/0.017)*(E8*E51+E23*E50)</f>
        <v>-29.684821194653985</v>
      </c>
      <c r="F82" s="164">
        <f>F22+(2/0.017)*(F8*F51+F23*F50)</f>
        <v>-108.9315525929943</v>
      </c>
    </row>
    <row r="83" spans="1:6" ht="12.75">
      <c r="A83" s="164" t="s">
        <v>171</v>
      </c>
      <c r="B83" s="164">
        <f>B23+(3/0.017)*(B9*B51+B24*B50)</f>
        <v>-1.7390375812052228</v>
      </c>
      <c r="C83" s="164">
        <f>C23+(3/0.017)*(C9*C51+C24*C50)</f>
        <v>1.1782134187366133</v>
      </c>
      <c r="D83" s="164">
        <f>D23+(3/0.017)*(D9*D51+D24*D50)</f>
        <v>2.913914903540405</v>
      </c>
      <c r="E83" s="164">
        <f>E23+(3/0.017)*(E9*E51+E24*E50)</f>
        <v>0.36943617827361863</v>
      </c>
      <c r="F83" s="164">
        <f>F23+(3/0.017)*(F9*F51+F24*F50)</f>
        <v>3.7576794785768657</v>
      </c>
    </row>
    <row r="84" spans="1:6" ht="12.75">
      <c r="A84" s="164" t="s">
        <v>172</v>
      </c>
      <c r="B84" s="164">
        <f>B24+(4/0.017)*(B10*B51+B25*B50)</f>
        <v>-0.35078947305304004</v>
      </c>
      <c r="C84" s="164">
        <f>C24+(4/0.017)*(C10*C51+C25*C50)</f>
        <v>-0.6342489804181661</v>
      </c>
      <c r="D84" s="164">
        <f>D24+(4/0.017)*(D10*D51+D25*D50)</f>
        <v>-1.3036798787827146</v>
      </c>
      <c r="E84" s="164">
        <f>E24+(4/0.017)*(E10*E51+E25*E50)</f>
        <v>-1.7138470269455481</v>
      </c>
      <c r="F84" s="164">
        <f>F24+(4/0.017)*(F10*F51+F25*F50)</f>
        <v>-0.5679074500613103</v>
      </c>
    </row>
    <row r="85" spans="1:6" ht="12.75">
      <c r="A85" s="164" t="s">
        <v>173</v>
      </c>
      <c r="B85" s="164">
        <f>B25+(5/0.017)*(B11*B51+B26*B50)</f>
        <v>-0.48392706500134836</v>
      </c>
      <c r="C85" s="164">
        <f>C25+(5/0.017)*(C11*C51+C26*C50)</f>
        <v>0.2374475147227089</v>
      </c>
      <c r="D85" s="164">
        <f>D25+(5/0.017)*(D11*D51+D26*D50)</f>
        <v>0.8923416417504243</v>
      </c>
      <c r="E85" s="164">
        <f>E25+(5/0.017)*(E11*E51+E26*E50)</f>
        <v>0.15052760189091957</v>
      </c>
      <c r="F85" s="164">
        <f>F25+(5/0.017)*(F11*F51+F26*F50)</f>
        <v>-2.2207533700172797</v>
      </c>
    </row>
    <row r="86" spans="1:6" ht="12.75">
      <c r="A86" s="164" t="s">
        <v>174</v>
      </c>
      <c r="B86" s="164">
        <f>B26+(6/0.017)*(B12*B51+B27*B50)</f>
        <v>0.8081968936024555</v>
      </c>
      <c r="C86" s="164">
        <f>C26+(6/0.017)*(C12*C51+C27*C50)</f>
        <v>0.2185197704231749</v>
      </c>
      <c r="D86" s="164">
        <f>D26+(6/0.017)*(D12*D51+D27*D50)</f>
        <v>0.04177713431067638</v>
      </c>
      <c r="E86" s="164">
        <f>E26+(6/0.017)*(E12*E51+E27*E50)</f>
        <v>0.4460840466944598</v>
      </c>
      <c r="F86" s="164">
        <f>F26+(6/0.017)*(F12*F51+F27*F50)</f>
        <v>0.6015019029859761</v>
      </c>
    </row>
    <row r="87" spans="1:6" ht="12.75">
      <c r="A87" s="164" t="s">
        <v>175</v>
      </c>
      <c r="B87" s="164">
        <f>B27+(7/0.017)*(B13*B51+B28*B50)</f>
        <v>-0.07515568010290785</v>
      </c>
      <c r="C87" s="164">
        <f>C27+(7/0.017)*(C13*C51+C28*C50)</f>
        <v>-0.04586483032342852</v>
      </c>
      <c r="D87" s="164">
        <f>D27+(7/0.017)*(D13*D51+D28*D50)</f>
        <v>-0.15170616333620143</v>
      </c>
      <c r="E87" s="164">
        <f>E27+(7/0.017)*(E13*E51+E28*E50)</f>
        <v>-0.10575822145847977</v>
      </c>
      <c r="F87" s="164">
        <f>F27+(7/0.017)*(F13*F51+F28*F50)</f>
        <v>0.6777728415916886</v>
      </c>
    </row>
    <row r="88" spans="1:6" ht="12.75">
      <c r="A88" s="164" t="s">
        <v>176</v>
      </c>
      <c r="B88" s="164">
        <f>B28+(8/0.017)*(B14*B51+B29*B50)</f>
        <v>-0.23223666399984808</v>
      </c>
      <c r="C88" s="164">
        <f>C28+(8/0.017)*(C14*C51+C29*C50)</f>
        <v>-0.139234795644681</v>
      </c>
      <c r="D88" s="164">
        <f>D28+(8/0.017)*(D14*D51+D29*D50)</f>
        <v>-0.15589095224085728</v>
      </c>
      <c r="E88" s="164">
        <f>E28+(8/0.017)*(E14*E51+E29*E50)</f>
        <v>-0.256975704576474</v>
      </c>
      <c r="F88" s="164">
        <f>F28+(8/0.017)*(F14*F51+F29*F50)</f>
        <v>-0.2533043787982716</v>
      </c>
    </row>
    <row r="89" spans="1:6" ht="12.75">
      <c r="A89" s="164" t="s">
        <v>177</v>
      </c>
      <c r="B89" s="164">
        <f>B29+(9/0.017)*(B15*B51+B30*B50)</f>
        <v>0.06471827884096154</v>
      </c>
      <c r="C89" s="164">
        <f>C29+(9/0.017)*(C15*C51+C30*C50)</f>
        <v>0.057703934061493815</v>
      </c>
      <c r="D89" s="164">
        <f>D29+(9/0.017)*(D15*D51+D30*D50)</f>
        <v>0.04980699402329243</v>
      </c>
      <c r="E89" s="164">
        <f>E29+(9/0.017)*(E15*E51+E30*E50)</f>
        <v>0.06711896379986518</v>
      </c>
      <c r="F89" s="164">
        <f>F29+(9/0.017)*(F15*F51+F30*F50)</f>
        <v>-0.04736796904221749</v>
      </c>
    </row>
    <row r="90" spans="1:6" ht="12.75">
      <c r="A90" s="164" t="s">
        <v>178</v>
      </c>
      <c r="B90" s="164">
        <f>B30+(10/0.017)*(B16*B51+B31*B50)</f>
        <v>0.12831789658960285</v>
      </c>
      <c r="C90" s="164">
        <f>C30+(10/0.017)*(C16*C51+C31*C50)</f>
        <v>0.03745192528758461</v>
      </c>
      <c r="D90" s="164">
        <f>D30+(10/0.017)*(D16*D51+D31*D50)</f>
        <v>0.014017178811616078</v>
      </c>
      <c r="E90" s="164">
        <f>E30+(10/0.017)*(E16*E51+E31*E50)</f>
        <v>0.014391084073630918</v>
      </c>
      <c r="F90" s="164">
        <f>F30+(10/0.017)*(F16*F51+F31*F50)</f>
        <v>0.2754602759935825</v>
      </c>
    </row>
    <row r="91" spans="1:6" ht="12.75">
      <c r="A91" s="164" t="s">
        <v>179</v>
      </c>
      <c r="B91" s="164">
        <f>B31+(11/0.017)*(B17*B51+B32*B50)</f>
        <v>0.02726938726686579</v>
      </c>
      <c r="C91" s="164">
        <f>C31+(11/0.017)*(C17*C51+C32*C50)</f>
        <v>0.001679054275534915</v>
      </c>
      <c r="D91" s="164">
        <f>D31+(11/0.017)*(D17*D51+D32*D50)</f>
        <v>-0.034920517658050654</v>
      </c>
      <c r="E91" s="164">
        <f>E31+(11/0.017)*(E17*E51+E32*E50)</f>
        <v>0.001086697579437872</v>
      </c>
      <c r="F91" s="164">
        <f>F31+(11/0.017)*(F17*F51+F32*F50)</f>
        <v>0.06306411420158467</v>
      </c>
    </row>
    <row r="92" spans="1:6" ht="12.75">
      <c r="A92" s="164" t="s">
        <v>180</v>
      </c>
      <c r="B92" s="164">
        <f>B32+(12/0.017)*(B18*B51+B33*B50)</f>
        <v>-0.01568916925734258</v>
      </c>
      <c r="C92" s="164">
        <f>C32+(12/0.017)*(C18*C51+C33*C50)</f>
        <v>-0.015791140233149457</v>
      </c>
      <c r="D92" s="164">
        <f>D32+(12/0.017)*(D18*D51+D33*D50)</f>
        <v>-0.013382272988010403</v>
      </c>
      <c r="E92" s="164">
        <f>E32+(12/0.017)*(E18*E51+E33*E50)</f>
        <v>-0.02667798201954286</v>
      </c>
      <c r="F92" s="164">
        <f>F32+(12/0.017)*(F18*F51+F33*F50)</f>
        <v>-0.028065925016849305</v>
      </c>
    </row>
    <row r="93" spans="1:6" ht="12.75">
      <c r="A93" s="164" t="s">
        <v>181</v>
      </c>
      <c r="B93" s="164">
        <f>B33+(13/0.017)*(B19*B51+B34*B50)</f>
        <v>0.043424059183895525</v>
      </c>
      <c r="C93" s="164">
        <f>C33+(13/0.017)*(C19*C51+C34*C50)</f>
        <v>0.023051157428130423</v>
      </c>
      <c r="D93" s="164">
        <f>D33+(13/0.017)*(D19*D51+D34*D50)</f>
        <v>0.011978630209268561</v>
      </c>
      <c r="E93" s="164">
        <f>E33+(13/0.017)*(E19*E51+E34*E50)</f>
        <v>0.025238720879494303</v>
      </c>
      <c r="F93" s="164">
        <f>F33+(13/0.017)*(F19*F51+F34*F50)</f>
        <v>0.032266012278884995</v>
      </c>
    </row>
    <row r="94" spans="1:6" ht="12.75">
      <c r="A94" s="164" t="s">
        <v>182</v>
      </c>
      <c r="B94" s="164">
        <f>B34+(14/0.017)*(B20*B51+B35*B50)</f>
        <v>0.003871713754364274</v>
      </c>
      <c r="C94" s="164">
        <f>C34+(14/0.017)*(C20*C51+C35*C50)</f>
        <v>0.011708088644816204</v>
      </c>
      <c r="D94" s="164">
        <f>D34+(14/0.017)*(D20*D51+D35*D50)</f>
        <v>0.010433766291694423</v>
      </c>
      <c r="E94" s="164">
        <f>E34+(14/0.017)*(E20*E51+E35*E50)</f>
        <v>0.01495569124053103</v>
      </c>
      <c r="F94" s="164">
        <f>F34+(14/0.017)*(F20*F51+F35*F50)</f>
        <v>-0.0056418958580082565</v>
      </c>
    </row>
    <row r="95" spans="1:6" ht="12.75">
      <c r="A95" s="164" t="s">
        <v>183</v>
      </c>
      <c r="B95" s="165">
        <f>B35</f>
        <v>-0.0008125105</v>
      </c>
      <c r="C95" s="165">
        <f>C35</f>
        <v>0.0009063962</v>
      </c>
      <c r="D95" s="165">
        <f>D35</f>
        <v>0.004354952</v>
      </c>
      <c r="E95" s="165">
        <f>E35</f>
        <v>0.003567662</v>
      </c>
      <c r="F95" s="165">
        <f>F35</f>
        <v>-0.002433113</v>
      </c>
    </row>
    <row r="98" ht="12.75">
      <c r="A98" s="164" t="s">
        <v>151</v>
      </c>
    </row>
    <row r="100" spans="2:11" ht="12.75">
      <c r="B100" s="164" t="s">
        <v>83</v>
      </c>
      <c r="C100" s="164" t="s">
        <v>84</v>
      </c>
      <c r="D100" s="164" t="s">
        <v>85</v>
      </c>
      <c r="E100" s="164" t="s">
        <v>86</v>
      </c>
      <c r="F100" s="164" t="s">
        <v>87</v>
      </c>
      <c r="G100" s="164" t="s">
        <v>153</v>
      </c>
      <c r="H100" s="164" t="s">
        <v>154</v>
      </c>
      <c r="I100" s="164" t="s">
        <v>149</v>
      </c>
      <c r="K100" s="164" t="s">
        <v>184</v>
      </c>
    </row>
    <row r="101" spans="1:9" ht="12.75">
      <c r="A101" s="164" t="s">
        <v>152</v>
      </c>
      <c r="B101" s="164">
        <f>B61*10000/B62</f>
        <v>0</v>
      </c>
      <c r="C101" s="164">
        <f>C61*10000/C62</f>
        <v>0</v>
      </c>
      <c r="D101" s="164">
        <f>D61*10000/D62</f>
        <v>0</v>
      </c>
      <c r="E101" s="164">
        <f>E61*10000/E62</f>
        <v>0</v>
      </c>
      <c r="F101" s="164">
        <f>F61*10000/F62</f>
        <v>0</v>
      </c>
      <c r="G101" s="164">
        <f>AVERAGE(C101:E101)</f>
        <v>0</v>
      </c>
      <c r="H101" s="164">
        <f>STDEV(C101:E101)</f>
        <v>0</v>
      </c>
      <c r="I101" s="164">
        <f>(B101*B4+C101*C4+D101*D4+E101*E4+F101*F4)/SUM(B4:F4)</f>
        <v>0</v>
      </c>
    </row>
    <row r="102" spans="1:9" ht="12.75">
      <c r="A102" s="164" t="s">
        <v>155</v>
      </c>
      <c r="B102" s="164">
        <f>B62*10000/B62</f>
        <v>10000</v>
      </c>
      <c r="C102" s="164">
        <f>C62*10000/C62</f>
        <v>10000</v>
      </c>
      <c r="D102" s="164">
        <f>D62*10000/D62</f>
        <v>10000</v>
      </c>
      <c r="E102" s="164">
        <f>E62*10000/E62</f>
        <v>10000</v>
      </c>
      <c r="F102" s="164">
        <f>F62*10000/F62</f>
        <v>10000</v>
      </c>
      <c r="G102" s="164">
        <f>AVERAGE(C102:E102)</f>
        <v>10000</v>
      </c>
      <c r="H102" s="164">
        <f>STDEV(C102:E102)</f>
        <v>0</v>
      </c>
      <c r="I102" s="164">
        <f>(B102*B4+C102*C4+D102*D4+E102*E4+F102*F4)/SUM(B4:F4)</f>
        <v>10000.000000000002</v>
      </c>
    </row>
    <row r="103" spans="1:11" ht="12.75">
      <c r="A103" s="164" t="s">
        <v>156</v>
      </c>
      <c r="B103" s="164">
        <f>B63*10000/B62</f>
        <v>-1.6355257998453185</v>
      </c>
      <c r="C103" s="164">
        <f>C63*10000/C62</f>
        <v>-2.514341627837993</v>
      </c>
      <c r="D103" s="164">
        <f>D63*10000/D62</f>
        <v>-1.921214525830534</v>
      </c>
      <c r="E103" s="164">
        <f>E63*10000/E62</f>
        <v>-2.8312184923289907</v>
      </c>
      <c r="F103" s="164">
        <f>F63*10000/F62</f>
        <v>-1.778325978622974</v>
      </c>
      <c r="G103" s="164">
        <f>AVERAGE(C103:E103)</f>
        <v>-2.422258215332506</v>
      </c>
      <c r="H103" s="164">
        <f>STDEV(C103:E103)</f>
        <v>0.46193757251897477</v>
      </c>
      <c r="I103" s="164">
        <f>(B103*B4+C103*C4+D103*D4+E103*E4+F103*F4)/SUM(B4:F4)</f>
        <v>-2.2225496926167088</v>
      </c>
      <c r="K103" s="164">
        <f>(LN(H103)+LN(H123))/2-LN(K114*K115^3)</f>
        <v>-4.133507010852896</v>
      </c>
    </row>
    <row r="104" spans="1:11" ht="12.75">
      <c r="A104" s="164" t="s">
        <v>157</v>
      </c>
      <c r="B104" s="164">
        <f>B64*10000/B62</f>
        <v>-0.3517498120170443</v>
      </c>
      <c r="C104" s="164">
        <f>C64*10000/C62</f>
        <v>-0.20997104303376982</v>
      </c>
      <c r="D104" s="164">
        <f>D64*10000/D62</f>
        <v>0.10392207772712476</v>
      </c>
      <c r="E104" s="164">
        <f>E64*10000/E62</f>
        <v>-0.20616347523504283</v>
      </c>
      <c r="F104" s="164">
        <f>F64*10000/F62</f>
        <v>-0.9215107195557015</v>
      </c>
      <c r="G104" s="164">
        <f>AVERAGE(C104:E104)</f>
        <v>-0.10407081351389597</v>
      </c>
      <c r="H104" s="164">
        <f>STDEV(C104:E104)</f>
        <v>0.1801371879935811</v>
      </c>
      <c r="I104" s="164">
        <f>(B104*B4+C104*C4+D104*D4+E104*E4+F104*F4)/SUM(B4:F4)</f>
        <v>-0.24912890535710297</v>
      </c>
      <c r="K104" s="164">
        <f>(LN(H104)+LN(H124))/2-LN(K114*K115^4)</f>
        <v>-4.447776208588851</v>
      </c>
    </row>
    <row r="105" spans="1:11" ht="12.75">
      <c r="A105" s="164" t="s">
        <v>158</v>
      </c>
      <c r="B105" s="164">
        <f>B65*10000/B62</f>
        <v>1.115357081451087</v>
      </c>
      <c r="C105" s="164">
        <f>C65*10000/C62</f>
        <v>0.47248732407499</v>
      </c>
      <c r="D105" s="164">
        <f>D65*10000/D62</f>
        <v>0.47670659371540247</v>
      </c>
      <c r="E105" s="164">
        <f>E65*10000/E62</f>
        <v>0.5140326420901151</v>
      </c>
      <c r="F105" s="164">
        <f>F65*10000/F62</f>
        <v>-0.4492054623784337</v>
      </c>
      <c r="G105" s="164">
        <f>AVERAGE(C105:E105)</f>
        <v>0.4877421866268359</v>
      </c>
      <c r="H105" s="164">
        <f>STDEV(C105:E105)</f>
        <v>0.022865729715550183</v>
      </c>
      <c r="I105" s="164">
        <f>(B105*B4+C105*C4+D105*D4+E105*E4+F105*F4)/SUM(B4:F4)</f>
        <v>0.4531126333839982</v>
      </c>
      <c r="K105" s="164">
        <f>(LN(H105)+LN(H125))/2-LN(K114*K115^5)</f>
        <v>-5.036266876676764</v>
      </c>
    </row>
    <row r="106" spans="1:11" ht="12.75">
      <c r="A106" s="164" t="s">
        <v>159</v>
      </c>
      <c r="B106" s="164">
        <f>B66*10000/B62</f>
        <v>3.767734085097855</v>
      </c>
      <c r="C106" s="164">
        <f>C66*10000/C62</f>
        <v>3.973064026777675</v>
      </c>
      <c r="D106" s="164">
        <f>D66*10000/D62</f>
        <v>3.9488405637890565</v>
      </c>
      <c r="E106" s="164">
        <f>E66*10000/E62</f>
        <v>4.030273290099969</v>
      </c>
      <c r="F106" s="164">
        <f>F66*10000/F62</f>
        <v>14.294085727553576</v>
      </c>
      <c r="G106" s="164">
        <f>AVERAGE(C106:E106)</f>
        <v>3.9840592935555663</v>
      </c>
      <c r="H106" s="164">
        <f>STDEV(C106:E106)</f>
        <v>0.04181499907031342</v>
      </c>
      <c r="I106" s="164">
        <f>(B106*B4+C106*C4+D106*D4+E106*E4+F106*F4)/SUM(B4:F4)</f>
        <v>5.331238583862885</v>
      </c>
      <c r="K106" s="164">
        <f>(LN(H106)+LN(H126))/2-LN(K114*K115^6)</f>
        <v>-4.489912983308079</v>
      </c>
    </row>
    <row r="107" spans="1:11" ht="12.75">
      <c r="A107" s="164" t="s">
        <v>160</v>
      </c>
      <c r="B107" s="164">
        <f>B67*10000/B62</f>
        <v>0.1374456686872924</v>
      </c>
      <c r="C107" s="164">
        <f>C67*10000/C62</f>
        <v>-0.2860298051194225</v>
      </c>
      <c r="D107" s="164">
        <f>D67*10000/D62</f>
        <v>0.18753449491945706</v>
      </c>
      <c r="E107" s="164">
        <f>E67*10000/E62</f>
        <v>-0.13883212737318976</v>
      </c>
      <c r="F107" s="164">
        <f>F67*10000/F62</f>
        <v>-0.061655905380279256</v>
      </c>
      <c r="G107" s="164">
        <f>AVERAGE(C107:E107)</f>
        <v>-0.0791091458577184</v>
      </c>
      <c r="H107" s="164">
        <f>STDEV(C107:E107)</f>
        <v>0.2423652459793926</v>
      </c>
      <c r="I107" s="164">
        <f>(B107*B4+C107*C4+D107*D4+E107*E4+F107*F4)/SUM(B4:F4)</f>
        <v>-0.0455017368307107</v>
      </c>
      <c r="K107" s="164">
        <f>(LN(H107)+LN(H127))/2-LN(K114*K115^7)</f>
        <v>-3.6899967753866028</v>
      </c>
    </row>
    <row r="108" spans="1:9" ht="12.75">
      <c r="A108" s="164" t="s">
        <v>161</v>
      </c>
      <c r="B108" s="164">
        <f>B68*10000/B62</f>
        <v>0.10800541743479596</v>
      </c>
      <c r="C108" s="164">
        <f>C68*10000/C62</f>
        <v>0.002741618485716809</v>
      </c>
      <c r="D108" s="164">
        <f>D68*10000/D62</f>
        <v>-0.04157989935347685</v>
      </c>
      <c r="E108" s="164">
        <f>E68*10000/E62</f>
        <v>-0.05737714840670364</v>
      </c>
      <c r="F108" s="164">
        <f>F68*10000/F62</f>
        <v>-0.1533930071400014</v>
      </c>
      <c r="G108" s="164">
        <f>AVERAGE(C108:E108)</f>
        <v>-0.03207180975815456</v>
      </c>
      <c r="H108" s="164">
        <f>STDEV(C108:E108)</f>
        <v>0.031166798985150918</v>
      </c>
      <c r="I108" s="164">
        <f>(B108*B4+C108*C4+D108*D4+E108*E4+F108*F4)/SUM(B4:F4)</f>
        <v>-0.028062714312855997</v>
      </c>
    </row>
    <row r="109" spans="1:9" ht="12.75">
      <c r="A109" s="164" t="s">
        <v>162</v>
      </c>
      <c r="B109" s="164">
        <f>B69*10000/B62</f>
        <v>-0.0680322613653029</v>
      </c>
      <c r="C109" s="164">
        <f>C69*10000/C62</f>
        <v>-0.029670424342513282</v>
      </c>
      <c r="D109" s="164">
        <f>D69*10000/D62</f>
        <v>0.021403392727373925</v>
      </c>
      <c r="E109" s="164">
        <f>E69*10000/E62</f>
        <v>-0.04934846503956792</v>
      </c>
      <c r="F109" s="164">
        <f>F69*10000/F62</f>
        <v>-0.08447930914665362</v>
      </c>
      <c r="G109" s="164">
        <f>AVERAGE(C109:E109)</f>
        <v>-0.019205165551569092</v>
      </c>
      <c r="H109" s="164">
        <f>STDEV(C109:E109)</f>
        <v>0.036518455273183016</v>
      </c>
      <c r="I109" s="164">
        <f>(B109*B4+C109*C4+D109*D4+E109*E4+F109*F4)/SUM(B4:F4)</f>
        <v>-0.03498353568568091</v>
      </c>
    </row>
    <row r="110" spans="1:11" ht="12.75">
      <c r="A110" s="164" t="s">
        <v>163</v>
      </c>
      <c r="B110" s="164">
        <f>B70*10000/B62</f>
        <v>-0.39125886769176843</v>
      </c>
      <c r="C110" s="164">
        <f>C70*10000/C62</f>
        <v>-0.18220533788269555</v>
      </c>
      <c r="D110" s="164">
        <f>D70*10000/D62</f>
        <v>-0.16981328015025238</v>
      </c>
      <c r="E110" s="164">
        <f>E70*10000/E62</f>
        <v>-0.14775262196720376</v>
      </c>
      <c r="F110" s="164">
        <f>F70*10000/F62</f>
        <v>-0.3415530793781646</v>
      </c>
      <c r="G110" s="164">
        <f>AVERAGE(C110:E110)</f>
        <v>-0.1665904133333839</v>
      </c>
      <c r="H110" s="164">
        <f>STDEV(C110:E110)</f>
        <v>0.017451004595089865</v>
      </c>
      <c r="I110" s="164">
        <f>(B110*B4+C110*C4+D110*D4+E110*E4+F110*F4)/SUM(B4:F4)</f>
        <v>-0.22242810625235976</v>
      </c>
      <c r="K110" s="164">
        <f>EXP(AVERAGE(K103:K107))</f>
        <v>0.012784881090801089</v>
      </c>
    </row>
    <row r="111" spans="1:9" ht="12.75">
      <c r="A111" s="164" t="s">
        <v>164</v>
      </c>
      <c r="B111" s="164">
        <f>B71*10000/B62</f>
        <v>0.06551992075892608</v>
      </c>
      <c r="C111" s="164">
        <f>C71*10000/C62</f>
        <v>0.005484298752307106</v>
      </c>
      <c r="D111" s="164">
        <f>D71*10000/D62</f>
        <v>0.0313488973286627</v>
      </c>
      <c r="E111" s="164">
        <f>E71*10000/E62</f>
        <v>0.03387299122957317</v>
      </c>
      <c r="F111" s="164">
        <f>F71*10000/F62</f>
        <v>0.023568056616450703</v>
      </c>
      <c r="G111" s="164">
        <f>AVERAGE(C111:E111)</f>
        <v>0.02356872910351433</v>
      </c>
      <c r="H111" s="164">
        <f>STDEV(C111:E111)</f>
        <v>0.01571234318460814</v>
      </c>
      <c r="I111" s="164">
        <f>(B111*B4+C111*C4+D111*D4+E111*E4+F111*F4)/SUM(B4:F4)</f>
        <v>0.02962705904151965</v>
      </c>
    </row>
    <row r="112" spans="1:9" ht="12.75">
      <c r="A112" s="164" t="s">
        <v>165</v>
      </c>
      <c r="B112" s="164">
        <f>B72*10000/B62</f>
        <v>-0.023301133020919778</v>
      </c>
      <c r="C112" s="164">
        <f>C72*10000/C62</f>
        <v>0.000690841279620423</v>
      </c>
      <c r="D112" s="164">
        <f>D72*10000/D62</f>
        <v>-0.004346817172303122</v>
      </c>
      <c r="E112" s="164">
        <f>E72*10000/E62</f>
        <v>0.002176139531565989</v>
      </c>
      <c r="F112" s="164">
        <f>F72*10000/F62</f>
        <v>-0.02040357283140265</v>
      </c>
      <c r="G112" s="164">
        <f>AVERAGE(C112:E112)</f>
        <v>-0.0004932787870389033</v>
      </c>
      <c r="H112" s="164">
        <f>STDEV(C112:E112)</f>
        <v>0.0034188954779777497</v>
      </c>
      <c r="I112" s="164">
        <f>(B112*B4+C112*C4+D112*D4+E112*E4+F112*F4)/SUM(B4:F4)</f>
        <v>-0.006449043518787405</v>
      </c>
    </row>
    <row r="113" spans="1:9" ht="12.75">
      <c r="A113" s="164" t="s">
        <v>166</v>
      </c>
      <c r="B113" s="164">
        <f>B73*10000/B62</f>
        <v>0.011255433220279836</v>
      </c>
      <c r="C113" s="164">
        <f>C73*10000/C62</f>
        <v>0.018918089249162495</v>
      </c>
      <c r="D113" s="164">
        <f>D73*10000/D62</f>
        <v>0.013521405747288422</v>
      </c>
      <c r="E113" s="164">
        <f>E73*10000/E62</f>
        <v>0.01785266608978543</v>
      </c>
      <c r="F113" s="164">
        <f>F73*10000/F62</f>
        <v>-0.016035429494962918</v>
      </c>
      <c r="G113" s="164">
        <f>AVERAGE(C113:E113)</f>
        <v>0.016764053695412118</v>
      </c>
      <c r="H113" s="164">
        <f>STDEV(C113:E113)</f>
        <v>0.0028582959807789804</v>
      </c>
      <c r="I113" s="164">
        <f>(B113*B4+C113*C4+D113*D4+E113*E4+F113*F4)/SUM(B4:F4)</f>
        <v>0.011583327151471241</v>
      </c>
    </row>
    <row r="114" spans="1:11" ht="12.75">
      <c r="A114" s="164" t="s">
        <v>167</v>
      </c>
      <c r="B114" s="164">
        <f>B74*10000/B62</f>
        <v>-0.17190693677631488</v>
      </c>
      <c r="C114" s="164">
        <f>C74*10000/C62</f>
        <v>-0.15691419742607732</v>
      </c>
      <c r="D114" s="164">
        <f>D74*10000/D62</f>
        <v>-0.15575503056290418</v>
      </c>
      <c r="E114" s="164">
        <f>E74*10000/E62</f>
        <v>-0.15664078910263649</v>
      </c>
      <c r="F114" s="164">
        <f>F74*10000/F62</f>
        <v>-0.12241101461582761</v>
      </c>
      <c r="G114" s="164">
        <f>AVERAGE(C114:E114)</f>
        <v>-0.15643667236387268</v>
      </c>
      <c r="H114" s="164">
        <f>STDEV(C114:E114)</f>
        <v>0.0006059411575773287</v>
      </c>
      <c r="I114" s="164">
        <f>(B114*B4+C114*C4+D114*D4+E114*E4+F114*F4)/SUM(B4:F4)</f>
        <v>-0.15412169481822552</v>
      </c>
      <c r="J114" s="164" t="s">
        <v>185</v>
      </c>
      <c r="K114" s="164">
        <v>285</v>
      </c>
    </row>
    <row r="115" spans="1:11" ht="12.75">
      <c r="A115" s="164" t="s">
        <v>168</v>
      </c>
      <c r="B115" s="164">
        <f>B75*10000/B62</f>
        <v>0.000272128801208114</v>
      </c>
      <c r="C115" s="164">
        <f>C75*10000/C62</f>
        <v>0.00202926688723621</v>
      </c>
      <c r="D115" s="164">
        <f>D75*10000/D62</f>
        <v>-0.0012766451567268746</v>
      </c>
      <c r="E115" s="164">
        <f>E75*10000/E62</f>
        <v>0.0013823978687823547</v>
      </c>
      <c r="F115" s="164">
        <f>F75*10000/F62</f>
        <v>0.0015621124801750077</v>
      </c>
      <c r="G115" s="164">
        <f>AVERAGE(C115:E115)</f>
        <v>0.0007116731997638967</v>
      </c>
      <c r="H115" s="164">
        <f>STDEV(C115:E115)</f>
        <v>0.0017520466023560803</v>
      </c>
      <c r="I115" s="164">
        <f>(B115*B4+C115*C4+D115*D4+E115*E4+F115*F4)/SUM(B4:F4)</f>
        <v>0.0007618972128798038</v>
      </c>
      <c r="J115" s="164" t="s">
        <v>186</v>
      </c>
      <c r="K115" s="164">
        <v>0.5536</v>
      </c>
    </row>
    <row r="118" ht="12.75">
      <c r="A118" s="164" t="s">
        <v>151</v>
      </c>
    </row>
    <row r="120" spans="2:9" ht="12.75">
      <c r="B120" s="164" t="s">
        <v>83</v>
      </c>
      <c r="C120" s="164" t="s">
        <v>84</v>
      </c>
      <c r="D120" s="164" t="s">
        <v>85</v>
      </c>
      <c r="E120" s="164" t="s">
        <v>86</v>
      </c>
      <c r="F120" s="164" t="s">
        <v>87</v>
      </c>
      <c r="G120" s="164" t="s">
        <v>153</v>
      </c>
      <c r="H120" s="164" t="s">
        <v>154</v>
      </c>
      <c r="I120" s="164" t="s">
        <v>149</v>
      </c>
    </row>
    <row r="121" spans="1:9" ht="12.75">
      <c r="A121" s="164" t="s">
        <v>169</v>
      </c>
      <c r="B121" s="164">
        <f>B81*10000/B62</f>
        <v>0</v>
      </c>
      <c r="C121" s="164">
        <f>C81*10000/C62</f>
        <v>0</v>
      </c>
      <c r="D121" s="164">
        <f>D81*10000/D62</f>
        <v>0</v>
      </c>
      <c r="E121" s="164">
        <f>E81*10000/E62</f>
        <v>0</v>
      </c>
      <c r="F121" s="164">
        <f>F81*10000/F62</f>
        <v>0</v>
      </c>
      <c r="G121" s="164">
        <f>AVERAGE(C121:E121)</f>
        <v>0</v>
      </c>
      <c r="H121" s="164">
        <f>STDEV(C121:E121)</f>
        <v>0</v>
      </c>
      <c r="I121" s="164">
        <f>(B121*B4+C121*C4+D121*D4+E121*E4+F121*F4)/SUM(B4:F4)</f>
        <v>0</v>
      </c>
    </row>
    <row r="122" spans="1:9" ht="12.75">
      <c r="A122" s="164" t="s">
        <v>170</v>
      </c>
      <c r="B122" s="164">
        <f>B82*10000/B62</f>
        <v>127.35230801940929</v>
      </c>
      <c r="C122" s="164">
        <f>C82*10000/C62</f>
        <v>31.272119600444352</v>
      </c>
      <c r="D122" s="164">
        <f>D82*10000/D62</f>
        <v>-17.658519236706468</v>
      </c>
      <c r="E122" s="164">
        <f>E82*10000/E62</f>
        <v>-29.68479690355313</v>
      </c>
      <c r="F122" s="164">
        <f>F82*10000/F62</f>
        <v>-108.93256235547103</v>
      </c>
      <c r="G122" s="164">
        <f>AVERAGE(C122:E122)</f>
        <v>-5.357065513271749</v>
      </c>
      <c r="H122" s="164">
        <f>STDEV(C122:E122)</f>
        <v>32.28669602485186</v>
      </c>
      <c r="I122" s="164">
        <f>(B122*B4+C122*C4+D122*D4+E122*E4+F122*F4)/SUM(B4:F4)</f>
        <v>-0.03945764894368788</v>
      </c>
    </row>
    <row r="123" spans="1:9" ht="12.75">
      <c r="A123" s="164" t="s">
        <v>171</v>
      </c>
      <c r="B123" s="164">
        <f>B83*10000/B62</f>
        <v>-1.7390363108277158</v>
      </c>
      <c r="C123" s="164">
        <f>C83*10000/C62</f>
        <v>1.1782139338753914</v>
      </c>
      <c r="D123" s="164">
        <f>D83*10000/D62</f>
        <v>2.9138947191009588</v>
      </c>
      <c r="E123" s="164">
        <f>E83*10000/E62</f>
        <v>0.3694358759638487</v>
      </c>
      <c r="F123" s="164">
        <f>F83*10000/F62</f>
        <v>3.7577143111267266</v>
      </c>
      <c r="G123" s="164">
        <f>AVERAGE(C123:E123)</f>
        <v>1.4871815096467327</v>
      </c>
      <c r="H123" s="164">
        <f>STDEV(C123:E123)</f>
        <v>1.3000628535817702</v>
      </c>
      <c r="I123" s="164">
        <f>(B123*B4+C123*C4+D123*D4+E123*E4+F123*F4)/SUM(B4:F4)</f>
        <v>1.32482783374271</v>
      </c>
    </row>
    <row r="124" spans="1:9" ht="12.75">
      <c r="A124" s="164" t="s">
        <v>172</v>
      </c>
      <c r="B124" s="164">
        <f>B84*10000/B62</f>
        <v>-0.3507892167992011</v>
      </c>
      <c r="C124" s="164">
        <f>C84*10000/C62</f>
        <v>-0.6342492577246708</v>
      </c>
      <c r="D124" s="164">
        <f>D84*10000/D62</f>
        <v>-1.3036708483036372</v>
      </c>
      <c r="E124" s="164">
        <f>E84*10000/E62</f>
        <v>-1.713845624503852</v>
      </c>
      <c r="F124" s="164">
        <f>F84*10000/F62</f>
        <v>-0.5679127143912467</v>
      </c>
      <c r="G124" s="164">
        <f>AVERAGE(C124:E124)</f>
        <v>-1.21725524351072</v>
      </c>
      <c r="H124" s="164">
        <f>STDEV(C124:E124)</f>
        <v>0.5449613026211093</v>
      </c>
      <c r="I124" s="164">
        <f>(B124*B4+C124*C4+D124*D4+E124*E4+F124*F4)/SUM(B4:F4)</f>
        <v>-1.0053085780256892</v>
      </c>
    </row>
    <row r="125" spans="1:9" ht="12.75">
      <c r="A125" s="164" t="s">
        <v>173</v>
      </c>
      <c r="B125" s="164">
        <f>B85*10000/B62</f>
        <v>-0.4839267114896905</v>
      </c>
      <c r="C125" s="164">
        <f>C85*10000/C62</f>
        <v>0.23744761853957322</v>
      </c>
      <c r="D125" s="164">
        <f>D85*10000/D62</f>
        <v>0.8923354605761522</v>
      </c>
      <c r="E125" s="164">
        <f>E85*10000/E62</f>
        <v>0.15052747871412375</v>
      </c>
      <c r="F125" s="164">
        <f>F85*10000/F62</f>
        <v>-2.220773955727937</v>
      </c>
      <c r="G125" s="164">
        <f>AVERAGE(C125:E125)</f>
        <v>0.4267701859432831</v>
      </c>
      <c r="H125" s="164">
        <f>STDEV(C125:E125)</f>
        <v>0.40552687504628226</v>
      </c>
      <c r="I125" s="164">
        <f>(B125*B4+C125*C4+D125*D4+E125*E4+F125*F4)/SUM(B4:F4)</f>
        <v>-0.0587177772354937</v>
      </c>
    </row>
    <row r="126" spans="1:9" ht="12.75">
      <c r="A126" s="164" t="s">
        <v>174</v>
      </c>
      <c r="B126" s="164">
        <f>B86*10000/B62</f>
        <v>0.8081963032097199</v>
      </c>
      <c r="C126" s="164">
        <f>C86*10000/C62</f>
        <v>0.2185198659644459</v>
      </c>
      <c r="D126" s="164">
        <f>D86*10000/D62</f>
        <v>0.04177684492403826</v>
      </c>
      <c r="E126" s="164">
        <f>E86*10000/E62</f>
        <v>0.446083681663709</v>
      </c>
      <c r="F126" s="164">
        <f>F86*10000/F62</f>
        <v>0.601507478726309</v>
      </c>
      <c r="G126" s="164">
        <f>AVERAGE(C126:E126)</f>
        <v>0.23546013085073106</v>
      </c>
      <c r="H126" s="164">
        <f>STDEV(C126:E126)</f>
        <v>0.2026850610909023</v>
      </c>
      <c r="I126" s="164">
        <f>(B126*B4+C126*C4+D126*D4+E126*E4+F126*F4)/SUM(B4:F4)</f>
        <v>0.3671118005190594</v>
      </c>
    </row>
    <row r="127" spans="1:9" ht="12.75">
      <c r="A127" s="164" t="s">
        <v>175</v>
      </c>
      <c r="B127" s="164">
        <f>B87*10000/B62</f>
        <v>-0.07515562520122743</v>
      </c>
      <c r="C127" s="164">
        <f>C87*10000/C62</f>
        <v>-0.0458648503764616</v>
      </c>
      <c r="D127" s="164">
        <f>D87*10000/D62</f>
        <v>-0.15170511248057636</v>
      </c>
      <c r="E127" s="164">
        <f>E87*10000/E62</f>
        <v>-0.10575813491648556</v>
      </c>
      <c r="F127" s="164">
        <f>F87*10000/F62</f>
        <v>0.6777791243405056</v>
      </c>
      <c r="G127" s="164">
        <f>AVERAGE(C127:E127)</f>
        <v>-0.10110936592450785</v>
      </c>
      <c r="H127" s="164">
        <f>STDEV(C127:E127)</f>
        <v>0.05307304928513628</v>
      </c>
      <c r="I127" s="164">
        <f>(B127*B4+C127*C4+D127*D4+E127*E4+F127*F4)/SUM(B4:F4)</f>
        <v>0.0067738588411791895</v>
      </c>
    </row>
    <row r="128" spans="1:9" ht="12.75">
      <c r="A128" s="164" t="s">
        <v>176</v>
      </c>
      <c r="B128" s="164">
        <f>B88*10000/B62</f>
        <v>-0.23223649434955562</v>
      </c>
      <c r="C128" s="164">
        <f>C88*10000/C62</f>
        <v>-0.13923485652095466</v>
      </c>
      <c r="D128" s="164">
        <f>D88*10000/D62</f>
        <v>-0.15588987239755717</v>
      </c>
      <c r="E128" s="164">
        <f>E88*10000/E62</f>
        <v>-0.2569754942931539</v>
      </c>
      <c r="F128" s="164">
        <f>F88*10000/F62</f>
        <v>-0.25330672685308964</v>
      </c>
      <c r="G128" s="164">
        <f>AVERAGE(C128:E128)</f>
        <v>-0.1840334077372219</v>
      </c>
      <c r="H128" s="164">
        <f>STDEV(C128:E128)</f>
        <v>0.06371623326760834</v>
      </c>
      <c r="I128" s="164">
        <f>(B128*B4+C128*C4+D128*D4+E128*E4+F128*F4)/SUM(B4:F4)</f>
        <v>-0.200256338969321</v>
      </c>
    </row>
    <row r="129" spans="1:9" ht="12.75">
      <c r="A129" s="164" t="s">
        <v>177</v>
      </c>
      <c r="B129" s="164">
        <f>B89*10000/B62</f>
        <v>0.0647182315638661</v>
      </c>
      <c r="C129" s="164">
        <f>C89*10000/C62</f>
        <v>0.057703959290822913</v>
      </c>
      <c r="D129" s="164">
        <f>D89*10000/D62</f>
        <v>0.0498066490145025</v>
      </c>
      <c r="E129" s="164">
        <f>E89*10000/E62</f>
        <v>0.0671189088763907</v>
      </c>
      <c r="F129" s="164">
        <f>F89*10000/F62</f>
        <v>-0.047368408128933864</v>
      </c>
      <c r="G129" s="164">
        <f>AVERAGE(C129:E129)</f>
        <v>0.05820983906057203</v>
      </c>
      <c r="H129" s="164">
        <f>STDEV(C129:E129)</f>
        <v>0.008667209535800318</v>
      </c>
      <c r="I129" s="164">
        <f>(B129*B4+C129*C4+D129*D4+E129*E4+F129*F4)/SUM(B4:F4)</f>
        <v>0.045034254608497006</v>
      </c>
    </row>
    <row r="130" spans="1:9" ht="12.75">
      <c r="A130" s="164" t="s">
        <v>178</v>
      </c>
      <c r="B130" s="164">
        <f>B90*10000/B62</f>
        <v>0.12831780285260067</v>
      </c>
      <c r="C130" s="164">
        <f>C90*10000/C62</f>
        <v>0.03745194166232515</v>
      </c>
      <c r="D130" s="164">
        <f>D90*10000/D62</f>
        <v>0.014017081715816684</v>
      </c>
      <c r="E130" s="164">
        <f>E90*10000/E62</f>
        <v>0.014391072297401162</v>
      </c>
      <c r="F130" s="164">
        <f>F90*10000/F62</f>
        <v>0.2754628294268524</v>
      </c>
      <c r="G130" s="164">
        <f>AVERAGE(C130:E130)</f>
        <v>0.021953365225180998</v>
      </c>
      <c r="H130" s="164">
        <f>STDEV(C130:E130)</f>
        <v>0.013423463447347654</v>
      </c>
      <c r="I130" s="164">
        <f>(B130*B4+C130*C4+D130*D4+E130*E4+F130*F4)/SUM(B4:F4)</f>
        <v>0.07120754998729756</v>
      </c>
    </row>
    <row r="131" spans="1:9" ht="12.75">
      <c r="A131" s="164" t="s">
        <v>179</v>
      </c>
      <c r="B131" s="164">
        <f>B91*10000/B62</f>
        <v>0.027269367346412898</v>
      </c>
      <c r="C131" s="164">
        <f>C91*10000/C62</f>
        <v>0.0016790550096514633</v>
      </c>
      <c r="D131" s="164">
        <f>D91*10000/D62</f>
        <v>-0.03492027576660996</v>
      </c>
      <c r="E131" s="164">
        <f>E91*10000/E62</f>
        <v>0.0010866966901928153</v>
      </c>
      <c r="F131" s="164">
        <f>F91*10000/F62</f>
        <v>0.06306469878680937</v>
      </c>
      <c r="G131" s="164">
        <f>AVERAGE(C131:E131)</f>
        <v>-0.01071817468892189</v>
      </c>
      <c r="H131" s="164">
        <f>STDEV(C131:E131)</f>
        <v>0.020961726897506094</v>
      </c>
      <c r="I131" s="164">
        <f>(B131*B4+C131*C4+D131*D4+E131*E4+F131*F4)/SUM(B4:F4)</f>
        <v>0.004632383400259848</v>
      </c>
    </row>
    <row r="132" spans="1:9" ht="12.75">
      <c r="A132" s="164" t="s">
        <v>180</v>
      </c>
      <c r="B132" s="164">
        <f>B92*10000/B62</f>
        <v>-0.015689157796309222</v>
      </c>
      <c r="C132" s="164">
        <f>C92*10000/C62</f>
        <v>-0.015791147137355906</v>
      </c>
      <c r="D132" s="164">
        <f>D92*10000/D62</f>
        <v>-0.013382180290149375</v>
      </c>
      <c r="E132" s="164">
        <f>E92*10000/E62</f>
        <v>-0.026677960188939684</v>
      </c>
      <c r="F132" s="164">
        <f>F92*10000/F62</f>
        <v>-0.028066185179467774</v>
      </c>
      <c r="G132" s="164">
        <f>AVERAGE(C132:E132)</f>
        <v>-0.018617095872148322</v>
      </c>
      <c r="H132" s="164">
        <f>STDEV(C132:E132)</f>
        <v>0.00708406172107678</v>
      </c>
      <c r="I132" s="164">
        <f>(B132*B4+C132*C4+D132*D4+E132*E4+F132*F4)/SUM(B4:F4)</f>
        <v>-0.01945757034945952</v>
      </c>
    </row>
    <row r="133" spans="1:9" ht="12.75">
      <c r="A133" s="164" t="s">
        <v>181</v>
      </c>
      <c r="B133" s="164">
        <f>B93*10000/B62</f>
        <v>0.04342402746235676</v>
      </c>
      <c r="C133" s="164">
        <f>C93*10000/C62</f>
        <v>0.023051167506563483</v>
      </c>
      <c r="D133" s="164">
        <f>D93*10000/D62</f>
        <v>0.011978547234321076</v>
      </c>
      <c r="E133" s="164">
        <f>E93*10000/E62</f>
        <v>0.025238700226639085</v>
      </c>
      <c r="F133" s="164">
        <f>F93*10000/F62</f>
        <v>0.032266311375039394</v>
      </c>
      <c r="G133" s="164">
        <f>AVERAGE(C133:E133)</f>
        <v>0.020089471655841216</v>
      </c>
      <c r="H133" s="164">
        <f>STDEV(C133:E133)</f>
        <v>0.007108913143305332</v>
      </c>
      <c r="I133" s="164">
        <f>(B133*B4+C133*C4+D133*D4+E133*E4+F133*F4)/SUM(B4:F4)</f>
        <v>0.02508736046840539</v>
      </c>
    </row>
    <row r="134" spans="1:9" ht="12.75">
      <c r="A134" s="164" t="s">
        <v>182</v>
      </c>
      <c r="B134" s="164">
        <f>B94*10000/B62</f>
        <v>0.003871710926053879</v>
      </c>
      <c r="C134" s="164">
        <f>C94*10000/C62</f>
        <v>0.011708093763829775</v>
      </c>
      <c r="D134" s="164">
        <f>D94*10000/D62</f>
        <v>0.010433694017887234</v>
      </c>
      <c r="E134" s="164">
        <f>E94*10000/E62</f>
        <v>0.014955679002283007</v>
      </c>
      <c r="F134" s="164">
        <f>F94*10000/F62</f>
        <v>-0.005641948156672872</v>
      </c>
      <c r="G134" s="164">
        <f>AVERAGE(C134:E134)</f>
        <v>0.012365822261333337</v>
      </c>
      <c r="H134" s="164">
        <f>STDEV(C134:E134)</f>
        <v>0.0023316393657888913</v>
      </c>
      <c r="I134" s="164">
        <f>(B134*B4+C134*C4+D134*D4+E134*E4+F134*F4)/SUM(B4:F4)</f>
        <v>0.008731551639697542</v>
      </c>
    </row>
    <row r="135" spans="1:9" ht="12.75">
      <c r="A135" s="164" t="s">
        <v>183</v>
      </c>
      <c r="B135" s="164">
        <f>B95*10000/B62</f>
        <v>-0.0008125099064561487</v>
      </c>
      <c r="C135" s="164">
        <f>C95*10000/C62</f>
        <v>0.0009063965962947829</v>
      </c>
      <c r="D135" s="164">
        <f>D95*10000/D62</f>
        <v>0.004354921833619771</v>
      </c>
      <c r="E135" s="164">
        <f>E95*10000/E62</f>
        <v>0.0035676590805807824</v>
      </c>
      <c r="F135" s="164">
        <f>F95*10000/F62</f>
        <v>-0.002433135554220064</v>
      </c>
      <c r="G135" s="164">
        <f>AVERAGE(C135:E135)</f>
        <v>0.002942992503498445</v>
      </c>
      <c r="H135" s="164">
        <f>STDEV(C135:E135)</f>
        <v>0.0018071352543486238</v>
      </c>
      <c r="I135" s="164">
        <f>(B135*B4+C135*C4+D135*D4+E135*E4+F135*F4)/SUM(B4:F4)</f>
        <v>0.0016818657277201722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2003-10-31T07:59:42Z</cp:lastPrinted>
  <dcterms:created xsi:type="dcterms:W3CDTF">1999-06-17T15:15:05Z</dcterms:created>
  <dcterms:modified xsi:type="dcterms:W3CDTF">2005-10-04T11:52:14Z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-734309061</vt:i4>
  </property>
  <property fmtid="{D5CDD505-2E9C-101B-9397-08002B2CF9AE}" pid="3" name="_EmailSubject">
    <vt:lpwstr>WFM result of aperture 103 and 107 : agreement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