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19_pos1ap2" sheetId="2" r:id="rId2"/>
    <sheet name="HCMQAP119_pos2ap2" sheetId="3" r:id="rId3"/>
    <sheet name="HCMQAP119_pos3ap2" sheetId="4" r:id="rId4"/>
    <sheet name="HCMQAP119_pos4ap2" sheetId="5" r:id="rId5"/>
    <sheet name="HCMQAP119_pos5ap2" sheetId="6" r:id="rId6"/>
    <sheet name="Lmag_hcmqap" sheetId="7" r:id="rId7"/>
    <sheet name="Result_HCMQAP" sheetId="8" r:id="rId8"/>
  </sheets>
  <definedNames>
    <definedName name="_xlnm.Print_Area" localSheetId="1">'HCMQAP119_pos1ap2'!$A$1:$N$28</definedName>
    <definedName name="_xlnm.Print_Area" localSheetId="2">'HCMQAP119_pos2ap2'!$A$1:$N$28</definedName>
    <definedName name="_xlnm.Print_Area" localSheetId="3">'HCMQAP119_pos3ap2'!$A$1:$N$28</definedName>
    <definedName name="_xlnm.Print_Area" localSheetId="4">'HCMQAP119_pos4ap2'!$A$1:$N$28</definedName>
    <definedName name="_xlnm.Print_Area" localSheetId="5">'HCMQAP119_pos5ap2'!$A$1:$N$28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<sst xmlns="http://schemas.openxmlformats.org/spreadsheetml/2006/main" count="505" uniqueCount="189">
  <si>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</si>
  <si>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</si>
  <si>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</si>
  <si>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</si>
  <si>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</si>
  <si>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</si>
  <si>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</si>
  <si>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</si>
  <si>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</si>
  <si>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</si>
  <si>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</si>
  <si>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</si>
  <si>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</si>
  <si>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</si>
  <si>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</si>
  <si>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hcmqap119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</si>
  <si>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</si>
  <si>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</si>
  <si>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</si>
  <si>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</si>
  <si>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</si>
  <si>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</si>
  <si>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</si>
  <si>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</si>
  <si>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</si>
  <si>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</si>
  <si>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</si>
  <si>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</si>
  <si>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</si>
  <si>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</si>
  <si>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</si>
  <si>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</si>
  <si>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</si>
  <si>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</si>
  <si>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</si>
  <si>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</si>
  <si>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</si>
  <si>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</si>
  <si>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</si>
  <si>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</si>
  <si>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</si>
  <si>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</si>
  <si>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</si>
  <si>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</si>
  <si>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</si>
  <si>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</si>
  <si>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</si>
  <si>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</si>
  <si>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</si>
  <si>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</si>
  <si>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</si>
  <si>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</si>
  <si>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</si>
  <si>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</si>
  <si>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</si>
  <si>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</si>
  <si>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</si>
  <si>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</si>
  <si>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</si>
  <si>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-2.261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</si>
  <si>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</si>
  <si>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</si>
  <si>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</si>
  <si>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</si>
  <si>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</si>
  <si>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</si>
  <si>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</si>
  <si>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</si>
  <si>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HCMQAP119_pos1ap2</t>
  </si>
  <si>
    <t>±12.5</t>
  </si>
  <si>
    <t>THCMQAP119_pos1ap2.xls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</si>
  <si>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</si>
  <si>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HCMQAP119_pos2ap2</t>
  </si>
  <si>
    <t>THCMQAP119_pos2ap2.xls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</si>
  <si>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</si>
  <si>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HCMQAP119_pos3ap2</t>
  </si>
  <si>
    <t>THCMQAP119_pos3ap2.xls</t>
  </si>
  <si>
    <t>HCMQAP119_pos4ap2</t>
  </si>
  <si>
    <t>THCMQAP119_pos4ap2.xls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</si>
  <si>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-2.082 mT)</t>
    </r>
  </si>
  <si>
    <t>HCMQAP119_pos5ap2</t>
  </si>
  <si>
    <t>THCMQAP119_pos5ap2.xls</t>
  </si>
  <si>
    <t>Sommaire : Valeurs intégrales calculées avec les fichiers: HCMQAP119_pos1ap2+HCMQAP119_pos2ap2+HCMQAP119_pos3ap2+HCMQAP119_pos4ap2+HCMQAP119_pos5ap2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</si>
  <si>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</si>
  <si>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</si>
  <si>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</si>
  <si>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</si>
  <si>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</si>
  <si>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</si>
  <si>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</si>
  <si>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</si>
  <si>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</si>
  <si>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</si>
  <si>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</si>
  <si>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</si>
  <si>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</si>
  <si>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</si>
  <si>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</si>
  <si>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</si>
  <si>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</si>
  <si>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</si>
  <si>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</si>
  <si>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</si>
  <si>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</si>
  <si>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</si>
  <si>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</si>
  <si>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</si>
  <si>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</si>
  <si>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</si>
  <si>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</si>
  <si>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</si>
  <si>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</si>
  <si>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</si>
  <si>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</si>
  <si>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</si>
  <si>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</si>
  <si>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</si>
  <si>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</si>
  <si>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</si>
  <si>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</si>
  <si>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</si>
  <si>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</si>
  <si>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</si>
  <si>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</si>
  <si>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</si>
  <si>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</si>
  <si>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=-3.754</t>
    </r>
  </si>
  <si>
    <t>Gradient (T/m)</t>
  </si>
  <si>
    <t xml:space="preserve"> Thu 06/11/2003       15:15:42</t>
  </si>
  <si>
    <t>SIEGMUND</t>
  </si>
  <si>
    <t>HCMQAP119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</si>
  <si>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</si>
  <si>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</si>
  <si>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</si>
  <si>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</si>
  <si>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</si>
  <si>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</si>
  <si>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</si>
  <si>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</si>
  <si>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</si>
  <si>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a4*</t>
  </si>
  <si>
    <t>a13*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</si>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</sst>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19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44529"/>
        <c:axId val="4000762"/>
      </c:lineChart>
      <c:catAx>
        <c:axId val="4445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000762"/>
        <c:crosses val="autoZero"/>
        <c:auto val="1"/>
        <c:lblOffset val="100"/>
        <c:noMultiLvlLbl val="0"/>
      </c:catAx>
      <c:valAx>
        <c:axId val="400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445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37783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2563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37783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2563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37783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2563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37783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2563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37783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2563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4.0377769199999997E-05</v>
      </c>
      <c r="L2" s="55">
        <v>8.490305209194547E-08</v>
      </c>
      <c r="M2" s="55">
        <v>7.6419234E-05</v>
      </c>
      <c r="N2" s="56">
        <v>3.166896694111904E-07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-3.13203248E-05</v>
      </c>
      <c r="L3" s="55">
        <v>1.1497073376175286E-07</v>
      </c>
      <c r="M3" s="55">
        <v>1.2308202000000002E-05</v>
      </c>
      <c r="N3" s="56">
        <v>1.6211654112399186E-07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-0.00226095733780426</v>
      </c>
      <c r="L4" s="55">
        <v>1.478824065135422E-05</v>
      </c>
      <c r="M4" s="55">
        <v>7.28358412932046E-08</v>
      </c>
      <c r="N4" s="56">
        <v>-3.2703027</v>
      </c>
    </row>
    <row r="5" spans="1:14" ht="15" customHeight="1" thickBot="1">
      <c r="A5" t="s">
        <v>18</v>
      </c>
      <c r="B5" s="59">
        <v>37931.61444444444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2563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3.9095044000000003</v>
      </c>
      <c r="E8" s="78">
        <v>0.021007231432074364</v>
      </c>
      <c r="F8" s="78">
        <v>2.9819488</v>
      </c>
      <c r="G8" s="78">
        <v>0.022307986333587066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-0.07223363499999999</v>
      </c>
      <c r="E9" s="80">
        <v>0.012504657157551764</v>
      </c>
      <c r="F9" s="84">
        <v>3.0389336</v>
      </c>
      <c r="G9" s="80">
        <v>0.01359423138835516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-0.342835124</v>
      </c>
      <c r="E10" s="80">
        <v>0.018598046245051673</v>
      </c>
      <c r="F10" s="80">
        <v>0.52134585</v>
      </c>
      <c r="G10" s="80">
        <v>0.0068813350894313015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4.9181999</v>
      </c>
      <c r="E11" s="78">
        <v>0.008150385790656852</v>
      </c>
      <c r="F11" s="78">
        <v>-0.26828768</v>
      </c>
      <c r="G11" s="78">
        <v>0.005459396195971703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0.37305084</v>
      </c>
      <c r="E12" s="80">
        <v>0.004563468976932398</v>
      </c>
      <c r="F12" s="80">
        <v>0.09055319499999999</v>
      </c>
      <c r="G12" s="80">
        <v>0.005882160053061488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21.469117</v>
      </c>
      <c r="D13" s="83">
        <v>-0.06845965400000001</v>
      </c>
      <c r="E13" s="80">
        <v>0.004136826888444044</v>
      </c>
      <c r="F13" s="80">
        <v>0.33936034</v>
      </c>
      <c r="G13" s="80">
        <v>0.004412546806482089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-0.12169978600000002</v>
      </c>
      <c r="E14" s="80">
        <v>0.0035236353264831346</v>
      </c>
      <c r="F14" s="80">
        <v>0.04591927</v>
      </c>
      <c r="G14" s="80">
        <v>0.0022664163885194855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-0.27410218</v>
      </c>
      <c r="E15" s="78">
        <v>0.004606096693688799</v>
      </c>
      <c r="F15" s="78">
        <v>0.017776531800000002</v>
      </c>
      <c r="G15" s="78">
        <v>0.002213642126407038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0.0096263946</v>
      </c>
      <c r="E16" s="80">
        <v>0.002204398154039139</v>
      </c>
      <c r="F16" s="80">
        <v>0.029883564</v>
      </c>
      <c r="G16" s="80">
        <v>0.0017548294051713677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-0.4259999990463257</v>
      </c>
      <c r="D17" s="83">
        <v>-0.008013641</v>
      </c>
      <c r="E17" s="80">
        <v>0.002350392167744035</v>
      </c>
      <c r="F17" s="80">
        <v>0.021656179</v>
      </c>
      <c r="G17" s="80">
        <v>0.0023879141192731422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24.413999557495117</v>
      </c>
      <c r="D18" s="83">
        <v>0.031871286</v>
      </c>
      <c r="E18" s="80">
        <v>0.0024805080317294036</v>
      </c>
      <c r="F18" s="80">
        <v>0.06900074599999999</v>
      </c>
      <c r="G18" s="80">
        <v>0.001379262153350591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-0.4779999852180481</v>
      </c>
      <c r="D19" s="87">
        <v>-0.19523276</v>
      </c>
      <c r="E19" s="80">
        <v>0.0009354979986093784</v>
      </c>
      <c r="F19" s="80">
        <v>0.0108757492</v>
      </c>
      <c r="G19" s="80">
        <v>0.0009385170054569378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0.3073201</v>
      </c>
      <c r="D20" s="89">
        <v>0.0008686362579999999</v>
      </c>
      <c r="E20" s="90">
        <v>0.0012261804101539307</v>
      </c>
      <c r="F20" s="90">
        <v>-0.000564536279</v>
      </c>
      <c r="G20" s="90">
        <v>0.0005711109339518452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0.5725842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-0.1873747007088767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-2.2610056999999997</v>
      </c>
      <c r="I25" s="102" t="s">
        <v>49</v>
      </c>
      <c r="J25" s="103"/>
      <c r="K25" s="102"/>
      <c r="L25" s="105">
        <v>4.925512007456666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4.9169343395494725</v>
      </c>
      <c r="I26" s="107" t="s">
        <v>53</v>
      </c>
      <c r="J26" s="108"/>
      <c r="K26" s="107"/>
      <c r="L26" s="110">
        <v>0.274678011794881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HCMQAP119_pos1ap2res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5.931664E-05</v>
      </c>
      <c r="L2" s="55">
        <v>1.2625760958942125E-07</v>
      </c>
      <c r="M2" s="55">
        <v>7.0107393E-05</v>
      </c>
      <c r="N2" s="56">
        <v>2.422830899907537E-07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-2.856905E-05</v>
      </c>
      <c r="L3" s="55">
        <v>1.5256470555101985E-07</v>
      </c>
      <c r="M3" s="55">
        <v>1.1495567E-05</v>
      </c>
      <c r="N3" s="56">
        <v>1.0102241402772185E-07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-0.0037529333589877488</v>
      </c>
      <c r="L4" s="55">
        <v>-1.6078272101736936E-05</v>
      </c>
      <c r="M4" s="55">
        <v>7.645688975178255E-08</v>
      </c>
      <c r="N4" s="56">
        <v>2.1420809</v>
      </c>
    </row>
    <row r="5" spans="1:14" ht="15" customHeight="1" thickBot="1">
      <c r="A5" t="s">
        <v>18</v>
      </c>
      <c r="B5" s="59">
        <v>37931.618935185186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2563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2.0474842000000004</v>
      </c>
      <c r="E8" s="78">
        <v>0.010950678566181806</v>
      </c>
      <c r="F8" s="78">
        <v>1.8526249</v>
      </c>
      <c r="G8" s="78">
        <v>0.011552818038928868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-0.29365019</v>
      </c>
      <c r="E9" s="80">
        <v>0.015862941587530318</v>
      </c>
      <c r="F9" s="80">
        <v>-2.3964141000000003</v>
      </c>
      <c r="G9" s="80">
        <v>0.012541287375656792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-0.85833505</v>
      </c>
      <c r="E10" s="80">
        <v>0.006552992162906162</v>
      </c>
      <c r="F10" s="80">
        <v>0.62876265</v>
      </c>
      <c r="G10" s="80">
        <v>0.007616719587394573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5.257554300000001</v>
      </c>
      <c r="E11" s="78">
        <v>0.004147324601411846</v>
      </c>
      <c r="F11" s="78">
        <v>-0.22763247999999997</v>
      </c>
      <c r="G11" s="78">
        <v>0.00461453734123057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-0.12828615000000002</v>
      </c>
      <c r="E12" s="80">
        <v>0.0029769225128998857</v>
      </c>
      <c r="F12" s="80">
        <v>0.12582508</v>
      </c>
      <c r="G12" s="80">
        <v>0.003995342495406253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21.408082</v>
      </c>
      <c r="D13" s="83">
        <v>-0.09790905700000001</v>
      </c>
      <c r="E13" s="80">
        <v>0.002529108344176683</v>
      </c>
      <c r="F13" s="80">
        <v>-0.12717486</v>
      </c>
      <c r="G13" s="80">
        <v>0.003823447125487382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-0.075798901</v>
      </c>
      <c r="E14" s="80">
        <v>0.0005880060796658621</v>
      </c>
      <c r="F14" s="80">
        <v>0.14141657</v>
      </c>
      <c r="G14" s="80">
        <v>0.004836141828731137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-0.101194535</v>
      </c>
      <c r="E15" s="78">
        <v>0.002956567945069055</v>
      </c>
      <c r="F15" s="78">
        <v>0.088539678</v>
      </c>
      <c r="G15" s="78">
        <v>0.0015424849672287875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-0.0071618876</v>
      </c>
      <c r="E16" s="80">
        <v>0.002012227294789789</v>
      </c>
      <c r="F16" s="80">
        <v>0.0100169593</v>
      </c>
      <c r="G16" s="80">
        <v>0.0016277831100754005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0.32100000977516174</v>
      </c>
      <c r="D17" s="83">
        <v>-0.0111626494</v>
      </c>
      <c r="E17" s="80">
        <v>0.0011676802619378934</v>
      </c>
      <c r="F17" s="80">
        <v>-0.0089880135</v>
      </c>
      <c r="G17" s="80">
        <v>0.001573979134641878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1.0169999599456787</v>
      </c>
      <c r="D18" s="83">
        <v>0.030132711</v>
      </c>
      <c r="E18" s="80">
        <v>0.0011663249002203055</v>
      </c>
      <c r="F18" s="80">
        <v>0.031467167000000004</v>
      </c>
      <c r="G18" s="80">
        <v>0.0009165192686386449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0.25999999046325684</v>
      </c>
      <c r="D19" s="87">
        <v>-0.16622516</v>
      </c>
      <c r="E19" s="80">
        <v>0.0004445944707256739</v>
      </c>
      <c r="F19" s="80">
        <v>0.019838621</v>
      </c>
      <c r="G19" s="80">
        <v>0.001139982927821272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0.2673218</v>
      </c>
      <c r="D20" s="89">
        <v>0.0021295444199999998</v>
      </c>
      <c r="E20" s="90">
        <v>0.000604966786921455</v>
      </c>
      <c r="F20" s="90">
        <v>0.001359522262</v>
      </c>
      <c r="G20" s="90">
        <v>0.0009511799595587645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0.3187158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0.12273229861312264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-3.7529678000000004</v>
      </c>
      <c r="I25" s="102" t="s">
        <v>49</v>
      </c>
      <c r="J25" s="103"/>
      <c r="K25" s="102"/>
      <c r="L25" s="105">
        <v>5.2624798112106275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2.761233523146793</v>
      </c>
      <c r="I26" s="107" t="s">
        <v>53</v>
      </c>
      <c r="J26" s="108"/>
      <c r="K26" s="107"/>
      <c r="L26" s="110">
        <v>0.13446043467953653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HCMQAP119_pos2ap2res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5.427019E-05</v>
      </c>
      <c r="L2" s="55">
        <v>1.0885877107526107E-07</v>
      </c>
      <c r="M2" s="55">
        <v>2.7563650000000005E-05</v>
      </c>
      <c r="N2" s="56">
        <v>2.489334478926175E-07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-2.7698024000000004E-05</v>
      </c>
      <c r="L3" s="55">
        <v>9.78186013173067E-08</v>
      </c>
      <c r="M3" s="55">
        <v>1.0533674000000001E-05</v>
      </c>
      <c r="N3" s="56">
        <v>1.6225049110548964E-07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-0.003755561508963396</v>
      </c>
      <c r="L4" s="55">
        <v>-3.7165333494266125E-05</v>
      </c>
      <c r="M4" s="55">
        <v>2.4418107509230386E-08</v>
      </c>
      <c r="N4" s="56">
        <v>4.947878</v>
      </c>
    </row>
    <row r="5" spans="1:14" ht="15" customHeight="1" thickBot="1">
      <c r="A5" t="s">
        <v>18</v>
      </c>
      <c r="B5" s="59">
        <v>37931.62342592593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2563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1.2890155</v>
      </c>
      <c r="E8" s="78">
        <v>0.013490094258370828</v>
      </c>
      <c r="F8" s="78">
        <v>1.2126838</v>
      </c>
      <c r="G8" s="78">
        <v>0.015589216531313873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-0.17232831</v>
      </c>
      <c r="E9" s="80">
        <v>0.011460635164090863</v>
      </c>
      <c r="F9" s="84">
        <v>-4.9309791</v>
      </c>
      <c r="G9" s="80">
        <v>0.013630499995978363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-0.5448675700000001</v>
      </c>
      <c r="E10" s="80">
        <v>0.0025136966950182224</v>
      </c>
      <c r="F10" s="80">
        <v>0.48598751999999995</v>
      </c>
      <c r="G10" s="80">
        <v>0.007489436659501048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4.1582398000000005</v>
      </c>
      <c r="E11" s="78">
        <v>0.004384466085913579</v>
      </c>
      <c r="F11" s="78">
        <v>-0.06928456599999999</v>
      </c>
      <c r="G11" s="78">
        <v>0.004789294190248184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0.067095354</v>
      </c>
      <c r="E12" s="80">
        <v>0.004712373541071896</v>
      </c>
      <c r="F12" s="80">
        <v>0.073145934</v>
      </c>
      <c r="G12" s="80">
        <v>0.002908441118318259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21.359254</v>
      </c>
      <c r="D13" s="83">
        <v>-0.082640746</v>
      </c>
      <c r="E13" s="80">
        <v>0.002321989507509533</v>
      </c>
      <c r="F13" s="80">
        <v>-0.25899277</v>
      </c>
      <c r="G13" s="80">
        <v>0.002930908652043126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-0.057413618</v>
      </c>
      <c r="E14" s="80">
        <v>0.0031321885347095676</v>
      </c>
      <c r="F14" s="80">
        <v>0.041352691</v>
      </c>
      <c r="G14" s="80">
        <v>0.003073716125881521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-0.010335428609999999</v>
      </c>
      <c r="E15" s="78">
        <v>0.003053793588750741</v>
      </c>
      <c r="F15" s="78">
        <v>0.038262873999999995</v>
      </c>
      <c r="G15" s="78">
        <v>0.002351153031098618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0.0158416961</v>
      </c>
      <c r="E16" s="80">
        <v>0.0017630409172782297</v>
      </c>
      <c r="F16" s="80">
        <v>0.010648288600000003</v>
      </c>
      <c r="G16" s="80">
        <v>0.0016019563801523999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-0.2639999985694885</v>
      </c>
      <c r="D17" s="83">
        <v>-0.0030116016600000004</v>
      </c>
      <c r="E17" s="80">
        <v>0.000503677668829164</v>
      </c>
      <c r="F17" s="80">
        <v>0.007921713</v>
      </c>
      <c r="G17" s="80">
        <v>0.0012947992820513542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19.327999114990234</v>
      </c>
      <c r="D18" s="83">
        <v>0.019919146999999998</v>
      </c>
      <c r="E18" s="80">
        <v>0.0013558547670514214</v>
      </c>
      <c r="F18" s="80">
        <v>0.01751696</v>
      </c>
      <c r="G18" s="80">
        <v>0.0009830778912222507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-0.3050000071525574</v>
      </c>
      <c r="D19" s="87">
        <v>-0.17059399</v>
      </c>
      <c r="E19" s="80">
        <v>0.0004830244521811635</v>
      </c>
      <c r="F19" s="80">
        <v>0.016933119000000003</v>
      </c>
      <c r="G19" s="80">
        <v>0.0009278153466201745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0.2444006</v>
      </c>
      <c r="D20" s="89">
        <v>-0.000661178412</v>
      </c>
      <c r="E20" s="90">
        <v>0.0009460292890427772</v>
      </c>
      <c r="F20" s="90">
        <v>0.00072047368</v>
      </c>
      <c r="G20" s="90">
        <v>0.00023446496602075241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0.1271866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0.28349276640172655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-3.7557454</v>
      </c>
      <c r="I25" s="102" t="s">
        <v>49</v>
      </c>
      <c r="J25" s="103"/>
      <c r="K25" s="102"/>
      <c r="L25" s="105">
        <v>4.158816969450549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1.7697917838047192</v>
      </c>
      <c r="I26" s="107" t="s">
        <v>53</v>
      </c>
      <c r="J26" s="108"/>
      <c r="K26" s="107"/>
      <c r="L26" s="110">
        <v>0.03963418488240022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HCMQAP119_pos3ap2res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6.7365422E-05</v>
      </c>
      <c r="L2" s="55">
        <v>1.6409933554101073E-07</v>
      </c>
      <c r="M2" s="55">
        <v>8.1003252E-05</v>
      </c>
      <c r="N2" s="56">
        <v>1.3415101719947428E-07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-2.8672748E-05</v>
      </c>
      <c r="L3" s="55">
        <v>2.1357041598423265E-08</v>
      </c>
      <c r="M3" s="55">
        <v>1.0597056000000002E-05</v>
      </c>
      <c r="N3" s="56">
        <v>2.0933385274247762E-07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-0.003752325873606424</v>
      </c>
      <c r="L4" s="55">
        <v>-6.661304479002609E-05</v>
      </c>
      <c r="M4" s="55">
        <v>3.82117577948611E-08</v>
      </c>
      <c r="N4" s="56">
        <v>8.8753017</v>
      </c>
    </row>
    <row r="5" spans="1:14" ht="15" customHeight="1" thickBot="1">
      <c r="A5" t="s">
        <v>18</v>
      </c>
      <c r="B5" s="59">
        <v>37931.62793981482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2563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2.4248946</v>
      </c>
      <c r="E8" s="78">
        <v>0.012148836740165932</v>
      </c>
      <c r="F8" s="78">
        <v>0.51539289</v>
      </c>
      <c r="G8" s="78">
        <v>0.010853548648133777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-0.24222446</v>
      </c>
      <c r="E9" s="80">
        <v>0.009130147133830794</v>
      </c>
      <c r="F9" s="84">
        <v>-3.2034352</v>
      </c>
      <c r="G9" s="80">
        <v>0.004125419258631074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-1.2098361</v>
      </c>
      <c r="E10" s="80">
        <v>0.008633994512390136</v>
      </c>
      <c r="F10" s="80">
        <v>-0.154014465</v>
      </c>
      <c r="G10" s="80">
        <v>0.005175404853478975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4.406585700000001</v>
      </c>
      <c r="E11" s="78">
        <v>0.005053963677279729</v>
      </c>
      <c r="F11" s="78">
        <v>0.36514061</v>
      </c>
      <c r="G11" s="78">
        <v>0.003703762000644751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-0.33849612</v>
      </c>
      <c r="E12" s="80">
        <v>0.0028812302900992695</v>
      </c>
      <c r="F12" s="80">
        <v>0.090275726</v>
      </c>
      <c r="G12" s="80">
        <v>0.0026676675646475486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21.340943</v>
      </c>
      <c r="D13" s="83">
        <v>-0.115877922</v>
      </c>
      <c r="E13" s="80">
        <v>0.003556005885438829</v>
      </c>
      <c r="F13" s="80">
        <v>-0.17179862</v>
      </c>
      <c r="G13" s="80">
        <v>0.004248199477849038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-0.090391747</v>
      </c>
      <c r="E14" s="80">
        <v>0.0014451693243552443</v>
      </c>
      <c r="F14" s="80">
        <v>0.028380634300000002</v>
      </c>
      <c r="G14" s="80">
        <v>0.0027182008542862963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-0.102211095</v>
      </c>
      <c r="E15" s="78">
        <v>0.0009008219332959358</v>
      </c>
      <c r="F15" s="78">
        <v>0.032860928</v>
      </c>
      <c r="G15" s="78">
        <v>0.0019392817201881406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-0.021239361999999998</v>
      </c>
      <c r="E16" s="80">
        <v>0.0009764152107306022</v>
      </c>
      <c r="F16" s="80">
        <v>0.0070843148</v>
      </c>
      <c r="G16" s="80">
        <v>0.0011221703860209362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0.45399999618530273</v>
      </c>
      <c r="D17" s="83">
        <v>-0.00846930514</v>
      </c>
      <c r="E17" s="80">
        <v>0.0005912898025858877</v>
      </c>
      <c r="F17" s="80">
        <v>-0.00448137978</v>
      </c>
      <c r="G17" s="80">
        <v>0.0022296034210550156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0.044006112</v>
      </c>
      <c r="E18" s="80">
        <v>0.0009291712137524627</v>
      </c>
      <c r="F18" s="80">
        <v>0.03336099</v>
      </c>
      <c r="G18" s="80">
        <v>0.0007050776817629181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0.39500001072883606</v>
      </c>
      <c r="D19" s="87">
        <v>-0.16108139999999999</v>
      </c>
      <c r="E19" s="80">
        <v>0.000740174311228023</v>
      </c>
      <c r="F19" s="80">
        <v>0.015136750000000001</v>
      </c>
      <c r="G19" s="80">
        <v>0.0009913321344685317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0.2985846</v>
      </c>
      <c r="D20" s="89">
        <v>0.0044584985</v>
      </c>
      <c r="E20" s="90">
        <v>0.00013871482081271894</v>
      </c>
      <c r="F20" s="90">
        <v>-0.00014376964</v>
      </c>
      <c r="G20" s="90">
        <v>0.0007638962697373902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0.3722858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0.5085177588418603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-3.7529171000000003</v>
      </c>
      <c r="I25" s="102" t="s">
        <v>49</v>
      </c>
      <c r="J25" s="103"/>
      <c r="K25" s="102"/>
      <c r="L25" s="105">
        <v>4.42168804830414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2.47906104244565</v>
      </c>
      <c r="I26" s="107" t="s">
        <v>53</v>
      </c>
      <c r="J26" s="108"/>
      <c r="K26" s="107"/>
      <c r="L26" s="110">
        <v>0.10736362759389331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HCMQAP119_pos4ap2res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3.98509213E-05</v>
      </c>
      <c r="L2" s="55">
        <v>8.422909993348208E-08</v>
      </c>
      <c r="M2" s="55">
        <v>7.3195864E-05</v>
      </c>
      <c r="N2" s="56">
        <v>1.7584359872983807E-07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-3.08121287E-05</v>
      </c>
      <c r="L3" s="55">
        <v>1.372870652617353E-07</v>
      </c>
      <c r="M3" s="55">
        <v>1.0563462E-05</v>
      </c>
      <c r="N3" s="56">
        <v>9.245289290229878E-08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-0.0020808250625580574</v>
      </c>
      <c r="L4" s="55">
        <v>-5.390631844687953E-05</v>
      </c>
      <c r="M4" s="55">
        <v>7.293737562352085E-08</v>
      </c>
      <c r="N4" s="56">
        <v>12.950215000000004</v>
      </c>
    </row>
    <row r="5" spans="1:14" ht="15" customHeight="1" thickBot="1">
      <c r="A5" t="s">
        <v>18</v>
      </c>
      <c r="B5" s="59">
        <v>37931.63240740741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2563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-3.8552106999999998</v>
      </c>
      <c r="E8" s="78">
        <v>0.03037700605983925</v>
      </c>
      <c r="F8" s="115">
        <v>7.0466059</v>
      </c>
      <c r="G8" s="78">
        <v>0.025061157378135822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-1.1460327</v>
      </c>
      <c r="E9" s="80">
        <v>0.016050364549135367</v>
      </c>
      <c r="F9" s="80">
        <v>-0.6946414</v>
      </c>
      <c r="G9" s="80">
        <v>0.014703903696433143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0.10831214999999998</v>
      </c>
      <c r="E10" s="80">
        <v>0.010092076543556433</v>
      </c>
      <c r="F10" s="80">
        <v>-0.7667879099999999</v>
      </c>
      <c r="G10" s="80">
        <v>0.018191915968242035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14.747064</v>
      </c>
      <c r="E11" s="78">
        <v>0.008008987701967316</v>
      </c>
      <c r="F11" s="78">
        <v>1.0310647300000002</v>
      </c>
      <c r="G11" s="78">
        <v>0.007761469183689818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-0.058519583</v>
      </c>
      <c r="E12" s="80">
        <v>0.0075623632201062335</v>
      </c>
      <c r="F12" s="80">
        <v>0.38066377</v>
      </c>
      <c r="G12" s="80">
        <v>0.005900770731827339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21.359254</v>
      </c>
      <c r="D13" s="83">
        <v>-0.10781960800000001</v>
      </c>
      <c r="E13" s="80">
        <v>0.008004462424719373</v>
      </c>
      <c r="F13" s="80">
        <v>-0.21652569000000002</v>
      </c>
      <c r="G13" s="80">
        <v>0.004194169054698358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-0.090896687</v>
      </c>
      <c r="E14" s="80">
        <v>0.0038939432571707564</v>
      </c>
      <c r="F14" s="80">
        <v>-0.035596934</v>
      </c>
      <c r="G14" s="80">
        <v>0.0040030842809868775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-0.31002132</v>
      </c>
      <c r="E15" s="78">
        <v>0.002671491439738471</v>
      </c>
      <c r="F15" s="78">
        <v>0.34109404</v>
      </c>
      <c r="G15" s="78">
        <v>0.005298114377909163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0.026591715999999998</v>
      </c>
      <c r="E16" s="80">
        <v>0.0023260088762564945</v>
      </c>
      <c r="F16" s="80">
        <v>0.020690913999999998</v>
      </c>
      <c r="G16" s="80">
        <v>0.004688843442028542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-0.2759999930858612</v>
      </c>
      <c r="D17" s="83">
        <v>-0.0201650245</v>
      </c>
      <c r="E17" s="80">
        <v>0.002349847372975877</v>
      </c>
      <c r="F17" s="80">
        <v>-0.020035808999999998</v>
      </c>
      <c r="G17" s="80">
        <v>0.0034592241690116084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21.871000289916992</v>
      </c>
      <c r="D18" s="83">
        <v>-0.01009744731</v>
      </c>
      <c r="E18" s="80">
        <v>0.0016998929866364895</v>
      </c>
      <c r="F18" s="80">
        <v>0.043448811</v>
      </c>
      <c r="G18" s="80">
        <v>0.003558398007979729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-0.32600000500679016</v>
      </c>
      <c r="D19" s="83">
        <v>-0.13414705</v>
      </c>
      <c r="E19" s="80">
        <v>0.0012842788805413068</v>
      </c>
      <c r="F19" s="80">
        <v>-0.0093440356</v>
      </c>
      <c r="G19" s="80">
        <v>0.001127652761201317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0.3098598</v>
      </c>
      <c r="D20" s="89">
        <v>-0.00430641486</v>
      </c>
      <c r="E20" s="90">
        <v>0.0015714363466930498</v>
      </c>
      <c r="F20" s="90">
        <v>0.0037622064999999994</v>
      </c>
      <c r="G20" s="90">
        <v>0.0009150590811953066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0.6060177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0.7419932900219318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-2.0815232</v>
      </c>
      <c r="I25" s="102" t="s">
        <v>49</v>
      </c>
      <c r="J25" s="103"/>
      <c r="K25" s="102"/>
      <c r="L25" s="105">
        <v>14.783064333809346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8.032266445487805</v>
      </c>
      <c r="I26" s="107" t="s">
        <v>53</v>
      </c>
      <c r="J26" s="108"/>
      <c r="K26" s="107"/>
      <c r="L26" s="110">
        <v>0.46093205896104034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HCMQAP119_pos5ap2res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68</v>
      </c>
      <c r="C1" s="121" t="s">
        <v>72</v>
      </c>
      <c r="D1" s="121" t="s">
        <v>75</v>
      </c>
      <c r="E1" s="121" t="s">
        <v>77</v>
      </c>
      <c r="F1" s="128" t="s">
        <v>80</v>
      </c>
      <c r="G1" s="162" t="s">
        <v>120</v>
      </c>
    </row>
    <row r="2" spans="1:7" ht="13.5" thickBot="1">
      <c r="A2" s="140" t="s">
        <v>89</v>
      </c>
      <c r="B2" s="132">
        <v>-2.2610056999999997</v>
      </c>
      <c r="C2" s="123">
        <v>-3.7529678000000004</v>
      </c>
      <c r="D2" s="123">
        <v>-3.7557454</v>
      </c>
      <c r="E2" s="123">
        <v>-3.7529171000000003</v>
      </c>
      <c r="F2" s="129">
        <v>-2.0815232</v>
      </c>
      <c r="G2" s="163">
        <v>3.117193160944024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7" t="s">
        <v>121</v>
      </c>
    </row>
    <row r="4" spans="1:7" ht="12.75">
      <c r="A4" s="145" t="s">
        <v>90</v>
      </c>
      <c r="B4" s="146">
        <v>3.9095044000000003</v>
      </c>
      <c r="C4" s="147">
        <v>2.0474842000000004</v>
      </c>
      <c r="D4" s="147">
        <v>1.2890155</v>
      </c>
      <c r="E4" s="147">
        <v>2.4248946</v>
      </c>
      <c r="F4" s="152">
        <v>-3.8552106999999998</v>
      </c>
      <c r="G4" s="158">
        <v>1.4381092662741461</v>
      </c>
    </row>
    <row r="5" spans="1:7" ht="12.75">
      <c r="A5" s="140" t="s">
        <v>92</v>
      </c>
      <c r="B5" s="134">
        <v>-0.07223363499999999</v>
      </c>
      <c r="C5" s="119">
        <v>-0.29365019</v>
      </c>
      <c r="D5" s="119">
        <v>-0.17232831</v>
      </c>
      <c r="E5" s="119">
        <v>-0.24222446</v>
      </c>
      <c r="F5" s="153">
        <v>-1.1460327</v>
      </c>
      <c r="G5" s="159">
        <v>-0.3337022860260091</v>
      </c>
    </row>
    <row r="6" spans="1:7" ht="12.75">
      <c r="A6" s="140" t="s">
        <v>94</v>
      </c>
      <c r="B6" s="134">
        <v>-0.342835124</v>
      </c>
      <c r="C6" s="119">
        <v>-0.85833505</v>
      </c>
      <c r="D6" s="119">
        <v>-0.5448675700000001</v>
      </c>
      <c r="E6" s="119">
        <v>-1.2098361</v>
      </c>
      <c r="F6" s="153">
        <v>0.10831214999999998</v>
      </c>
      <c r="G6" s="159">
        <v>-0.6637845747076655</v>
      </c>
    </row>
    <row r="7" spans="1:7" ht="12.75">
      <c r="A7" s="140" t="s">
        <v>96</v>
      </c>
      <c r="B7" s="133">
        <v>4.9181999</v>
      </c>
      <c r="C7" s="117">
        <v>5.257554300000001</v>
      </c>
      <c r="D7" s="117">
        <v>4.1582398000000005</v>
      </c>
      <c r="E7" s="117">
        <v>4.406585700000001</v>
      </c>
      <c r="F7" s="154">
        <v>14.747064</v>
      </c>
      <c r="G7" s="159">
        <v>6.004982740580355</v>
      </c>
    </row>
    <row r="8" spans="1:7" ht="12.75">
      <c r="A8" s="140" t="s">
        <v>98</v>
      </c>
      <c r="B8" s="134">
        <v>0.37305084</v>
      </c>
      <c r="C8" s="119">
        <v>-0.12828615000000002</v>
      </c>
      <c r="D8" s="119">
        <v>0.067095354</v>
      </c>
      <c r="E8" s="119">
        <v>-0.33849612</v>
      </c>
      <c r="F8" s="153">
        <v>-0.058519583</v>
      </c>
      <c r="G8" s="159">
        <v>-0.049868011732396855</v>
      </c>
    </row>
    <row r="9" spans="1:7" ht="12.75">
      <c r="A9" s="140" t="s">
        <v>100</v>
      </c>
      <c r="B9" s="134">
        <v>-0.06845965400000001</v>
      </c>
      <c r="C9" s="119">
        <v>-0.09790905700000001</v>
      </c>
      <c r="D9" s="119">
        <v>-0.082640746</v>
      </c>
      <c r="E9" s="119">
        <v>-0.115877922</v>
      </c>
      <c r="F9" s="153">
        <v>-0.10781960800000001</v>
      </c>
      <c r="G9" s="159">
        <v>-0.09561066630611104</v>
      </c>
    </row>
    <row r="10" spans="1:7" ht="12.75">
      <c r="A10" s="140" t="s">
        <v>102</v>
      </c>
      <c r="B10" s="134">
        <v>-0.12169978600000002</v>
      </c>
      <c r="C10" s="119">
        <v>-0.075798901</v>
      </c>
      <c r="D10" s="119">
        <v>-0.057413618</v>
      </c>
      <c r="E10" s="119">
        <v>-0.090391747</v>
      </c>
      <c r="F10" s="153">
        <v>-0.090896687</v>
      </c>
      <c r="G10" s="159">
        <v>-0.08354836395624811</v>
      </c>
    </row>
    <row r="11" spans="1:7" ht="12.75">
      <c r="A11" s="140" t="s">
        <v>104</v>
      </c>
      <c r="B11" s="133">
        <v>-0.27410218</v>
      </c>
      <c r="C11" s="117">
        <v>-0.101194535</v>
      </c>
      <c r="D11" s="117">
        <v>-0.010335428609999999</v>
      </c>
      <c r="E11" s="117">
        <v>-0.102211095</v>
      </c>
      <c r="F11" s="155">
        <v>-0.31002132</v>
      </c>
      <c r="G11" s="159">
        <v>-0.13248070408832302</v>
      </c>
    </row>
    <row r="12" spans="1:7" ht="12.75">
      <c r="A12" s="140" t="s">
        <v>106</v>
      </c>
      <c r="B12" s="134">
        <v>0.0096263946</v>
      </c>
      <c r="C12" s="119">
        <v>-0.0071618876</v>
      </c>
      <c r="D12" s="119">
        <v>0.0158416961</v>
      </c>
      <c r="E12" s="119">
        <v>-0.021239361999999998</v>
      </c>
      <c r="F12" s="153">
        <v>0.026591715999999998</v>
      </c>
      <c r="G12" s="159">
        <v>0.0019242360527649493</v>
      </c>
    </row>
    <row r="13" spans="1:7" ht="12.75">
      <c r="A13" s="140" t="s">
        <v>108</v>
      </c>
      <c r="B13" s="134">
        <v>-0.008013641</v>
      </c>
      <c r="C13" s="119">
        <v>-0.0111626494</v>
      </c>
      <c r="D13" s="119">
        <v>-0.0030116016600000004</v>
      </c>
      <c r="E13" s="119">
        <v>-0.00846930514</v>
      </c>
      <c r="F13" s="153">
        <v>-0.0201650245</v>
      </c>
      <c r="G13" s="159">
        <v>-0.00929760619406925</v>
      </c>
    </row>
    <row r="14" spans="1:7" ht="12.75">
      <c r="A14" s="140" t="s">
        <v>110</v>
      </c>
      <c r="B14" s="134">
        <v>0.031871286</v>
      </c>
      <c r="C14" s="119">
        <v>0.030132711</v>
      </c>
      <c r="D14" s="119">
        <v>0.019919146999999998</v>
      </c>
      <c r="E14" s="119">
        <v>0.044006112</v>
      </c>
      <c r="F14" s="153">
        <v>-0.01009744731</v>
      </c>
      <c r="G14" s="159">
        <v>0.025896474930349495</v>
      </c>
    </row>
    <row r="15" spans="1:7" ht="12.75">
      <c r="A15" s="140" t="s">
        <v>112</v>
      </c>
      <c r="B15" s="135">
        <v>-0.19523276</v>
      </c>
      <c r="C15" s="118">
        <v>-0.16622516</v>
      </c>
      <c r="D15" s="118">
        <v>-0.17059399</v>
      </c>
      <c r="E15" s="118">
        <v>-0.16108139999999999</v>
      </c>
      <c r="F15" s="153">
        <v>-0.13414705</v>
      </c>
      <c r="G15" s="159">
        <v>-0.16596363530854172</v>
      </c>
    </row>
    <row r="16" spans="1:7" ht="12.75">
      <c r="A16" s="140" t="s">
        <v>114</v>
      </c>
      <c r="B16" s="134">
        <v>0.0008686362579999999</v>
      </c>
      <c r="C16" s="119">
        <v>0.0021295444199999998</v>
      </c>
      <c r="D16" s="119">
        <v>-0.000661178412</v>
      </c>
      <c r="E16" s="119">
        <v>0.0044584985</v>
      </c>
      <c r="F16" s="153">
        <v>-0.00430641486</v>
      </c>
      <c r="G16" s="159">
        <v>0.0009767497251057038</v>
      </c>
    </row>
    <row r="17" spans="1:7" ht="12.75">
      <c r="A17" s="140" t="s">
        <v>91</v>
      </c>
      <c r="B17" s="133">
        <v>2.9819488</v>
      </c>
      <c r="C17" s="117">
        <v>1.8526249</v>
      </c>
      <c r="D17" s="117">
        <v>1.2126838</v>
      </c>
      <c r="E17" s="117">
        <v>0.51539289</v>
      </c>
      <c r="F17" s="154">
        <v>7.0466059</v>
      </c>
      <c r="G17" s="159">
        <v>2.2334735526664713</v>
      </c>
    </row>
    <row r="18" spans="1:7" ht="12.75">
      <c r="A18" s="140" t="s">
        <v>93</v>
      </c>
      <c r="B18" s="135">
        <v>3.0389336</v>
      </c>
      <c r="C18" s="119">
        <v>-2.3964141000000003</v>
      </c>
      <c r="D18" s="118">
        <v>-4.9309791</v>
      </c>
      <c r="E18" s="118">
        <v>-3.2034352</v>
      </c>
      <c r="F18" s="153">
        <v>-0.6946414</v>
      </c>
      <c r="G18" s="160">
        <v>-2.1859722992423714</v>
      </c>
    </row>
    <row r="19" spans="1:7" ht="12.75">
      <c r="A19" s="140" t="s">
        <v>95</v>
      </c>
      <c r="B19" s="134">
        <v>0.52134585</v>
      </c>
      <c r="C19" s="119">
        <v>0.62876265</v>
      </c>
      <c r="D19" s="119">
        <v>0.48598751999999995</v>
      </c>
      <c r="E19" s="119">
        <v>-0.154014465</v>
      </c>
      <c r="F19" s="153">
        <v>-0.7667879099999999</v>
      </c>
      <c r="G19" s="159">
        <v>0.2044100503038357</v>
      </c>
    </row>
    <row r="20" spans="1:7" ht="12.75">
      <c r="A20" s="140" t="s">
        <v>97</v>
      </c>
      <c r="B20" s="133">
        <v>-0.26828768</v>
      </c>
      <c r="C20" s="117">
        <v>-0.22763247999999997</v>
      </c>
      <c r="D20" s="117">
        <v>-0.06928456599999999</v>
      </c>
      <c r="E20" s="117">
        <v>0.36514061</v>
      </c>
      <c r="F20" s="155">
        <v>1.0310647300000002</v>
      </c>
      <c r="G20" s="159">
        <v>0.1150600324515243</v>
      </c>
    </row>
    <row r="21" spans="1:7" ht="12.75">
      <c r="A21" s="140" t="s">
        <v>99</v>
      </c>
      <c r="B21" s="134">
        <v>0.09055319499999999</v>
      </c>
      <c r="C21" s="119">
        <v>0.12582508</v>
      </c>
      <c r="D21" s="119">
        <v>0.073145934</v>
      </c>
      <c r="E21" s="119">
        <v>0.090275726</v>
      </c>
      <c r="F21" s="153">
        <v>0.38066377</v>
      </c>
      <c r="G21" s="159">
        <v>0.13347941575375735</v>
      </c>
    </row>
    <row r="22" spans="1:7" ht="12.75">
      <c r="A22" s="140" t="s">
        <v>101</v>
      </c>
      <c r="B22" s="134">
        <v>0.33936034</v>
      </c>
      <c r="C22" s="119">
        <v>-0.12717486</v>
      </c>
      <c r="D22" s="119">
        <v>-0.25899277</v>
      </c>
      <c r="E22" s="119">
        <v>-0.17179862</v>
      </c>
      <c r="F22" s="153">
        <v>-0.21652569000000002</v>
      </c>
      <c r="G22" s="159">
        <v>-0.1139534401764972</v>
      </c>
    </row>
    <row r="23" spans="1:7" ht="12.75">
      <c r="A23" s="140" t="s">
        <v>103</v>
      </c>
      <c r="B23" s="134">
        <v>0.04591927</v>
      </c>
      <c r="C23" s="119">
        <v>0.14141657</v>
      </c>
      <c r="D23" s="119">
        <v>0.041352691</v>
      </c>
      <c r="E23" s="119">
        <v>0.028380634300000002</v>
      </c>
      <c r="F23" s="153">
        <v>-0.035596934</v>
      </c>
      <c r="G23" s="159">
        <v>0.05269621112367299</v>
      </c>
    </row>
    <row r="24" spans="1:7" ht="12.75">
      <c r="A24" s="140" t="s">
        <v>105</v>
      </c>
      <c r="B24" s="133">
        <v>0.017776531800000002</v>
      </c>
      <c r="C24" s="117">
        <v>0.088539678</v>
      </c>
      <c r="D24" s="117">
        <v>0.038262873999999995</v>
      </c>
      <c r="E24" s="117">
        <v>0.032860928</v>
      </c>
      <c r="F24" s="155">
        <v>0.34109404</v>
      </c>
      <c r="G24" s="159">
        <v>0.08648364146101994</v>
      </c>
    </row>
    <row r="25" spans="1:7" ht="12.75">
      <c r="A25" s="140" t="s">
        <v>107</v>
      </c>
      <c r="B25" s="134">
        <v>0.029883564</v>
      </c>
      <c r="C25" s="119">
        <v>0.0100169593</v>
      </c>
      <c r="D25" s="119">
        <v>0.010648288600000003</v>
      </c>
      <c r="E25" s="119">
        <v>0.0070843148</v>
      </c>
      <c r="F25" s="153">
        <v>0.020690913999999998</v>
      </c>
      <c r="G25" s="159">
        <v>0.013766070705645944</v>
      </c>
    </row>
    <row r="26" spans="1:7" ht="12.75">
      <c r="A26" s="140" t="s">
        <v>109</v>
      </c>
      <c r="B26" s="134">
        <v>0.021656179</v>
      </c>
      <c r="C26" s="119">
        <v>-0.0089880135</v>
      </c>
      <c r="D26" s="119">
        <v>0.007921713</v>
      </c>
      <c r="E26" s="119">
        <v>-0.00448137978</v>
      </c>
      <c r="F26" s="153">
        <v>-0.020035808999999998</v>
      </c>
      <c r="G26" s="159">
        <v>-0.0008676079134465535</v>
      </c>
    </row>
    <row r="27" spans="1:7" ht="12.75">
      <c r="A27" s="140" t="s">
        <v>111</v>
      </c>
      <c r="B27" s="134">
        <v>0.06900074599999999</v>
      </c>
      <c r="C27" s="119">
        <v>0.031467167000000004</v>
      </c>
      <c r="D27" s="119">
        <v>0.01751696</v>
      </c>
      <c r="E27" s="119">
        <v>0.03336099</v>
      </c>
      <c r="F27" s="153">
        <v>0.043448811</v>
      </c>
      <c r="G27" s="159">
        <v>0.03560181085651209</v>
      </c>
    </row>
    <row r="28" spans="1:7" ht="12.75">
      <c r="A28" s="140" t="s">
        <v>113</v>
      </c>
      <c r="B28" s="134">
        <v>0.0108757492</v>
      </c>
      <c r="C28" s="119">
        <v>0.019838621</v>
      </c>
      <c r="D28" s="119">
        <v>0.016933119000000003</v>
      </c>
      <c r="E28" s="119">
        <v>0.015136750000000001</v>
      </c>
      <c r="F28" s="153">
        <v>-0.0093440356</v>
      </c>
      <c r="G28" s="159">
        <v>0.012816932908802672</v>
      </c>
    </row>
    <row r="29" spans="1:7" ht="13.5" thickBot="1">
      <c r="A29" s="141" t="s">
        <v>115</v>
      </c>
      <c r="B29" s="136">
        <v>-0.000564536279</v>
      </c>
      <c r="C29" s="120">
        <v>0.001359522262</v>
      </c>
      <c r="D29" s="120">
        <v>0.00072047368</v>
      </c>
      <c r="E29" s="120">
        <v>-0.00014376964</v>
      </c>
      <c r="F29" s="156">
        <v>0.0037622064999999994</v>
      </c>
      <c r="G29" s="161">
        <v>0.0008858730312107044</v>
      </c>
    </row>
    <row r="30" spans="1:7" ht="13.5" thickTop="1">
      <c r="A30" s="142" t="s">
        <v>116</v>
      </c>
      <c r="B30" s="137">
        <v>-0.1873747007088767</v>
      </c>
      <c r="C30" s="126">
        <v>0.12273229861312264</v>
      </c>
      <c r="D30" s="126">
        <v>0.28349276640172655</v>
      </c>
      <c r="E30" s="126">
        <v>0.5085177588418603</v>
      </c>
      <c r="F30" s="122">
        <v>0.7419932900219318</v>
      </c>
      <c r="G30" s="162" t="s">
        <v>127</v>
      </c>
    </row>
    <row r="31" spans="1:7" ht="13.5" thickBot="1">
      <c r="A31" s="143" t="s">
        <v>117</v>
      </c>
      <c r="B31" s="132">
        <v>21.469117</v>
      </c>
      <c r="C31" s="123">
        <v>21.408082</v>
      </c>
      <c r="D31" s="123">
        <v>21.359254</v>
      </c>
      <c r="E31" s="123">
        <v>21.340943</v>
      </c>
      <c r="F31" s="124">
        <v>21.359254</v>
      </c>
      <c r="G31" s="164">
        <v>-209.69</v>
      </c>
    </row>
    <row r="32" spans="1:7" ht="15.75" thickBot="1" thickTop="1">
      <c r="A32" s="144" t="s">
        <v>118</v>
      </c>
      <c r="B32" s="138">
        <v>-0.4519999921321869</v>
      </c>
      <c r="C32" s="127">
        <v>0.2905000001192093</v>
      </c>
      <c r="D32" s="127">
        <v>-0.28450000286102295</v>
      </c>
      <c r="E32" s="127">
        <v>0.4245000034570694</v>
      </c>
      <c r="F32" s="125">
        <v>-0.3009999990463257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5" bestFit="1" customWidth="1"/>
    <col min="2" max="2" width="15.66015625" style="165" bestFit="1" customWidth="1"/>
    <col min="3" max="3" width="15.33203125" style="165" bestFit="1" customWidth="1"/>
    <col min="4" max="4" width="16" style="165" bestFit="1" customWidth="1"/>
    <col min="5" max="5" width="22.16015625" style="165" bestFit="1" customWidth="1"/>
    <col min="6" max="6" width="14.83203125" style="165" bestFit="1" customWidth="1"/>
    <col min="7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128</v>
      </c>
      <c r="B1" s="165" t="s">
        <v>129</v>
      </c>
      <c r="C1" s="165" t="s">
        <v>130</v>
      </c>
      <c r="D1" s="165" t="s">
        <v>131</v>
      </c>
      <c r="E1" s="165" t="s">
        <v>28</v>
      </c>
    </row>
    <row r="3" spans="1:7" ht="12.75">
      <c r="A3" s="165" t="s">
        <v>132</v>
      </c>
      <c r="B3" s="165" t="s">
        <v>83</v>
      </c>
      <c r="C3" s="165" t="s">
        <v>84</v>
      </c>
      <c r="D3" s="165" t="s">
        <v>85</v>
      </c>
      <c r="E3" s="165" t="s">
        <v>86</v>
      </c>
      <c r="F3" s="165" t="s">
        <v>87</v>
      </c>
      <c r="G3" s="165" t="s">
        <v>133</v>
      </c>
    </row>
    <row r="4" spans="1:7" ht="12.75">
      <c r="A4" s="165" t="s">
        <v>134</v>
      </c>
      <c r="B4" s="165">
        <f>0.00226*1.0033</f>
        <v>0.002267458</v>
      </c>
      <c r="C4" s="165">
        <f>0.003751*1.0033</f>
        <v>0.0037633783000000005</v>
      </c>
      <c r="D4" s="165">
        <f>0.003754*1.0033</f>
        <v>0.0037663882000000004</v>
      </c>
      <c r="E4" s="165">
        <f>0.003751*1.0033</f>
        <v>0.0037633783000000005</v>
      </c>
      <c r="F4" s="165">
        <f>0.00208*1.0033</f>
        <v>0.002086864</v>
      </c>
      <c r="G4" s="165">
        <f>0.011695*1.0033</f>
        <v>0.011733593500000002</v>
      </c>
    </row>
    <row r="5" spans="1:7" ht="12.75">
      <c r="A5" s="165" t="s">
        <v>135</v>
      </c>
      <c r="B5" s="165">
        <v>8.048986</v>
      </c>
      <c r="C5" s="165">
        <v>3.393613</v>
      </c>
      <c r="D5" s="165">
        <v>-0.122748</v>
      </c>
      <c r="E5" s="165">
        <v>-3.50529</v>
      </c>
      <c r="F5" s="165">
        <v>-8.258148</v>
      </c>
      <c r="G5" s="165">
        <v>5.095853</v>
      </c>
    </row>
    <row r="6" spans="1:7" ht="12.75">
      <c r="A6" s="165" t="s">
        <v>136</v>
      </c>
      <c r="B6" s="166">
        <v>-14.06981</v>
      </c>
      <c r="C6" s="166">
        <v>7.867538</v>
      </c>
      <c r="D6" s="166">
        <v>22.22893</v>
      </c>
      <c r="E6" s="166">
        <v>-10.54188</v>
      </c>
      <c r="F6" s="166">
        <v>-20.02604</v>
      </c>
      <c r="G6" s="166">
        <v>-0.002244558</v>
      </c>
    </row>
    <row r="7" spans="1:7" ht="12.75">
      <c r="A7" s="165" t="s">
        <v>137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90</v>
      </c>
      <c r="B8" s="166">
        <v>3.951097</v>
      </c>
      <c r="C8" s="166">
        <v>2.046555</v>
      </c>
      <c r="D8" s="166">
        <v>1.49212</v>
      </c>
      <c r="E8" s="166">
        <v>2.425454</v>
      </c>
      <c r="F8" s="166">
        <v>-3.698381</v>
      </c>
      <c r="G8" s="166">
        <v>1.513982</v>
      </c>
    </row>
    <row r="9" spans="1:7" ht="12.75">
      <c r="A9" s="165" t="s">
        <v>92</v>
      </c>
      <c r="B9" s="166">
        <v>-0.1548027</v>
      </c>
      <c r="C9" s="166">
        <v>-0.2708188</v>
      </c>
      <c r="D9" s="166">
        <v>-0.2140863</v>
      </c>
      <c r="E9" s="166">
        <v>-0.2829633</v>
      </c>
      <c r="F9" s="166">
        <v>-1.270032</v>
      </c>
      <c r="G9" s="166">
        <v>-0.3766211</v>
      </c>
    </row>
    <row r="10" spans="1:7" ht="12.75">
      <c r="A10" s="165" t="s">
        <v>94</v>
      </c>
      <c r="B10" s="166">
        <v>-0.4049429</v>
      </c>
      <c r="C10" s="166">
        <v>-0.8457793</v>
      </c>
      <c r="D10" s="166">
        <v>-0.4934815</v>
      </c>
      <c r="E10" s="166">
        <v>-1.233779</v>
      </c>
      <c r="F10" s="166">
        <v>-0.03248706</v>
      </c>
      <c r="G10" s="166">
        <v>-0.6819494</v>
      </c>
    </row>
    <row r="11" spans="1:7" ht="12.75">
      <c r="A11" s="165" t="s">
        <v>96</v>
      </c>
      <c r="B11" s="166">
        <v>4.927031</v>
      </c>
      <c r="C11" s="166">
        <v>5.257195</v>
      </c>
      <c r="D11" s="166">
        <v>4.152158</v>
      </c>
      <c r="E11" s="166">
        <v>4.414501</v>
      </c>
      <c r="F11" s="166">
        <v>14.81432</v>
      </c>
      <c r="G11" s="166">
        <v>6.015411</v>
      </c>
    </row>
    <row r="12" spans="1:7" ht="12.75">
      <c r="A12" s="165" t="s">
        <v>98</v>
      </c>
      <c r="B12" s="166">
        <v>0.3945391</v>
      </c>
      <c r="C12" s="166">
        <v>-0.1312656</v>
      </c>
      <c r="D12" s="166">
        <v>0.08970468</v>
      </c>
      <c r="E12" s="166">
        <v>-0.3374761</v>
      </c>
      <c r="F12" s="166">
        <v>-0.05858116</v>
      </c>
      <c r="G12" s="166">
        <v>-0.04178969</v>
      </c>
    </row>
    <row r="13" spans="1:7" ht="12.75">
      <c r="A13" s="165" t="s">
        <v>100</v>
      </c>
      <c r="B13" s="166">
        <v>-0.08136214</v>
      </c>
      <c r="C13" s="166">
        <v>-0.09770182</v>
      </c>
      <c r="D13" s="166">
        <v>-0.08852195</v>
      </c>
      <c r="E13" s="166">
        <v>-0.1197885</v>
      </c>
      <c r="F13" s="166">
        <v>-0.1215348</v>
      </c>
      <c r="G13" s="166">
        <v>-0.1016234</v>
      </c>
    </row>
    <row r="14" spans="1:7" ht="12.75">
      <c r="A14" s="165" t="s">
        <v>102</v>
      </c>
      <c r="B14" s="166">
        <v>-0.1191437</v>
      </c>
      <c r="C14" s="166">
        <v>-0.08198771</v>
      </c>
      <c r="D14" s="166">
        <v>-0.06157764</v>
      </c>
      <c r="E14" s="166">
        <v>-0.08755717</v>
      </c>
      <c r="F14" s="166">
        <v>-0.04002249</v>
      </c>
      <c r="G14" s="166">
        <v>-0.07819621</v>
      </c>
    </row>
    <row r="15" spans="1:7" ht="12.75">
      <c r="A15" s="165" t="s">
        <v>104</v>
      </c>
      <c r="B15" s="166">
        <v>-0.2707676</v>
      </c>
      <c r="C15" s="166">
        <v>-0.1039934</v>
      </c>
      <c r="D15" s="166">
        <v>-0.01103799</v>
      </c>
      <c r="E15" s="166">
        <v>-0.1001724</v>
      </c>
      <c r="F15" s="166">
        <v>-0.2775006</v>
      </c>
      <c r="G15" s="166">
        <v>-0.1279983</v>
      </c>
    </row>
    <row r="16" spans="1:7" ht="12.75">
      <c r="A16" s="165" t="s">
        <v>106</v>
      </c>
      <c r="B16" s="166">
        <v>0.00788024</v>
      </c>
      <c r="C16" s="166">
        <v>-0.007807819</v>
      </c>
      <c r="D16" s="166">
        <v>0.01404401</v>
      </c>
      <c r="E16" s="166">
        <v>-0.02127957</v>
      </c>
      <c r="F16" s="166">
        <v>0.0241341</v>
      </c>
      <c r="G16" s="166">
        <v>0.0007464522</v>
      </c>
    </row>
    <row r="17" spans="1:7" ht="12.75">
      <c r="A17" s="165" t="s">
        <v>108</v>
      </c>
      <c r="B17" s="166">
        <v>0.001863582</v>
      </c>
      <c r="C17" s="166">
        <v>-0.01119205</v>
      </c>
      <c r="D17" s="166">
        <v>-0.004402147</v>
      </c>
      <c r="E17" s="166">
        <v>-0.008726848</v>
      </c>
      <c r="F17" s="166">
        <v>-0.0129871</v>
      </c>
      <c r="G17" s="166">
        <v>-0.007312656</v>
      </c>
    </row>
    <row r="18" spans="1:7" ht="12.75">
      <c r="A18" s="165" t="s">
        <v>110</v>
      </c>
      <c r="B18" s="166">
        <v>0.02530461</v>
      </c>
      <c r="C18" s="166">
        <v>0.02804588</v>
      </c>
      <c r="D18" s="166">
        <v>0.01744623</v>
      </c>
      <c r="E18" s="166">
        <v>0.04621691</v>
      </c>
      <c r="F18" s="166">
        <v>-0.003997705</v>
      </c>
      <c r="G18" s="166">
        <v>0.02519773</v>
      </c>
    </row>
    <row r="19" spans="1:7" ht="12.75">
      <c r="A19" s="165" t="s">
        <v>112</v>
      </c>
      <c r="B19" s="166">
        <v>-0.1952861</v>
      </c>
      <c r="C19" s="166">
        <v>-0.1669904</v>
      </c>
      <c r="D19" s="166">
        <v>-0.170583</v>
      </c>
      <c r="E19" s="166">
        <v>-0.1601653</v>
      </c>
      <c r="F19" s="166">
        <v>-0.1343093</v>
      </c>
      <c r="G19" s="166">
        <v>-0.165953</v>
      </c>
    </row>
    <row r="20" spans="1:7" ht="12.75">
      <c r="A20" s="165" t="s">
        <v>114</v>
      </c>
      <c r="B20" s="166">
        <v>0.0009357663</v>
      </c>
      <c r="C20" s="166">
        <v>0.002053371</v>
      </c>
      <c r="D20" s="166">
        <v>-0.0006537488</v>
      </c>
      <c r="E20" s="166">
        <v>0.004438863</v>
      </c>
      <c r="F20" s="166">
        <v>-0.003802013</v>
      </c>
      <c r="G20" s="166">
        <v>0.00103272</v>
      </c>
    </row>
    <row r="21" spans="1:7" ht="12.75">
      <c r="A21" s="165" t="s">
        <v>138</v>
      </c>
      <c r="B21" s="166">
        <v>-124.9582</v>
      </c>
      <c r="C21" s="166">
        <v>24.69242</v>
      </c>
      <c r="D21" s="166">
        <v>137.1177</v>
      </c>
      <c r="E21" s="166">
        <v>-6.727353</v>
      </c>
      <c r="F21" s="166">
        <v>-144.0994</v>
      </c>
      <c r="G21" s="166">
        <v>0.0007701754</v>
      </c>
    </row>
    <row r="22" spans="1:7" ht="12.75">
      <c r="A22" s="165" t="s">
        <v>139</v>
      </c>
      <c r="B22" s="166">
        <v>160.9936</v>
      </c>
      <c r="C22" s="166">
        <v>67.8733</v>
      </c>
      <c r="D22" s="166">
        <v>-2.454968</v>
      </c>
      <c r="E22" s="166">
        <v>-70.10694</v>
      </c>
      <c r="F22" s="166">
        <v>-165.178</v>
      </c>
      <c r="G22" s="166">
        <v>0</v>
      </c>
    </row>
    <row r="23" spans="1:7" ht="12.75">
      <c r="A23" s="165" t="s">
        <v>91</v>
      </c>
      <c r="B23" s="166">
        <v>3.068724</v>
      </c>
      <c r="C23" s="166">
        <v>1.865204</v>
      </c>
      <c r="D23" s="166">
        <v>1.171094</v>
      </c>
      <c r="E23" s="166">
        <v>0.5006601</v>
      </c>
      <c r="F23" s="166">
        <v>7.19914</v>
      </c>
      <c r="G23" s="166">
        <v>2.255706</v>
      </c>
    </row>
    <row r="24" spans="1:7" ht="12.75">
      <c r="A24" s="165" t="s">
        <v>140</v>
      </c>
      <c r="B24" s="166">
        <v>3.062451</v>
      </c>
      <c r="C24" s="166">
        <v>-2.402649</v>
      </c>
      <c r="D24" s="166">
        <v>-4.950915</v>
      </c>
      <c r="E24" s="166">
        <v>-3.192881</v>
      </c>
      <c r="F24" s="166">
        <v>-0.6294614</v>
      </c>
      <c r="G24" s="166">
        <v>-2.177743</v>
      </c>
    </row>
    <row r="25" spans="1:7" ht="12.75">
      <c r="A25" s="165" t="s">
        <v>95</v>
      </c>
      <c r="B25" s="166">
        <v>0.2010881</v>
      </c>
      <c r="C25" s="166">
        <v>0.6789904</v>
      </c>
      <c r="D25" s="166">
        <v>0.7711737</v>
      </c>
      <c r="E25" s="166">
        <v>-0.1485967</v>
      </c>
      <c r="F25" s="166">
        <v>-1.842743</v>
      </c>
      <c r="G25" s="166">
        <v>0.09657311</v>
      </c>
    </row>
    <row r="26" spans="1:7" ht="12.75">
      <c r="A26" s="165" t="s">
        <v>97</v>
      </c>
      <c r="B26" s="166">
        <v>-0.06143962</v>
      </c>
      <c r="C26" s="166">
        <v>-0.1215115</v>
      </c>
      <c r="D26" s="166">
        <v>-0.0643936</v>
      </c>
      <c r="E26" s="166">
        <v>0.2734062</v>
      </c>
      <c r="F26" s="166">
        <v>0.2986039</v>
      </c>
      <c r="G26" s="166">
        <v>0.05165779</v>
      </c>
    </row>
    <row r="27" spans="1:7" ht="12.75">
      <c r="A27" s="165" t="s">
        <v>99</v>
      </c>
      <c r="B27" s="166">
        <v>0.1153368</v>
      </c>
      <c r="C27" s="166">
        <v>0.1204316</v>
      </c>
      <c r="D27" s="166">
        <v>0.06088814</v>
      </c>
      <c r="E27" s="166">
        <v>0.100646</v>
      </c>
      <c r="F27" s="166">
        <v>0.3994167</v>
      </c>
      <c r="G27" s="166">
        <v>0.1378155</v>
      </c>
    </row>
    <row r="28" spans="1:7" ht="12.75">
      <c r="A28" s="165" t="s">
        <v>101</v>
      </c>
      <c r="B28" s="166">
        <v>0.3446418</v>
      </c>
      <c r="C28" s="166">
        <v>-0.1312944</v>
      </c>
      <c r="D28" s="166">
        <v>-0.2651374</v>
      </c>
      <c r="E28" s="166">
        <v>-0.1690244</v>
      </c>
      <c r="F28" s="166">
        <v>-0.2056851</v>
      </c>
      <c r="G28" s="166">
        <v>-0.1135436</v>
      </c>
    </row>
    <row r="29" spans="1:7" ht="12.75">
      <c r="A29" s="165" t="s">
        <v>103</v>
      </c>
      <c r="B29" s="166">
        <v>0.06653043</v>
      </c>
      <c r="C29" s="166">
        <v>0.1365509</v>
      </c>
      <c r="D29" s="166">
        <v>0.04034778</v>
      </c>
      <c r="E29" s="166">
        <v>0.03088201</v>
      </c>
      <c r="F29" s="166">
        <v>0.0004247448</v>
      </c>
      <c r="G29" s="166">
        <v>0.05968417</v>
      </c>
    </row>
    <row r="30" spans="1:7" ht="12.75">
      <c r="A30" s="165" t="s">
        <v>105</v>
      </c>
      <c r="B30" s="166">
        <v>-0.006514433</v>
      </c>
      <c r="C30" s="166">
        <v>0.08458593</v>
      </c>
      <c r="D30" s="166">
        <v>0.04017468</v>
      </c>
      <c r="E30" s="166">
        <v>0.0362562</v>
      </c>
      <c r="F30" s="166">
        <v>0.360422</v>
      </c>
      <c r="G30" s="166">
        <v>0.08587403</v>
      </c>
    </row>
    <row r="31" spans="1:7" ht="12.75">
      <c r="A31" s="165" t="s">
        <v>107</v>
      </c>
      <c r="B31" s="166">
        <v>0.03132651</v>
      </c>
      <c r="C31" s="166">
        <v>0.009640035</v>
      </c>
      <c r="D31" s="166">
        <v>0.01055788</v>
      </c>
      <c r="E31" s="166">
        <v>0.008362691</v>
      </c>
      <c r="F31" s="166">
        <v>0.02154588</v>
      </c>
      <c r="G31" s="166">
        <v>0.01428375</v>
      </c>
    </row>
    <row r="32" spans="1:7" ht="12.75">
      <c r="A32" s="165" t="s">
        <v>109</v>
      </c>
      <c r="B32" s="166">
        <v>0.01570855</v>
      </c>
      <c r="C32" s="166">
        <v>-0.00800363</v>
      </c>
      <c r="D32" s="166">
        <v>0.01158685</v>
      </c>
      <c r="E32" s="166">
        <v>-0.004708991</v>
      </c>
      <c r="F32" s="166">
        <v>-0.01784731</v>
      </c>
      <c r="G32" s="166">
        <v>-0.0003723785</v>
      </c>
    </row>
    <row r="33" spans="1:7" ht="12.75">
      <c r="A33" s="165" t="s">
        <v>141</v>
      </c>
      <c r="B33" s="166">
        <v>0.0818086</v>
      </c>
      <c r="C33" s="166">
        <v>0.03112758</v>
      </c>
      <c r="D33" s="166">
        <v>0.008213548</v>
      </c>
      <c r="E33" s="166">
        <v>0.03169543</v>
      </c>
      <c r="F33" s="166">
        <v>0.05204501</v>
      </c>
      <c r="G33" s="166">
        <v>0.03587895</v>
      </c>
    </row>
    <row r="34" spans="1:7" ht="12.75">
      <c r="A34" s="165" t="s">
        <v>113</v>
      </c>
      <c r="B34" s="166">
        <v>-0.01117937</v>
      </c>
      <c r="C34" s="166">
        <v>0.01192321</v>
      </c>
      <c r="D34" s="166">
        <v>0.01722511</v>
      </c>
      <c r="E34" s="166">
        <v>0.02301179</v>
      </c>
      <c r="F34" s="166">
        <v>0.00622108</v>
      </c>
      <c r="G34" s="166">
        <v>0.01177792</v>
      </c>
    </row>
    <row r="35" spans="1:7" ht="12.75">
      <c r="A35" s="165" t="s">
        <v>115</v>
      </c>
      <c r="B35" s="166">
        <v>-0.0004547161</v>
      </c>
      <c r="C35" s="166">
        <v>0.001466109</v>
      </c>
      <c r="D35" s="166">
        <v>0.0007225881</v>
      </c>
      <c r="E35" s="166">
        <v>-0.0003781108</v>
      </c>
      <c r="F35" s="166">
        <v>0.004266289</v>
      </c>
      <c r="G35" s="166">
        <v>0.0009386307</v>
      </c>
    </row>
    <row r="36" spans="1:6" ht="12.75">
      <c r="A36" s="165" t="s">
        <v>142</v>
      </c>
      <c r="B36" s="166">
        <v>21.35925</v>
      </c>
      <c r="C36" s="166">
        <v>21.3562</v>
      </c>
      <c r="D36" s="166">
        <v>21.36536</v>
      </c>
      <c r="E36" s="166">
        <v>21.36841</v>
      </c>
      <c r="F36" s="166">
        <v>21.37756</v>
      </c>
    </row>
    <row r="37" spans="1:6" ht="12.75">
      <c r="A37" s="165" t="s">
        <v>143</v>
      </c>
      <c r="B37" s="166">
        <v>-0.3056844</v>
      </c>
      <c r="C37" s="166">
        <v>-0.2965291</v>
      </c>
      <c r="D37" s="166">
        <v>-0.2909343</v>
      </c>
      <c r="E37" s="166">
        <v>-0.2883911</v>
      </c>
      <c r="F37" s="166">
        <v>-0.2843221</v>
      </c>
    </row>
    <row r="38" spans="1:7" ht="12.75">
      <c r="A38" s="165" t="s">
        <v>144</v>
      </c>
      <c r="B38" s="166">
        <v>2.733156E-05</v>
      </c>
      <c r="C38" s="166">
        <v>-1.36591E-05</v>
      </c>
      <c r="D38" s="166">
        <v>-3.773196E-05</v>
      </c>
      <c r="E38" s="166">
        <v>1.784013E-05</v>
      </c>
      <c r="F38" s="166">
        <v>2.998973E-05</v>
      </c>
      <c r="G38" s="166">
        <v>0.0002809188</v>
      </c>
    </row>
    <row r="39" spans="1:7" ht="12.75">
      <c r="A39" s="165" t="s">
        <v>145</v>
      </c>
      <c r="B39" s="166">
        <v>0.000211989</v>
      </c>
      <c r="C39" s="166">
        <v>-4.188441E-05</v>
      </c>
      <c r="D39" s="166">
        <v>-0.0002331094</v>
      </c>
      <c r="E39" s="166">
        <v>1.156157E-05</v>
      </c>
      <c r="F39" s="166">
        <v>0.0002454643</v>
      </c>
      <c r="G39" s="166">
        <v>0.0003605516</v>
      </c>
    </row>
    <row r="40" spans="2:5" ht="12.75">
      <c r="B40" s="165" t="s">
        <v>146</v>
      </c>
      <c r="C40" s="165">
        <v>0.003752</v>
      </c>
      <c r="D40" s="165" t="s">
        <v>147</v>
      </c>
      <c r="E40" s="165">
        <v>3.117193</v>
      </c>
    </row>
    <row r="42" ht="12.75">
      <c r="A42" s="165" t="s">
        <v>148</v>
      </c>
    </row>
    <row r="50" spans="1:7" ht="12.75">
      <c r="A50" s="165" t="s">
        <v>149</v>
      </c>
      <c r="B50" s="165">
        <f>-0.017/(B7*B7+B22*B22)*(B21*B22+B6*B7)</f>
        <v>2.7331562928289418E-05</v>
      </c>
      <c r="C50" s="165">
        <f>-0.017/(C7*C7+C22*C22)*(C21*C22+C6*C7)</f>
        <v>-1.3659097879913448E-05</v>
      </c>
      <c r="D50" s="165">
        <f>-0.017/(D7*D7+D22*D22)*(D21*D22+D6*D7)</f>
        <v>-3.773195339977031E-05</v>
      </c>
      <c r="E50" s="165">
        <f>-0.017/(E7*E7+E22*E22)*(E21*E22+E6*E7)</f>
        <v>1.7840141357446587E-05</v>
      </c>
      <c r="F50" s="165">
        <f>-0.017/(F7*F7+F22*F22)*(F21*F22+F6*F7)</f>
        <v>2.9989737050770433E-05</v>
      </c>
      <c r="G50" s="165">
        <f>(B50*B$4+C50*C$4+D50*D$4+E50*E$4+F50*F$4)/SUM(B$4:F$4)</f>
        <v>-1.1635507149104618E-07</v>
      </c>
    </row>
    <row r="51" spans="1:7" ht="12.75">
      <c r="A51" s="165" t="s">
        <v>150</v>
      </c>
      <c r="B51" s="165">
        <f>-0.017/(B7*B7+B22*B22)*(B21*B7-B6*B22)</f>
        <v>0.00021198891932905484</v>
      </c>
      <c r="C51" s="165">
        <f>-0.017/(C7*C7+C22*C22)*(C21*C7-C6*C22)</f>
        <v>-4.1884405195186724E-05</v>
      </c>
      <c r="D51" s="165">
        <f>-0.017/(D7*D7+D22*D22)*(D21*D7-D6*D22)</f>
        <v>-0.00023310935307381745</v>
      </c>
      <c r="E51" s="165">
        <f>-0.017/(E7*E7+E22*E22)*(E21*E7-E6*E22)</f>
        <v>1.1561571871973804E-05</v>
      </c>
      <c r="F51" s="165">
        <f>-0.017/(F7*F7+F22*F22)*(F21*F7-F6*F22)</f>
        <v>0.0002454643444786572</v>
      </c>
      <c r="G51" s="165">
        <f>(B51*B$4+C51*C$4+D51*D$4+E51*E$4+F51*F$4)/SUM(B$4:F$4)</f>
        <v>5.3047894638904795E-08</v>
      </c>
    </row>
    <row r="58" ht="12.75">
      <c r="A58" s="165" t="s">
        <v>152</v>
      </c>
    </row>
    <row r="60" spans="2:6" ht="12.75">
      <c r="B60" s="165" t="s">
        <v>83</v>
      </c>
      <c r="C60" s="165" t="s">
        <v>84</v>
      </c>
      <c r="D60" s="165" t="s">
        <v>85</v>
      </c>
      <c r="E60" s="165" t="s">
        <v>86</v>
      </c>
      <c r="F60" s="165" t="s">
        <v>87</v>
      </c>
    </row>
    <row r="61" spans="1:6" ht="12.75">
      <c r="A61" s="165" t="s">
        <v>154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157</v>
      </c>
      <c r="B62" s="165">
        <f>B7+(2/0.017)*(B8*B50-B23*B51)</f>
        <v>9999.936171079036</v>
      </c>
      <c r="C62" s="165">
        <f>C7+(2/0.017)*(C8*C50-C23*C51)</f>
        <v>10000.005902219416</v>
      </c>
      <c r="D62" s="165">
        <f>D7+(2/0.017)*(D8*D50-D23*D51)</f>
        <v>10000.02549321911</v>
      </c>
      <c r="E62" s="165">
        <f>E7+(2/0.017)*(E8*E50-E23*E51)</f>
        <v>10000.004409649939</v>
      </c>
      <c r="F62" s="165">
        <f>F7+(2/0.017)*(F8*F50-F23*F51)</f>
        <v>9999.7790534524</v>
      </c>
    </row>
    <row r="63" spans="1:6" ht="12.75">
      <c r="A63" s="165" t="s">
        <v>158</v>
      </c>
      <c r="B63" s="165">
        <f>B8+(3/0.017)*(B9*B50-B24*B51)</f>
        <v>3.835784645107405</v>
      </c>
      <c r="C63" s="165">
        <f>C8+(3/0.017)*(C9*C50-C24*C51)</f>
        <v>2.0294489322774902</v>
      </c>
      <c r="D63" s="165">
        <f>D8+(3/0.017)*(D9*D50-D24*D51)</f>
        <v>1.289879994386177</v>
      </c>
      <c r="E63" s="165">
        <f>E8+(3/0.017)*(E9*E50-E24*E51)</f>
        <v>2.4310775208039748</v>
      </c>
      <c r="F63" s="165">
        <f>F8+(3/0.017)*(F9*F50-F24*F51)</f>
        <v>-3.6778358698471374</v>
      </c>
    </row>
    <row r="64" spans="1:6" ht="12.75">
      <c r="A64" s="165" t="s">
        <v>159</v>
      </c>
      <c r="B64" s="165">
        <f>B9+(4/0.017)*(B10*B50-B25*B51)</f>
        <v>-0.16743709326179926</v>
      </c>
      <c r="C64" s="165">
        <f>C9+(4/0.017)*(C10*C50-C25*C51)</f>
        <v>-0.2614089902868832</v>
      </c>
      <c r="D64" s="165">
        <f>D9+(4/0.017)*(D10*D50-D25*D51)</f>
        <v>-0.16740681217030803</v>
      </c>
      <c r="E64" s="165">
        <f>E9+(4/0.017)*(E10*E50-E25*E51)</f>
        <v>-0.28773807184396727</v>
      </c>
      <c r="F64" s="165">
        <f>F9+(4/0.017)*(F10*F50-F25*F51)</f>
        <v>-1.1638311943174866</v>
      </c>
    </row>
    <row r="65" spans="1:6" ht="12.75">
      <c r="A65" s="165" t="s">
        <v>160</v>
      </c>
      <c r="B65" s="165">
        <f>B10+(5/0.017)*(B11*B50-B26*B51)</f>
        <v>-0.3615052598606116</v>
      </c>
      <c r="C65" s="165">
        <f>C10+(5/0.017)*(C11*C50-C26*C51)</f>
        <v>-0.8683963523472549</v>
      </c>
      <c r="D65" s="165">
        <f>D10+(5/0.017)*(D11*D50-D26*D51)</f>
        <v>-0.5439755537066405</v>
      </c>
      <c r="E65" s="165">
        <f>E10+(5/0.017)*(E11*E50-E26*E51)</f>
        <v>-1.2115453775202805</v>
      </c>
      <c r="F65" s="165">
        <f>F10+(5/0.017)*(F11*F50-F26*F51)</f>
        <v>0.0766249843569703</v>
      </c>
    </row>
    <row r="66" spans="1:6" ht="12.75">
      <c r="A66" s="165" t="s">
        <v>161</v>
      </c>
      <c r="B66" s="165">
        <f>B11+(6/0.017)*(B12*B50-B27*B51)</f>
        <v>4.922207439993571</v>
      </c>
      <c r="C66" s="165">
        <f>C11+(6/0.017)*(C12*C50-C27*C51)</f>
        <v>5.259608120804013</v>
      </c>
      <c r="D66" s="165">
        <f>D11+(6/0.017)*(D12*D50-D27*D51)</f>
        <v>4.1559728925128585</v>
      </c>
      <c r="E66" s="165">
        <f>E11+(6/0.017)*(E12*E50-E27*E51)</f>
        <v>4.411965383308922</v>
      </c>
      <c r="F66" s="165">
        <f>F11+(6/0.017)*(F12*F50-F27*F51)</f>
        <v>14.779096685168051</v>
      </c>
    </row>
    <row r="67" spans="1:6" ht="12.75">
      <c r="A67" s="165" t="s">
        <v>162</v>
      </c>
      <c r="B67" s="165">
        <f>B12+(7/0.017)*(B13*B50-B28*B51)</f>
        <v>0.3635398070406427</v>
      </c>
      <c r="C67" s="165">
        <f>C12+(7/0.017)*(C13*C50-C28*C51)</f>
        <v>-0.13298046375819017</v>
      </c>
      <c r="D67" s="165">
        <f>D12+(7/0.017)*(D13*D50-D28*D51)</f>
        <v>0.06563048518341645</v>
      </c>
      <c r="E67" s="165">
        <f>E12+(7/0.017)*(E13*E50-E28*E51)</f>
        <v>-0.33755139365705616</v>
      </c>
      <c r="F67" s="165">
        <f>F12+(7/0.017)*(F13*F50-F28*F51)</f>
        <v>-0.03929263465752567</v>
      </c>
    </row>
    <row r="68" spans="1:6" ht="12.75">
      <c r="A68" s="165" t="s">
        <v>163</v>
      </c>
      <c r="B68" s="165">
        <f>B13+(8/0.017)*(B14*B50-B29*B51)</f>
        <v>-0.08953159764341485</v>
      </c>
      <c r="C68" s="165">
        <f>C13+(8/0.017)*(C14*C50-C29*C51)</f>
        <v>-0.09448335817354946</v>
      </c>
      <c r="D68" s="165">
        <f>D13+(8/0.017)*(D14*D50-D29*D51)</f>
        <v>-0.0830024725709588</v>
      </c>
      <c r="E68" s="165">
        <f>E13+(8/0.017)*(E14*E50-E29*E51)</f>
        <v>-0.12069159499662306</v>
      </c>
      <c r="F68" s="165">
        <f>F13+(8/0.017)*(F14*F50-F29*F51)</f>
        <v>-0.12214869348476226</v>
      </c>
    </row>
    <row r="69" spans="1:6" ht="12.75">
      <c r="A69" s="165" t="s">
        <v>164</v>
      </c>
      <c r="B69" s="165">
        <f>B14+(9/0.017)*(B15*B50-B30*B51)</f>
        <v>-0.1223305015752749</v>
      </c>
      <c r="C69" s="165">
        <f>C14+(9/0.017)*(C15*C50-C30*C51)</f>
        <v>-0.07936008726126058</v>
      </c>
      <c r="D69" s="165">
        <f>D14+(9/0.017)*(D15*D50-D30*D51)</f>
        <v>-0.05639915721755925</v>
      </c>
      <c r="E69" s="165">
        <f>E14+(9/0.017)*(E15*E50-E30*E51)</f>
        <v>-0.0887251944672926</v>
      </c>
      <c r="F69" s="165">
        <f>F14+(9/0.017)*(F15*F50-F30*F51)</f>
        <v>-0.09126580058353286</v>
      </c>
    </row>
    <row r="70" spans="1:6" ht="12.75">
      <c r="A70" s="165" t="s">
        <v>165</v>
      </c>
      <c r="B70" s="165">
        <f>B15+(10/0.017)*(B16*B50-B31*B51)</f>
        <v>-0.2745473021916475</v>
      </c>
      <c r="C70" s="165">
        <f>C15+(10/0.017)*(C16*C50-C31*C51)</f>
        <v>-0.10369315594353798</v>
      </c>
      <c r="D70" s="165">
        <f>D15+(10/0.017)*(D16*D50-D31*D51)</f>
        <v>-0.009901970796608772</v>
      </c>
      <c r="E70" s="165">
        <f>E15+(10/0.017)*(E16*E50-E31*E51)</f>
        <v>-0.10045258611168546</v>
      </c>
      <c r="F70" s="165">
        <f>F15+(10/0.017)*(F16*F50-F31*F51)</f>
        <v>-0.28018587646909343</v>
      </c>
    </row>
    <row r="71" spans="1:6" ht="12.75">
      <c r="A71" s="165" t="s">
        <v>166</v>
      </c>
      <c r="B71" s="165">
        <f>B16+(11/0.017)*(B17*B50-B32*B51)</f>
        <v>0.005758466868809684</v>
      </c>
      <c r="C71" s="165">
        <f>C16+(11/0.017)*(C17*C50-C32*C51)</f>
        <v>-0.007925812748869419</v>
      </c>
      <c r="D71" s="165">
        <f>D16+(11/0.017)*(D17*D50-D32*D51)</f>
        <v>0.015899195402611133</v>
      </c>
      <c r="E71" s="165">
        <f>E16+(11/0.017)*(E17*E50-E32*E51)</f>
        <v>-0.02134508138261022</v>
      </c>
      <c r="F71" s="165">
        <f>F16+(11/0.017)*(F17*F50-F32*F51)</f>
        <v>0.026716769640815208</v>
      </c>
    </row>
    <row r="72" spans="1:6" ht="12.75">
      <c r="A72" s="165" t="s">
        <v>167</v>
      </c>
      <c r="B72" s="165">
        <f>B17+(12/0.017)*(B18*B50-B33*B51)</f>
        <v>-0.00988999599898736</v>
      </c>
      <c r="C72" s="165">
        <f>C17+(12/0.017)*(C18*C50-C33*C51)</f>
        <v>-0.010542159115234859</v>
      </c>
      <c r="D72" s="165">
        <f>D17+(12/0.017)*(D18*D50-D33*D51)</f>
        <v>-0.0035152943952759495</v>
      </c>
      <c r="E72" s="165">
        <f>E17+(12/0.017)*(E18*E50-E33*E51)</f>
        <v>-0.008403506436084986</v>
      </c>
      <c r="F72" s="165">
        <f>F17+(12/0.017)*(F18*F50-F33*F51)</f>
        <v>-0.022089512506911796</v>
      </c>
    </row>
    <row r="73" spans="1:6" ht="12.75">
      <c r="A73" s="165" t="s">
        <v>168</v>
      </c>
      <c r="B73" s="165">
        <f>B18+(13/0.017)*(B19*B50-B34*B51)</f>
        <v>0.02303529041416604</v>
      </c>
      <c r="C73" s="165">
        <f>C18+(13/0.017)*(C19*C50-C34*C51)</f>
        <v>0.030172018359244213</v>
      </c>
      <c r="D73" s="165">
        <f>D18+(13/0.017)*(D19*D50-D34*D51)</f>
        <v>0.025438755454219922</v>
      </c>
      <c r="E73" s="165">
        <f>E18+(13/0.017)*(E19*E50-E34*E51)</f>
        <v>0.04382840925087689</v>
      </c>
      <c r="F73" s="165">
        <f>F18+(13/0.017)*(F19*F50-F34*F51)</f>
        <v>-0.00824561093471119</v>
      </c>
    </row>
    <row r="74" spans="1:6" ht="12.75">
      <c r="A74" s="165" t="s">
        <v>169</v>
      </c>
      <c r="B74" s="165">
        <f>B19+(14/0.017)*(B20*B50-B35*B51)</f>
        <v>-0.19518565351634282</v>
      </c>
      <c r="C74" s="165">
        <f>C19+(14/0.017)*(C20*C50-C35*C51)</f>
        <v>-0.16696292713463476</v>
      </c>
      <c r="D74" s="165">
        <f>D19+(14/0.017)*(D20*D50-D35*D51)</f>
        <v>-0.17042396884158753</v>
      </c>
      <c r="E74" s="165">
        <f>E19+(14/0.017)*(E20*E50-E35*E51)</f>
        <v>-0.16009648464823145</v>
      </c>
      <c r="F74" s="165">
        <f>F19+(14/0.017)*(F20*F50-F35*F51)</f>
        <v>-0.1352656179317795</v>
      </c>
    </row>
    <row r="75" spans="1:6" ht="12.75">
      <c r="A75" s="165" t="s">
        <v>170</v>
      </c>
      <c r="B75" s="166">
        <f>B20</f>
        <v>0.0009357663</v>
      </c>
      <c r="C75" s="166">
        <f>C20</f>
        <v>0.002053371</v>
      </c>
      <c r="D75" s="166">
        <f>D20</f>
        <v>-0.0006537488</v>
      </c>
      <c r="E75" s="166">
        <f>E20</f>
        <v>0.004438863</v>
      </c>
      <c r="F75" s="166">
        <f>F20</f>
        <v>-0.003802013</v>
      </c>
    </row>
    <row r="78" ht="12.75">
      <c r="A78" s="165" t="s">
        <v>152</v>
      </c>
    </row>
    <row r="80" spans="2:6" ht="12.75">
      <c r="B80" s="165" t="s">
        <v>83</v>
      </c>
      <c r="C80" s="165" t="s">
        <v>84</v>
      </c>
      <c r="D80" s="165" t="s">
        <v>85</v>
      </c>
      <c r="E80" s="165" t="s">
        <v>86</v>
      </c>
      <c r="F80" s="165" t="s">
        <v>87</v>
      </c>
    </row>
    <row r="81" spans="1:6" ht="12.75">
      <c r="A81" s="165" t="s">
        <v>171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172</v>
      </c>
      <c r="B82" s="165">
        <f>B22+(2/0.017)*(B8*B51+B23*B50)</f>
        <v>161.10200727133056</v>
      </c>
      <c r="C82" s="165">
        <f>C22+(2/0.017)*(C8*C51+C23*C50)</f>
        <v>67.86021814789692</v>
      </c>
      <c r="D82" s="165">
        <f>D22+(2/0.017)*(D8*D51+D23*D50)</f>
        <v>-2.5010873873109714</v>
      </c>
      <c r="E82" s="165">
        <f>E22+(2/0.017)*(E8*E51+E23*E50)</f>
        <v>-70.10259012850597</v>
      </c>
      <c r="F82" s="165">
        <f>F22+(2/0.017)*(F8*F51+F23*F50)</f>
        <v>-165.25940239437713</v>
      </c>
    </row>
    <row r="83" spans="1:6" ht="12.75">
      <c r="A83" s="165" t="s">
        <v>173</v>
      </c>
      <c r="B83" s="165">
        <f>B23+(3/0.017)*(B9*B51+B24*B50)</f>
        <v>3.0777037262010145</v>
      </c>
      <c r="C83" s="165">
        <f>C23+(3/0.017)*(C9*C51+C24*C50)</f>
        <v>1.8729971356851325</v>
      </c>
      <c r="D83" s="165">
        <f>D23+(3/0.017)*(D9*D51+D24*D50)</f>
        <v>1.2128669199343278</v>
      </c>
      <c r="E83" s="165">
        <f>E23+(3/0.017)*(E9*E51+E24*E50)</f>
        <v>0.49003075607513186</v>
      </c>
      <c r="F83" s="165">
        <f>F23+(3/0.017)*(F9*F51+F24*F50)</f>
        <v>7.140794419844142</v>
      </c>
    </row>
    <row r="84" spans="1:6" ht="12.75">
      <c r="A84" s="165" t="s">
        <v>174</v>
      </c>
      <c r="B84" s="165">
        <f>B24+(4/0.017)*(B10*B51+B25*B50)</f>
        <v>3.0435457398348955</v>
      </c>
      <c r="C84" s="165">
        <f>C24+(4/0.017)*(C10*C51+C25*C50)</f>
        <v>-2.3964959255120517</v>
      </c>
      <c r="D84" s="165">
        <f>D24+(4/0.017)*(D10*D51+D25*D50)</f>
        <v>-4.930694467504149</v>
      </c>
      <c r="E84" s="165">
        <f>E24+(4/0.017)*(E10*E51+E25*E50)</f>
        <v>-3.1968610966390307</v>
      </c>
      <c r="F84" s="165">
        <f>F24+(4/0.017)*(F10*F51+F25*F50)</f>
        <v>-0.6443408806844909</v>
      </c>
    </row>
    <row r="85" spans="1:6" ht="12.75">
      <c r="A85" s="165" t="s">
        <v>175</v>
      </c>
      <c r="B85" s="165">
        <f>B25+(5/0.017)*(B11*B51+B26*B50)</f>
        <v>0.5077930224560094</v>
      </c>
      <c r="C85" s="165">
        <f>C25+(5/0.017)*(C11*C51+C26*C50)</f>
        <v>0.6147154740888016</v>
      </c>
      <c r="D85" s="165">
        <f>D25+(5/0.017)*(D11*D51+D26*D50)</f>
        <v>0.48720982678651986</v>
      </c>
      <c r="E85" s="165">
        <f>E25+(5/0.017)*(E11*E51+E26*E50)</f>
        <v>-0.13215076592752867</v>
      </c>
      <c r="F85" s="165">
        <f>F25+(5/0.017)*(F11*F51+F26*F50)</f>
        <v>-0.7705834705469423</v>
      </c>
    </row>
    <row r="86" spans="1:6" ht="12.75">
      <c r="A86" s="165" t="s">
        <v>176</v>
      </c>
      <c r="B86" s="165">
        <f>B26+(6/0.017)*(B12*B51+B27*B50)</f>
        <v>-0.030807766194398088</v>
      </c>
      <c r="C86" s="165">
        <f>C26+(6/0.017)*(C12*C51+C27*C50)</f>
        <v>-0.12015161956481597</v>
      </c>
      <c r="D86" s="165">
        <f>D26+(6/0.017)*(D12*D51+D27*D50)</f>
        <v>-0.07258481001773147</v>
      </c>
      <c r="E86" s="165">
        <f>E26+(6/0.017)*(E12*E51+E27*E50)</f>
        <v>0.27266282988770757</v>
      </c>
      <c r="F86" s="165">
        <f>F26+(6/0.017)*(F12*F51+F27*F50)</f>
        <v>0.2977564232124072</v>
      </c>
    </row>
    <row r="87" spans="1:6" ht="12.75">
      <c r="A87" s="165" t="s">
        <v>177</v>
      </c>
      <c r="B87" s="165">
        <f>B27+(7/0.017)*(B13*B51+B28*B50)</f>
        <v>0.11211339343415516</v>
      </c>
      <c r="C87" s="165">
        <f>C27+(7/0.017)*(C13*C51+C28*C50)</f>
        <v>0.122855059985006</v>
      </c>
      <c r="D87" s="165">
        <f>D27+(7/0.017)*(D13*D51+D28*D50)</f>
        <v>0.07350438268415785</v>
      </c>
      <c r="E87" s="165">
        <f>E27+(7/0.017)*(E13*E51+E28*E50)</f>
        <v>0.0988340860125115</v>
      </c>
      <c r="F87" s="165">
        <f>F27+(7/0.017)*(F13*F51+F28*F50)</f>
        <v>0.38459279914451516</v>
      </c>
    </row>
    <row r="88" spans="1:6" ht="12.75">
      <c r="A88" s="165" t="s">
        <v>178</v>
      </c>
      <c r="B88" s="165">
        <f>B28+(8/0.017)*(B14*B51+B29*B50)</f>
        <v>0.33361179361238874</v>
      </c>
      <c r="C88" s="165">
        <f>C28+(8/0.017)*(C14*C51+C29*C50)</f>
        <v>-0.13055612030212932</v>
      </c>
      <c r="D88" s="165">
        <f>D28+(8/0.017)*(D14*D51+D29*D50)</f>
        <v>-0.25909884787319143</v>
      </c>
      <c r="E88" s="165">
        <f>E28+(8/0.017)*(E14*E51+E29*E50)</f>
        <v>-0.169241510160028</v>
      </c>
      <c r="F88" s="165">
        <f>F28+(8/0.017)*(F14*F51+F29*F50)</f>
        <v>-0.21030220884112374</v>
      </c>
    </row>
    <row r="89" spans="1:6" ht="12.75">
      <c r="A89" s="165" t="s">
        <v>179</v>
      </c>
      <c r="B89" s="165">
        <f>B29+(9/0.017)*(B15*B51+B30*B50)</f>
        <v>0.03604807559180996</v>
      </c>
      <c r="C89" s="165">
        <f>C29+(9/0.017)*(C15*C51+C30*C50)</f>
        <v>0.13824519457969556</v>
      </c>
      <c r="D89" s="165">
        <f>D29+(9/0.017)*(D15*D51+D30*D50)</f>
        <v>0.04090746858768948</v>
      </c>
      <c r="E89" s="165">
        <f>E29+(9/0.017)*(E15*E51+E30*E50)</f>
        <v>0.03061130341047422</v>
      </c>
      <c r="F89" s="165">
        <f>F29+(9/0.017)*(F15*F51+F30*F50)</f>
        <v>-0.029914542069240675</v>
      </c>
    </row>
    <row r="90" spans="1:6" ht="12.75">
      <c r="A90" s="165" t="s">
        <v>180</v>
      </c>
      <c r="B90" s="165">
        <f>B30+(10/0.017)*(B16*B51+B31*B50)</f>
        <v>-0.005028123564092777</v>
      </c>
      <c r="C90" s="165">
        <f>C30+(10/0.017)*(C16*C51+C31*C50)</f>
        <v>0.0847008427488564</v>
      </c>
      <c r="D90" s="165">
        <f>D30+(10/0.017)*(D16*D51+D31*D50)</f>
        <v>0.03801458616363377</v>
      </c>
      <c r="E90" s="165">
        <f>E30+(10/0.017)*(E16*E51+E31*E50)</f>
        <v>0.036199239006828796</v>
      </c>
      <c r="F90" s="165">
        <f>F30+(10/0.017)*(F16*F51+F31*F50)</f>
        <v>0.36428683312459403</v>
      </c>
    </row>
    <row r="91" spans="1:6" ht="12.75">
      <c r="A91" s="165" t="s">
        <v>181</v>
      </c>
      <c r="B91" s="165">
        <f>B31+(11/0.017)*(B17*B51+B32*B50)</f>
        <v>0.031859943972240054</v>
      </c>
      <c r="C91" s="165">
        <f>C31+(11/0.017)*(C17*C51+C32*C50)</f>
        <v>0.010014096291177848</v>
      </c>
      <c r="D91" s="165">
        <f>D31+(11/0.017)*(D17*D51+D32*D50)</f>
        <v>0.010938989335624288</v>
      </c>
      <c r="E91" s="165">
        <f>E31+(11/0.017)*(E17*E51+E32*E50)</f>
        <v>0.008243046494114937</v>
      </c>
      <c r="F91" s="165">
        <f>F31+(11/0.017)*(F17*F51+F32*F50)</f>
        <v>0.01913681133273142</v>
      </c>
    </row>
    <row r="92" spans="1:6" ht="12.75">
      <c r="A92" s="165" t="s">
        <v>182</v>
      </c>
      <c r="B92" s="165">
        <f>B32+(12/0.017)*(B18*B51+B33*B50)</f>
        <v>0.021073435054295382</v>
      </c>
      <c r="C92" s="165">
        <f>C32+(12/0.017)*(C18*C51+C33*C50)</f>
        <v>-0.009132942703972061</v>
      </c>
      <c r="D92" s="165">
        <f>D32+(12/0.017)*(D18*D51+D33*D50)</f>
        <v>0.008497349341698962</v>
      </c>
      <c r="E92" s="165">
        <f>E32+(12/0.017)*(E18*E51+E33*E50)</f>
        <v>-0.003932667885940754</v>
      </c>
      <c r="F92" s="165">
        <f>F32+(12/0.017)*(F18*F51+F33*F50)</f>
        <v>-0.01743823555708659</v>
      </c>
    </row>
    <row r="93" spans="1:6" ht="12.75">
      <c r="A93" s="165" t="s">
        <v>183</v>
      </c>
      <c r="B93" s="165">
        <f>B33+(13/0.017)*(B19*B51+B34*B50)</f>
        <v>0.04991727609427578</v>
      </c>
      <c r="C93" s="165">
        <f>C33+(13/0.017)*(C19*C51+C34*C50)</f>
        <v>0.036351617217844474</v>
      </c>
      <c r="D93" s="165">
        <f>D33+(13/0.017)*(D19*D51+D34*D50)</f>
        <v>0.038124678850490944</v>
      </c>
      <c r="E93" s="165">
        <f>E33+(13/0.017)*(E19*E51+E34*E50)</f>
        <v>0.030593313674637714</v>
      </c>
      <c r="F93" s="165">
        <f>F33+(13/0.017)*(F19*F51+F34*F50)</f>
        <v>0.026976746207605797</v>
      </c>
    </row>
    <row r="94" spans="1:6" ht="12.75">
      <c r="A94" s="165" t="s">
        <v>184</v>
      </c>
      <c r="B94" s="165">
        <f>B34+(14/0.017)*(B20*B51+B35*B50)</f>
        <v>-0.011026239659428323</v>
      </c>
      <c r="C94" s="165">
        <f>C34+(14/0.017)*(C20*C51+C35*C50)</f>
        <v>0.011835891218212274</v>
      </c>
      <c r="D94" s="165">
        <f>D34+(14/0.017)*(D20*D51+D35*D50)</f>
        <v>0.017328158481796526</v>
      </c>
      <c r="E94" s="165">
        <f>E34+(14/0.017)*(E20*E51+E35*E50)</f>
        <v>0.02304849856286882</v>
      </c>
      <c r="F94" s="165">
        <f>F34+(14/0.017)*(F20*F51+F35*F50)</f>
        <v>0.005557880446569157</v>
      </c>
    </row>
    <row r="95" spans="1:6" ht="12.75">
      <c r="A95" s="165" t="s">
        <v>185</v>
      </c>
      <c r="B95" s="166">
        <f>B35</f>
        <v>-0.0004547161</v>
      </c>
      <c r="C95" s="166">
        <f>C35</f>
        <v>0.001466109</v>
      </c>
      <c r="D95" s="166">
        <f>D35</f>
        <v>0.0007225881</v>
      </c>
      <c r="E95" s="166">
        <f>E35</f>
        <v>-0.0003781108</v>
      </c>
      <c r="F95" s="166">
        <f>F35</f>
        <v>0.004266289</v>
      </c>
    </row>
    <row r="98" ht="12.75">
      <c r="A98" s="165" t="s">
        <v>153</v>
      </c>
    </row>
    <row r="100" spans="2:11" ht="12.75">
      <c r="B100" s="165" t="s">
        <v>83</v>
      </c>
      <c r="C100" s="165" t="s">
        <v>84</v>
      </c>
      <c r="D100" s="165" t="s">
        <v>85</v>
      </c>
      <c r="E100" s="165" t="s">
        <v>86</v>
      </c>
      <c r="F100" s="165" t="s">
        <v>87</v>
      </c>
      <c r="G100" s="165" t="s">
        <v>155</v>
      </c>
      <c r="H100" s="165" t="s">
        <v>156</v>
      </c>
      <c r="I100" s="165" t="s">
        <v>151</v>
      </c>
      <c r="K100" s="165" t="s">
        <v>186</v>
      </c>
    </row>
    <row r="101" spans="1:9" ht="12.75">
      <c r="A101" s="165" t="s">
        <v>154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157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10000.000000000004</v>
      </c>
    </row>
    <row r="103" spans="1:11" ht="12.75">
      <c r="A103" s="165" t="s">
        <v>158</v>
      </c>
      <c r="B103" s="165">
        <f>B63*10000/B62</f>
        <v>3.835809128663176</v>
      </c>
      <c r="C103" s="165">
        <f>C63*10000/C62</f>
        <v>2.029447734452908</v>
      </c>
      <c r="D103" s="165">
        <f>D63*10000/D62</f>
        <v>1.2898767060752279</v>
      </c>
      <c r="E103" s="165">
        <f>E63*10000/E62</f>
        <v>2.4310764487843635</v>
      </c>
      <c r="F103" s="165">
        <f>F63*10000/F62</f>
        <v>-3.677917132156409</v>
      </c>
      <c r="G103" s="165">
        <f>AVERAGE(C103:E103)</f>
        <v>1.9168002964374997</v>
      </c>
      <c r="H103" s="165">
        <f>STDEV(C103:E103)</f>
        <v>0.5788793459421632</v>
      </c>
      <c r="I103" s="165">
        <f>(B103*B4+C103*C4+D103*D4+E103*E4+F103*F4)/SUM(B4:F4)</f>
        <v>1.4486076148898988</v>
      </c>
      <c r="K103" s="165">
        <f>(LN(H103)+LN(H123))/2-LN(K114*K115^3)</f>
        <v>-4.336168463136661</v>
      </c>
    </row>
    <row r="104" spans="1:11" ht="12.75">
      <c r="A104" s="165" t="s">
        <v>159</v>
      </c>
      <c r="B104" s="165">
        <f>B64*10000/B62</f>
        <v>-0.16743816200152012</v>
      </c>
      <c r="C104" s="165">
        <f>C64*10000/C62</f>
        <v>-0.2614088359976524</v>
      </c>
      <c r="D104" s="165">
        <f>D64*10000/D62</f>
        <v>-0.1674063853975417</v>
      </c>
      <c r="E104" s="165">
        <f>E64*10000/E62</f>
        <v>-0.28773794496160615</v>
      </c>
      <c r="F104" s="165">
        <f>F64*10000/F62</f>
        <v>-1.1638569093340885</v>
      </c>
      <c r="G104" s="165">
        <f>AVERAGE(C104:E104)</f>
        <v>-0.2388510554522668</v>
      </c>
      <c r="H104" s="165">
        <f>STDEV(C104:E104)</f>
        <v>0.06325789400644244</v>
      </c>
      <c r="I104" s="165">
        <f>(B104*B4+C104*C4+D104*D4+E104*E4+F104*F4)/SUM(B4:F4)</f>
        <v>-0.35185469118356566</v>
      </c>
      <c r="K104" s="165">
        <f>(LN(H104)+LN(H124))/2-LN(K114*K115^4)</f>
        <v>-4.538084107256109</v>
      </c>
    </row>
    <row r="105" spans="1:11" ht="12.75">
      <c r="A105" s="165" t="s">
        <v>160</v>
      </c>
      <c r="B105" s="165">
        <f>B65*10000/B62</f>
        <v>-0.36150756732440587</v>
      </c>
      <c r="C105" s="165">
        <f>C65*10000/C62</f>
        <v>-0.8683958398009761</v>
      </c>
      <c r="D105" s="165">
        <f>D65*10000/D62</f>
        <v>-0.5439741669413778</v>
      </c>
      <c r="E105" s="165">
        <f>E65*10000/E62</f>
        <v>-1.211544843271416</v>
      </c>
      <c r="F105" s="165">
        <f>F65*10000/F62</f>
        <v>0.0766266773969528</v>
      </c>
      <c r="G105" s="165">
        <f>AVERAGE(C105:E105)</f>
        <v>-0.8746382833379233</v>
      </c>
      <c r="H105" s="165">
        <f>STDEV(C105:E105)</f>
        <v>0.33382911504229296</v>
      </c>
      <c r="I105" s="165">
        <f>(B105*B4+C105*C4+D105*D4+E105*E4+F105*F4)/SUM(B4:F4)</f>
        <v>-0.6733495856674772</v>
      </c>
      <c r="K105" s="165">
        <f>(LN(H105)+LN(H125))/2-LN(K114*K115^5)</f>
        <v>-3.7032400792318776</v>
      </c>
    </row>
    <row r="106" spans="1:11" ht="12.75">
      <c r="A106" s="165" t="s">
        <v>161</v>
      </c>
      <c r="B106" s="165">
        <f>B66*10000/B62</f>
        <v>4.922238858113075</v>
      </c>
      <c r="C106" s="165">
        <f>C66*10000/C62</f>
        <v>5.259605016469728</v>
      </c>
      <c r="D106" s="165">
        <f>D66*10000/D62</f>
        <v>4.155962297627112</v>
      </c>
      <c r="E106" s="165">
        <f>E66*10000/E62</f>
        <v>4.411963437787492</v>
      </c>
      <c r="F106" s="165">
        <f>F66*10000/F62</f>
        <v>14.779423231421902</v>
      </c>
      <c r="G106" s="165">
        <f>AVERAGE(C106:E106)</f>
        <v>4.609176917294778</v>
      </c>
      <c r="H106" s="165">
        <f>STDEV(C106:E106)</f>
        <v>0.5776475396711279</v>
      </c>
      <c r="I106" s="165">
        <f>(B106*B4+C106*C4+D106*D4+E106*E4+F106*F4)/SUM(B4:F4)</f>
        <v>6.01083584751886</v>
      </c>
      <c r="K106" s="165">
        <f>(LN(H106)+LN(H126))/2-LN(K114*K115^6)</f>
        <v>-3.1490023360333095</v>
      </c>
    </row>
    <row r="107" spans="1:11" ht="12.75">
      <c r="A107" s="165" t="s">
        <v>162</v>
      </c>
      <c r="B107" s="165">
        <f>B67*10000/B62</f>
        <v>0.36354212749081494</v>
      </c>
      <c r="C107" s="165">
        <f>C67*10000/C62</f>
        <v>-0.13298038527024897</v>
      </c>
      <c r="D107" s="165">
        <f>D67*10000/D62</f>
        <v>0.06563031787060909</v>
      </c>
      <c r="E107" s="165">
        <f>E67*10000/E62</f>
        <v>-0.3375512448087736</v>
      </c>
      <c r="F107" s="165">
        <f>F67*10000/F62</f>
        <v>-0.0392935028339051</v>
      </c>
      <c r="G107" s="165">
        <f>AVERAGE(C107:E107)</f>
        <v>-0.13496710406947116</v>
      </c>
      <c r="H107" s="165">
        <f>STDEV(C107:E107)</f>
        <v>0.20159812352757067</v>
      </c>
      <c r="I107" s="165">
        <f>(B107*B4+C107*C4+D107*D4+E107*E4+F107*F4)/SUM(B4:F4)</f>
        <v>-0.04993031603651117</v>
      </c>
      <c r="K107" s="165">
        <f>(LN(H107)+LN(H127))/2-LN(K114*K115^7)</f>
        <v>-4.164954290693964</v>
      </c>
    </row>
    <row r="108" spans="1:9" ht="12.75">
      <c r="A108" s="165" t="s">
        <v>163</v>
      </c>
      <c r="B108" s="165">
        <f>B68*10000/B62</f>
        <v>-0.08953216911758949</v>
      </c>
      <c r="C108" s="165">
        <f>C68*10000/C62</f>
        <v>-0.09448330240743126</v>
      </c>
      <c r="D108" s="165">
        <f>D68*10000/D62</f>
        <v>-0.08300226097147624</v>
      </c>
      <c r="E108" s="165">
        <f>E68*10000/E62</f>
        <v>-0.12069154177587807</v>
      </c>
      <c r="F108" s="165">
        <f>F68*10000/F62</f>
        <v>-0.12215139237760532</v>
      </c>
      <c r="G108" s="165">
        <f>AVERAGE(C108:E108)</f>
        <v>-0.09939236838492853</v>
      </c>
      <c r="H108" s="165">
        <f>STDEV(C108:E108)</f>
        <v>0.01931824703400455</v>
      </c>
      <c r="I108" s="165">
        <f>(B108*B4+C108*C4+D108*D4+E108*E4+F108*F4)/SUM(B4:F4)</f>
        <v>-0.10099569931839489</v>
      </c>
    </row>
    <row r="109" spans="1:9" ht="12.75">
      <c r="A109" s="165" t="s">
        <v>164</v>
      </c>
      <c r="B109" s="165">
        <f>B69*10000/B62</f>
        <v>-0.1223312824026505</v>
      </c>
      <c r="C109" s="165">
        <f>C69*10000/C62</f>
        <v>-0.07936004042122344</v>
      </c>
      <c r="D109" s="165">
        <f>D69*10000/D62</f>
        <v>-0.05639901343831854</v>
      </c>
      <c r="E109" s="165">
        <f>E69*10000/E62</f>
        <v>-0.08872515534260501</v>
      </c>
      <c r="F109" s="165">
        <f>F69*10000/F62</f>
        <v>-0.0912678171144427</v>
      </c>
      <c r="G109" s="165">
        <f>AVERAGE(C109:E109)</f>
        <v>-0.074828069734049</v>
      </c>
      <c r="H109" s="165">
        <f>STDEV(C109:E109)</f>
        <v>0.016632766797381304</v>
      </c>
      <c r="I109" s="165">
        <f>(B109*B4+C109*C4+D109*D4+E109*E4+F109*F4)/SUM(B4:F4)</f>
        <v>-0.0839006939975378</v>
      </c>
    </row>
    <row r="110" spans="1:11" ht="12.75">
      <c r="A110" s="165" t="s">
        <v>165</v>
      </c>
      <c r="B110" s="165">
        <f>B70*10000/B62</f>
        <v>-0.27454905460863827</v>
      </c>
      <c r="C110" s="165">
        <f>C70*10000/C62</f>
        <v>-0.10369309474159827</v>
      </c>
      <c r="D110" s="165">
        <f>D70*10000/D62</f>
        <v>-0.009901945553362013</v>
      </c>
      <c r="E110" s="165">
        <f>E70*10000/E62</f>
        <v>-0.10045254181563099</v>
      </c>
      <c r="F110" s="165">
        <f>F70*10000/F62</f>
        <v>-0.2801920672160851</v>
      </c>
      <c r="G110" s="165">
        <f>AVERAGE(C110:E110)</f>
        <v>-0.07134919403686375</v>
      </c>
      <c r="H110" s="165">
        <f>STDEV(C110:E110)</f>
        <v>0.05323953939941071</v>
      </c>
      <c r="I110" s="165">
        <f>(B110*B4+C110*C4+D110*D4+E110*E4+F110*F4)/SUM(B4:F4)</f>
        <v>-0.12863571105145344</v>
      </c>
      <c r="K110" s="165">
        <f>EXP(AVERAGE(K103:K107))</f>
        <v>0.018717621824911993</v>
      </c>
    </row>
    <row r="111" spans="1:9" ht="12.75">
      <c r="A111" s="165" t="s">
        <v>166</v>
      </c>
      <c r="B111" s="165">
        <f>B71*10000/B62</f>
        <v>0.005758503624716957</v>
      </c>
      <c r="C111" s="165">
        <f>C71*10000/C62</f>
        <v>-0.00792580807088359</v>
      </c>
      <c r="D111" s="165">
        <f>D71*10000/D62</f>
        <v>0.015899154870547258</v>
      </c>
      <c r="E111" s="165">
        <f>E71*10000/E62</f>
        <v>-0.02134507197018069</v>
      </c>
      <c r="F111" s="165">
        <f>F71*10000/F62</f>
        <v>0.026717359951659442</v>
      </c>
      <c r="G111" s="165">
        <f>AVERAGE(C111:E111)</f>
        <v>-0.004457241723505674</v>
      </c>
      <c r="H111" s="165">
        <f>STDEV(C111:E111)</f>
        <v>0.018862829125571856</v>
      </c>
      <c r="I111" s="165">
        <f>(B111*B4+C111*C4+D111*D4+E111*E4+F111*F4)/SUM(B4:F4)</f>
        <v>0.0011847065427875254</v>
      </c>
    </row>
    <row r="112" spans="1:9" ht="12.75">
      <c r="A112" s="165" t="s">
        <v>167</v>
      </c>
      <c r="B112" s="165">
        <f>B72*10000/B62</f>
        <v>-0.00989005912616759</v>
      </c>
      <c r="C112" s="165">
        <f>C72*10000/C62</f>
        <v>-0.010542152893024908</v>
      </c>
      <c r="D112" s="165">
        <f>D72*10000/D62</f>
        <v>-0.00351528543368177</v>
      </c>
      <c r="E112" s="165">
        <f>E72*10000/E62</f>
        <v>-0.008403502730434456</v>
      </c>
      <c r="F112" s="165">
        <f>F72*10000/F62</f>
        <v>-0.022090000577848216</v>
      </c>
      <c r="G112" s="165">
        <f>AVERAGE(C112:E112)</f>
        <v>-0.007486980352380378</v>
      </c>
      <c r="H112" s="165">
        <f>STDEV(C112:E112)</f>
        <v>0.003601975364282676</v>
      </c>
      <c r="I112" s="165">
        <f>(B112*B4+C112*C4+D112*D4+E112*E4+F112*F4)/SUM(B4:F4)</f>
        <v>-0.009782012733309855</v>
      </c>
    </row>
    <row r="113" spans="1:9" ht="12.75">
      <c r="A113" s="165" t="s">
        <v>168</v>
      </c>
      <c r="B113" s="165">
        <f>B73*10000/B62</f>
        <v>0.02303543744687766</v>
      </c>
      <c r="C113" s="165">
        <f>C73*10000/C62</f>
        <v>0.030172000551067467</v>
      </c>
      <c r="D113" s="165">
        <f>D73*10000/D62</f>
        <v>0.02543869060280858</v>
      </c>
      <c r="E113" s="165">
        <f>E73*10000/E62</f>
        <v>0.043828389924091195</v>
      </c>
      <c r="F113" s="165">
        <f>F73*10000/F62</f>
        <v>-0.008245793122663459</v>
      </c>
      <c r="G113" s="165">
        <f>AVERAGE(C113:E113)</f>
        <v>0.03314636035932241</v>
      </c>
      <c r="H113" s="165">
        <f>STDEV(C113:E113)</f>
        <v>0.009548841421005852</v>
      </c>
      <c r="I113" s="165">
        <f>(B113*B4+C113*C4+D113*D4+E113*E4+F113*F4)/SUM(B4:F4)</f>
        <v>0.02615934522506201</v>
      </c>
    </row>
    <row r="114" spans="1:11" ht="12.75">
      <c r="A114" s="165" t="s">
        <v>169</v>
      </c>
      <c r="B114" s="165">
        <f>B74*10000/B62</f>
        <v>-0.19518689937326014</v>
      </c>
      <c r="C114" s="165">
        <f>C74*10000/C62</f>
        <v>-0.1669628285895099</v>
      </c>
      <c r="D114" s="165">
        <f>D74*10000/D62</f>
        <v>-0.1704235343771372</v>
      </c>
      <c r="E114" s="165">
        <f>E74*10000/E62</f>
        <v>-0.1600964140513172</v>
      </c>
      <c r="F114" s="165">
        <f>F74*10000/F62</f>
        <v>-0.1352686066449432</v>
      </c>
      <c r="G114" s="165">
        <f>AVERAGE(C114:E114)</f>
        <v>-0.16582759233932143</v>
      </c>
      <c r="H114" s="165">
        <f>STDEV(C114:E114)</f>
        <v>0.0052563223420748605</v>
      </c>
      <c r="I114" s="165">
        <f>(B114*B4+C114*C4+D114*D4+E114*E4+F114*F4)/SUM(B4:F4)</f>
        <v>-0.16600732634025173</v>
      </c>
      <c r="J114" s="165" t="s">
        <v>187</v>
      </c>
      <c r="K114" s="165">
        <v>285</v>
      </c>
    </row>
    <row r="115" spans="1:11" ht="12.75">
      <c r="A115" s="165" t="s">
        <v>170</v>
      </c>
      <c r="B115" s="165">
        <f>B75*10000/B62</f>
        <v>0.0009357722729334449</v>
      </c>
      <c r="C115" s="165">
        <f>C75*10000/C62</f>
        <v>0.0020533697880560967</v>
      </c>
      <c r="D115" s="165">
        <f>D75*10000/D62</f>
        <v>-0.0006537471333881086</v>
      </c>
      <c r="E115" s="165">
        <f>E75*10000/E62</f>
        <v>0.004438861042617669</v>
      </c>
      <c r="F115" s="165">
        <f>F75*10000/F62</f>
        <v>-0.0038020970060207125</v>
      </c>
      <c r="G115" s="165">
        <f>AVERAGE(C115:E115)</f>
        <v>0.0019461612324285522</v>
      </c>
      <c r="H115" s="165">
        <f>STDEV(C115:E115)</f>
        <v>0.0025479962253465035</v>
      </c>
      <c r="I115" s="165">
        <f>(B115*B4+C115*C4+D115*D4+E115*E4+F115*F4)/SUM(B4:F4)</f>
        <v>0.0010326157137358837</v>
      </c>
      <c r="J115" s="165" t="s">
        <v>188</v>
      </c>
      <c r="K115" s="165">
        <v>0.5536</v>
      </c>
    </row>
    <row r="118" ht="12.75">
      <c r="A118" s="165" t="s">
        <v>153</v>
      </c>
    </row>
    <row r="120" spans="2:9" ht="12.75">
      <c r="B120" s="165" t="s">
        <v>83</v>
      </c>
      <c r="C120" s="165" t="s">
        <v>84</v>
      </c>
      <c r="D120" s="165" t="s">
        <v>85</v>
      </c>
      <c r="E120" s="165" t="s">
        <v>86</v>
      </c>
      <c r="F120" s="165" t="s">
        <v>87</v>
      </c>
      <c r="G120" s="165" t="s">
        <v>155</v>
      </c>
      <c r="H120" s="165" t="s">
        <v>156</v>
      </c>
      <c r="I120" s="165" t="s">
        <v>151</v>
      </c>
    </row>
    <row r="121" spans="1:9" ht="12.75">
      <c r="A121" s="165" t="s">
        <v>171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172</v>
      </c>
      <c r="B122" s="165">
        <f>B82*10000/B62</f>
        <v>161.10303557462305</v>
      </c>
      <c r="C122" s="165">
        <f>C82*10000/C62</f>
        <v>67.86017809533084</v>
      </c>
      <c r="D122" s="165">
        <f>D82*10000/D62</f>
        <v>-2.5010810112503483</v>
      </c>
      <c r="E122" s="165">
        <f>E82*10000/E62</f>
        <v>-70.10255921573138</v>
      </c>
      <c r="F122" s="165">
        <f>F82*10000/F62</f>
        <v>-165.26305382449598</v>
      </c>
      <c r="G122" s="165">
        <f>AVERAGE(C122:E122)</f>
        <v>-1.581154043883629</v>
      </c>
      <c r="H122" s="165">
        <f>STDEV(C122:E122)</f>
        <v>68.98596901406297</v>
      </c>
      <c r="I122" s="165">
        <f>(B122*B4+C122*C4+D122*D4+E122*E4+F122*F4)/SUM(B4:F4)</f>
        <v>0.16321356404464546</v>
      </c>
    </row>
    <row r="123" spans="1:9" ht="12.75">
      <c r="A123" s="165" t="s">
        <v>173</v>
      </c>
      <c r="B123" s="165">
        <f>B83*10000/B62</f>
        <v>3.077723370977194</v>
      </c>
      <c r="C123" s="165">
        <f>C83*10000/C62</f>
        <v>1.872996030201779</v>
      </c>
      <c r="D123" s="165">
        <f>D83*10000/D62</f>
        <v>1.2128638279539963</v>
      </c>
      <c r="E123" s="165">
        <f>E83*10000/E62</f>
        <v>0.4900305399888178</v>
      </c>
      <c r="F123" s="165">
        <f>F83*10000/F62</f>
        <v>7.140952196717587</v>
      </c>
      <c r="G123" s="165">
        <f>AVERAGE(C123:E123)</f>
        <v>1.1919634660481975</v>
      </c>
      <c r="H123" s="165">
        <f>STDEV(C123:E123)</f>
        <v>0.6917196004349154</v>
      </c>
      <c r="I123" s="165">
        <f>(B123*B4+C123*C4+D123*D4+E123*E4+F123*F4)/SUM(B4:F4)</f>
        <v>2.2586329098810767</v>
      </c>
    </row>
    <row r="124" spans="1:9" ht="12.75">
      <c r="A124" s="165" t="s">
        <v>174</v>
      </c>
      <c r="B124" s="165">
        <f>B84*10000/B62</f>
        <v>3.0435651665829417</v>
      </c>
      <c r="C124" s="165">
        <f>C84*10000/C62</f>
        <v>-2.396494511048408</v>
      </c>
      <c r="D124" s="165">
        <f>D84*10000/D62</f>
        <v>-4.930681897608752</v>
      </c>
      <c r="E124" s="165">
        <f>E84*10000/E62</f>
        <v>-3.1968596869358183</v>
      </c>
      <c r="F124" s="165">
        <f>F84*10000/F62</f>
        <v>-0.6443551174883547</v>
      </c>
      <c r="G124" s="165">
        <f>AVERAGE(C124:E124)</f>
        <v>-3.5080120318643258</v>
      </c>
      <c r="H124" s="165">
        <f>STDEV(C124:E124)</f>
        <v>1.295429760298207</v>
      </c>
      <c r="I124" s="165">
        <f>(B124*B4+C124*C4+D124*D4+E124*E4+F124*F4)/SUM(B4:F4)</f>
        <v>-2.176984663257273</v>
      </c>
    </row>
    <row r="125" spans="1:9" ht="12.75">
      <c r="A125" s="165" t="s">
        <v>175</v>
      </c>
      <c r="B125" s="165">
        <f>B85*10000/B62</f>
        <v>0.5077962636647674</v>
      </c>
      <c r="C125" s="165">
        <f>C85*10000/C62</f>
        <v>0.6147151112704551</v>
      </c>
      <c r="D125" s="165">
        <f>D85*10000/D62</f>
        <v>0.4872085847349997</v>
      </c>
      <c r="E125" s="165">
        <f>E85*10000/E62</f>
        <v>-0.13215070765369266</v>
      </c>
      <c r="F125" s="165">
        <f>F85*10000/F62</f>
        <v>-0.7706004966988749</v>
      </c>
      <c r="G125" s="165">
        <f>AVERAGE(C125:E125)</f>
        <v>0.3232576627839207</v>
      </c>
      <c r="H125" s="165">
        <f>STDEV(C125:E125)</f>
        <v>0.39951478880733066</v>
      </c>
      <c r="I125" s="165">
        <f>(B125*B4+C125*C4+D125*D4+E125*E4+F125*F4)/SUM(B4:F4)</f>
        <v>0.20414533391961912</v>
      </c>
    </row>
    <row r="126" spans="1:9" ht="12.75">
      <c r="A126" s="165" t="s">
        <v>176</v>
      </c>
      <c r="B126" s="165">
        <f>B86*10000/B62</f>
        <v>-0.030807962838300597</v>
      </c>
      <c r="C126" s="165">
        <f>C86*10000/C62</f>
        <v>-0.12015154864873565</v>
      </c>
      <c r="D126" s="165">
        <f>D86*10000/D62</f>
        <v>-0.07258462497615661</v>
      </c>
      <c r="E126" s="165">
        <f>E86*10000/E62</f>
        <v>0.2726627096529975</v>
      </c>
      <c r="F126" s="165">
        <f>F86*10000/F62</f>
        <v>0.2977630021831408</v>
      </c>
      <c r="G126" s="165">
        <f>AVERAGE(C126:E126)</f>
        <v>0.026642178676035078</v>
      </c>
      <c r="H126" s="165">
        <f>STDEV(C126:E126)</f>
        <v>0.21438336993236703</v>
      </c>
      <c r="I126" s="165">
        <f>(B126*B4+C126*C4+D126*D4+E126*E4+F126*F4)/SUM(B4:F4)</f>
        <v>0.05445676656148165</v>
      </c>
    </row>
    <row r="127" spans="1:9" ht="12.75">
      <c r="A127" s="165" t="s">
        <v>177</v>
      </c>
      <c r="B127" s="165">
        <f>B87*10000/B62</f>
        <v>0.11211410904641568</v>
      </c>
      <c r="C127" s="165">
        <f>C87*10000/C62</f>
        <v>0.12285498747329676</v>
      </c>
      <c r="D127" s="165">
        <f>D87*10000/D62</f>
        <v>0.07350419529830222</v>
      </c>
      <c r="E127" s="165">
        <f>E87*10000/E62</f>
        <v>0.09883404243015857</v>
      </c>
      <c r="F127" s="165">
        <f>F87*10000/F62</f>
        <v>0.38460129677738775</v>
      </c>
      <c r="G127" s="165">
        <f>AVERAGE(C127:E127)</f>
        <v>0.09839774173391919</v>
      </c>
      <c r="H127" s="165">
        <f>STDEV(C127:E127)</f>
        <v>0.02467828885474095</v>
      </c>
      <c r="I127" s="165">
        <f>(B127*B4+C127*C4+D127*D4+E127*E4+F127*F4)/SUM(B4:F4)</f>
        <v>0.1385508389368783</v>
      </c>
    </row>
    <row r="128" spans="1:9" ht="12.75">
      <c r="A128" s="165" t="s">
        <v>178</v>
      </c>
      <c r="B128" s="165">
        <f>B88*10000/B62</f>
        <v>0.3336139230340613</v>
      </c>
      <c r="C128" s="165">
        <f>C88*10000/C62</f>
        <v>-0.130556043245088</v>
      </c>
      <c r="D128" s="165">
        <f>D88*10000/D62</f>
        <v>-0.2590981873485053</v>
      </c>
      <c r="E128" s="165">
        <f>E88*10000/E62</f>
        <v>-0.1692414355304794</v>
      </c>
      <c r="F128" s="165">
        <f>F88*10000/F62</f>
        <v>-0.21030685549848965</v>
      </c>
      <c r="G128" s="165">
        <f>AVERAGE(C128:E128)</f>
        <v>-0.1862985553746909</v>
      </c>
      <c r="H128" s="165">
        <f>STDEV(C128:E128)</f>
        <v>0.06594679450671405</v>
      </c>
      <c r="I128" s="165">
        <f>(B128*B4+C128*C4+D128*D4+E128*E4+F128*F4)/SUM(B4:F4)</f>
        <v>-0.11417451472001298</v>
      </c>
    </row>
    <row r="129" spans="1:9" ht="12.75">
      <c r="A129" s="165" t="s">
        <v>179</v>
      </c>
      <c r="B129" s="165">
        <f>B89*10000/B62</f>
        <v>0.0360483056842554</v>
      </c>
      <c r="C129" s="165">
        <f>C89*10000/C62</f>
        <v>0.13824511298439657</v>
      </c>
      <c r="D129" s="165">
        <f>D89*10000/D62</f>
        <v>0.04090736430164935</v>
      </c>
      <c r="E129" s="165">
        <f>E89*10000/E62</f>
        <v>0.030611289911966953</v>
      </c>
      <c r="F129" s="165">
        <f>F89*10000/F62</f>
        <v>-0.029915203035323815</v>
      </c>
      <c r="G129" s="165">
        <f>AVERAGE(C129:E129)</f>
        <v>0.06992125573267095</v>
      </c>
      <c r="H129" s="165">
        <f>STDEV(C129:E129)</f>
        <v>0.059393723483842135</v>
      </c>
      <c r="I129" s="165">
        <f>(B129*B4+C129*C4+D129*D4+E129*E4+F129*F4)/SUM(B4:F4)</f>
        <v>0.05169223912449314</v>
      </c>
    </row>
    <row r="130" spans="1:9" ht="12.75">
      <c r="A130" s="165" t="s">
        <v>180</v>
      </c>
      <c r="B130" s="165">
        <f>B90*10000/B62</f>
        <v>-0.005028155658267787</v>
      </c>
      <c r="C130" s="165">
        <f>C90*10000/C62</f>
        <v>0.08470079275659005</v>
      </c>
      <c r="D130" s="165">
        <f>D90*10000/D62</f>
        <v>0.03801448925246339</v>
      </c>
      <c r="E130" s="165">
        <f>E90*10000/E62</f>
        <v>0.03619922304423862</v>
      </c>
      <c r="F130" s="165">
        <f>F90*10000/F62</f>
        <v>0.36429488209424477</v>
      </c>
      <c r="G130" s="165">
        <f>AVERAGE(C130:E130)</f>
        <v>0.05297150168443068</v>
      </c>
      <c r="H130" s="165">
        <f>STDEV(C130:E130)</f>
        <v>0.02749335795802398</v>
      </c>
      <c r="I130" s="165">
        <f>(B130*B4+C130*C4+D130*D4+E130*E4+F130*F4)/SUM(B4:F4)</f>
        <v>0.08608438541234932</v>
      </c>
    </row>
    <row r="131" spans="1:9" ht="12.75">
      <c r="A131" s="165" t="s">
        <v>181</v>
      </c>
      <c r="B131" s="165">
        <f>B91*10000/B62</f>
        <v>0.03186014733212265</v>
      </c>
      <c r="C131" s="165">
        <f>C91*10000/C62</f>
        <v>0.01001409038064198</v>
      </c>
      <c r="D131" s="165">
        <f>D91*10000/D62</f>
        <v>0.010938961448690184</v>
      </c>
      <c r="E131" s="165">
        <f>E91*10000/E62</f>
        <v>0.008243042859221592</v>
      </c>
      <c r="F131" s="165">
        <f>F91*10000/F62</f>
        <v>0.019137234163313317</v>
      </c>
      <c r="G131" s="165">
        <f>AVERAGE(C131:E131)</f>
        <v>0.009732031562851252</v>
      </c>
      <c r="H131" s="165">
        <f>STDEV(C131:E131)</f>
        <v>0.001369913188045397</v>
      </c>
      <c r="I131" s="165">
        <f>(B131*B4+C131*C4+D131*D4+E131*E4+F131*F4)/SUM(B4:F4)</f>
        <v>0.01419317440955374</v>
      </c>
    </row>
    <row r="132" spans="1:9" ht="12.75">
      <c r="A132" s="165" t="s">
        <v>182</v>
      </c>
      <c r="B132" s="165">
        <f>B92*10000/B62</f>
        <v>0.021073569564615997</v>
      </c>
      <c r="C132" s="165">
        <f>C92*10000/C62</f>
        <v>-0.009132937313512068</v>
      </c>
      <c r="D132" s="165">
        <f>D92*10000/D62</f>
        <v>0.008497327679275326</v>
      </c>
      <c r="E132" s="165">
        <f>E92*10000/E62</f>
        <v>-0.003932666151772648</v>
      </c>
      <c r="F132" s="165">
        <f>F92*10000/F62</f>
        <v>-0.017438620857393925</v>
      </c>
      <c r="G132" s="165">
        <f>AVERAGE(C132:E132)</f>
        <v>-0.0015227585953364632</v>
      </c>
      <c r="H132" s="165">
        <f>STDEV(C132:E132)</f>
        <v>0.009058824523739397</v>
      </c>
      <c r="I132" s="165">
        <f>(B132*B4+C132*C4+D132*D4+E132*E4+F132*F4)/SUM(B4:F4)</f>
        <v>-0.00036908019092271176</v>
      </c>
    </row>
    <row r="133" spans="1:9" ht="12.75">
      <c r="A133" s="165" t="s">
        <v>183</v>
      </c>
      <c r="B133" s="165">
        <f>B93*10000/B62</f>
        <v>0.04991759471289654</v>
      </c>
      <c r="C133" s="165">
        <f>C93*10000/C62</f>
        <v>0.03635159576233504</v>
      </c>
      <c r="D133" s="165">
        <f>D93*10000/D62</f>
        <v>0.038124581658659576</v>
      </c>
      <c r="E133" s="165">
        <f>E93*10000/E62</f>
        <v>0.03059330018406329</v>
      </c>
      <c r="F133" s="165">
        <f>F93*10000/F62</f>
        <v>0.026977342262669433</v>
      </c>
      <c r="G133" s="165">
        <f>AVERAGE(C133:E133)</f>
        <v>0.03502315920168597</v>
      </c>
      <c r="H133" s="165">
        <f>STDEV(C133:E133)</f>
        <v>0.003937462118440123</v>
      </c>
      <c r="I133" s="165">
        <f>(B133*B4+C133*C4+D133*D4+E133*E4+F133*F4)/SUM(B4:F4)</f>
        <v>0.03610904207482988</v>
      </c>
    </row>
    <row r="134" spans="1:9" ht="12.75">
      <c r="A134" s="165" t="s">
        <v>184</v>
      </c>
      <c r="B134" s="165">
        <f>B94*10000/B62</f>
        <v>-0.011026310039175525</v>
      </c>
      <c r="C134" s="165">
        <f>C94*10000/C62</f>
        <v>0.0118358842324137</v>
      </c>
      <c r="D134" s="165">
        <f>D94*10000/D62</f>
        <v>0.01732811430685505</v>
      </c>
      <c r="E134" s="165">
        <f>E94*10000/E62</f>
        <v>0.023048488399292275</v>
      </c>
      <c r="F134" s="165">
        <f>F94*10000/F62</f>
        <v>0.005558003248732093</v>
      </c>
      <c r="G134" s="165">
        <f>AVERAGE(C134:E134)</f>
        <v>0.017404162312853674</v>
      </c>
      <c r="H134" s="165">
        <f>STDEV(C134:E134)</f>
        <v>0.005606688909257231</v>
      </c>
      <c r="I134" s="165">
        <f>(B134*B4+C134*C4+D134*D4+E134*E4+F134*F4)/SUM(B4:F4)</f>
        <v>0.01170442478316806</v>
      </c>
    </row>
    <row r="135" spans="1:9" ht="12.75">
      <c r="A135" s="165" t="s">
        <v>185</v>
      </c>
      <c r="B135" s="165">
        <f>B95*10000/B62</f>
        <v>-0.00045471900242232663</v>
      </c>
      <c r="C135" s="165">
        <f>C95*10000/C62</f>
        <v>0.0014661081346708101</v>
      </c>
      <c r="D135" s="165">
        <f>D95*10000/D62</f>
        <v>0.0007225862578950201</v>
      </c>
      <c r="E135" s="165">
        <f>E95*10000/E62</f>
        <v>-0.00037811063326644695</v>
      </c>
      <c r="F135" s="165">
        <f>F95*10000/F62</f>
        <v>0.004266383264265298</v>
      </c>
      <c r="G135" s="165">
        <f>AVERAGE(C135:E135)</f>
        <v>0.0006035279197664611</v>
      </c>
      <c r="H135" s="165">
        <f>STDEV(C135:E135)</f>
        <v>0.000927856067454136</v>
      </c>
      <c r="I135" s="165">
        <f>(B135*B4+C135*C4+D135*D4+E135*E4+F135*F4)/SUM(B4:F4)</f>
        <v>0.0009387073406067602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2003-11-07T05:25:00Z</cp:lastPrinted>
  <dcterms:created xsi:type="dcterms:W3CDTF">1999-06-17T15:15:05Z</dcterms:created>
  <dcterms:modified xsi:type="dcterms:W3CDTF">2005-10-04T12:02:02Z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1228328938</vt:i4>
  </property>
  <property fmtid="{D5CDD505-2E9C-101B-9397-08002B2CF9AE}" pid="3" name="_EmailSubject">
    <vt:lpwstr>WFM result of apertures 94, 119, 127, 128, 129 and 131 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