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21_pos1ap2" sheetId="2" r:id="rId2"/>
    <sheet name="HCMQAP121_pos2ap2" sheetId="3" r:id="rId3"/>
    <sheet name="HCMQAP121_pos3ap2" sheetId="4" r:id="rId4"/>
    <sheet name="HCMQAP121_pos4ap2" sheetId="5" r:id="rId5"/>
    <sheet name="HCMQAP121_pos5ap2" sheetId="6" r:id="rId6"/>
    <sheet name="Lmag_hcmqap" sheetId="7" r:id="rId7"/>
    <sheet name="Result_HCMQAP" sheetId="8" r:id="rId8"/>
  </sheets>
  <definedNames>
    <definedName name="_xlnm.Print_Area" localSheetId="1">'HCMQAP121_pos1ap2'!$A$1:$N$28</definedName>
    <definedName name="_xlnm.Print_Area" localSheetId="2">'HCMQAP121_pos2ap2'!$A$1:$N$28</definedName>
    <definedName name="_xlnm.Print_Area" localSheetId="3">'HCMQAP121_pos3ap2'!$A$1:$N$28</definedName>
    <definedName name="_xlnm.Print_Area" localSheetId="4">'HCMQAP121_pos4ap2'!$A$1:$N$28</definedName>
    <definedName name="_xlnm.Print_Area" localSheetId="5">'HCMQAP121_pos5ap2'!$A$1:$N$28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<sst xmlns="http://schemas.openxmlformats.org/spreadsheetml/2006/main" count="510" uniqueCount="189">
  <si>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</si>
  <si>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</si>
  <si>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</si>
  <si>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</si>
  <si>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</si>
  <si>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</si>
  <si>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</si>
  <si>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</si>
  <si>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</si>
  <si>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</si>
  <si>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</si>
  <si>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</si>
  <si>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</si>
  <si>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</si>
  <si>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</si>
  <si>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hcmqap121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</si>
  <si>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</si>
  <si>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</si>
  <si>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</si>
  <si>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</si>
  <si>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</si>
  <si>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</si>
  <si>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</si>
  <si>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</si>
  <si>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</si>
  <si>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</si>
  <si>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</si>
  <si>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</si>
  <si>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</si>
  <si>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</si>
  <si>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</si>
  <si>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</si>
  <si>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</si>
  <si>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</si>
  <si>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</si>
  <si>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</si>
  <si>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</si>
  <si>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</si>
  <si>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</si>
  <si>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</si>
  <si>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</si>
  <si>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</si>
  <si>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</si>
  <si>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</si>
  <si>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</si>
  <si>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</si>
  <si>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</si>
  <si>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</si>
  <si>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</si>
  <si>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</si>
  <si>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</si>
  <si>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</si>
  <si>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</si>
  <si>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</si>
  <si>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</si>
  <si>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</si>
  <si>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</si>
  <si>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</si>
  <si>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</si>
  <si>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</si>
  <si>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</si>
  <si>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</si>
  <si>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</si>
  <si>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</si>
  <si>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</si>
  <si>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</si>
  <si>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</si>
  <si>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</si>
  <si>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HCMQAP121_pos1ap2</t>
  </si>
  <si>
    <t>25/11/2003</t>
  </si>
  <si>
    <t>±12.5</t>
  </si>
  <si>
    <t>THCMQAP121_pos1ap2.xls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</si>
  <si>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</si>
  <si>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HCMQAP121_pos2ap2</t>
  </si>
  <si>
    <t>THCMQAP121_pos2ap2.xls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</si>
  <si>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</si>
  <si>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t>HCMQAP121_pos3ap2</t>
  </si>
  <si>
    <t>THCMQAP121_pos3ap2.xls</t>
  </si>
  <si>
    <t>HCMQAP121_pos4ap2</t>
  </si>
  <si>
    <t>THCMQAP121_pos4ap2.xls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</si>
  <si>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 mT)</t>
    </r>
  </si>
  <si>
    <t>HCMQAP121_pos5ap2</t>
  </si>
  <si>
    <t>THCMQAP121_pos5ap2.xls</t>
  </si>
  <si>
    <t>Sommaire : Valeurs intégrales calculées avec les fichiers: HCMQAP121_pos1ap2+HCMQAP121_pos2ap2+HCMQAP121_pos3ap2+HCMQAP121_pos4ap2+HCMQAP121_pos5ap2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</si>
  <si>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</si>
  <si>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</si>
  <si>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</si>
  <si>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</si>
  <si>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</si>
  <si>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</si>
  <si>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</si>
  <si>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</si>
  <si>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</si>
  <si>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</si>
  <si>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</si>
  <si>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</si>
  <si>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</si>
  <si>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</si>
  <si>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</si>
  <si>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</si>
  <si>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</si>
  <si>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</si>
  <si>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</si>
  <si>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</si>
  <si>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</si>
  <si>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</si>
  <si>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</si>
  <si>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</si>
  <si>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</si>
  <si>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</si>
  <si>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</si>
  <si>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</si>
  <si>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</si>
  <si>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</si>
  <si>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</si>
  <si>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</si>
  <si>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</si>
  <si>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</si>
  <si>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</si>
  <si>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</si>
  <si>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</si>
  <si>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</si>
  <si>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</si>
  <si>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</si>
  <si>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</si>
  <si>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</si>
  <si>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</si>
  <si>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=-3.758</t>
    </r>
  </si>
  <si>
    <t>Gradient (T/m)</t>
  </si>
  <si>
    <t xml:space="preserve"> Tue 25/11/2003       08:41:41</t>
  </si>
  <si>
    <t>SIEGMUND</t>
  </si>
  <si>
    <t>HCMQAP121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</si>
  <si>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</si>
  <si>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</si>
  <si>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</si>
  <si>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</si>
  <si>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</si>
  <si>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</si>
  <si>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</si>
  <si>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</si>
  <si>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</si>
  <si>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a4!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</si>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</sst>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21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426751"/>
        <c:axId val="45514168"/>
      </c:lineChart>
      <c:catAx>
        <c:axId val="274267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5514168"/>
        <c:crosses val="autoZero"/>
        <c:auto val="1"/>
        <c:lblOffset val="100"/>
        <c:noMultiLvlLbl val="0"/>
      </c:catAx>
      <c:valAx>
        <c:axId val="45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74267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2684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2684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2684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2684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2684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4.10999665E-05</v>
      </c>
      <c r="L2" s="55">
        <v>9.82931294856197E-08</v>
      </c>
      <c r="M2" s="55">
        <v>0.00010179406500000002</v>
      </c>
      <c r="N2" s="56">
        <v>1.8859668429214897E-07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-3.1594091499999996E-05</v>
      </c>
      <c r="L3" s="55">
        <v>1.1229267716024002E-07</v>
      </c>
      <c r="M3" s="55">
        <v>1.4662775000000001E-05</v>
      </c>
      <c r="N3" s="56">
        <v>1.863372596395105E-07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-0.0022577154490789285</v>
      </c>
      <c r="L4" s="55">
        <v>3.4901495804223215E-05</v>
      </c>
      <c r="M4" s="55">
        <v>6.459612524622154E-08</v>
      </c>
      <c r="N4" s="56">
        <v>-7.7287676</v>
      </c>
    </row>
    <row r="5" spans="1:14" ht="15" customHeight="1" thickBot="1">
      <c r="A5" t="s">
        <v>18</v>
      </c>
      <c r="B5" s="59">
        <v>37950.34097222222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2684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-0.5374459</v>
      </c>
      <c r="E8" s="78">
        <v>0.011798563714194648</v>
      </c>
      <c r="F8" s="78">
        <v>0.79779948</v>
      </c>
      <c r="G8" s="78">
        <v>0.018585699726038882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-0.37221741</v>
      </c>
      <c r="E9" s="80">
        <v>0.013399161129912816</v>
      </c>
      <c r="F9" s="80">
        <v>0.039963992000000004</v>
      </c>
      <c r="G9" s="80">
        <v>0.026642952226547376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0.32182835</v>
      </c>
      <c r="E10" s="80">
        <v>0.006024148791604851</v>
      </c>
      <c r="F10" s="80">
        <v>0.10692065026</v>
      </c>
      <c r="G10" s="80">
        <v>0.007925287661127317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4.7646383</v>
      </c>
      <c r="E11" s="78">
        <v>0.010170861529624632</v>
      </c>
      <c r="F11" s="78">
        <v>0.65559862</v>
      </c>
      <c r="G11" s="78">
        <v>0.004046919063633811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0.10573337899999999</v>
      </c>
      <c r="E12" s="80">
        <v>0.005852735444887775</v>
      </c>
      <c r="F12" s="80">
        <v>-0.050422577999999996</v>
      </c>
      <c r="G12" s="80">
        <v>0.0054003371454823205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21.377564</v>
      </c>
      <c r="D13" s="83">
        <v>0.11480597399999999</v>
      </c>
      <c r="E13" s="80">
        <v>0.0049632010708188625</v>
      </c>
      <c r="F13" s="80">
        <v>-0.038955051</v>
      </c>
      <c r="G13" s="80">
        <v>0.004159969952693673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0.066818461</v>
      </c>
      <c r="E14" s="80">
        <v>0.005739427612057985</v>
      </c>
      <c r="F14" s="80">
        <v>0.085878212</v>
      </c>
      <c r="G14" s="80">
        <v>0.004720345003304948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-0.36710966999999994</v>
      </c>
      <c r="E15" s="78">
        <v>0.0029440578042302496</v>
      </c>
      <c r="F15" s="78">
        <v>0.102981812</v>
      </c>
      <c r="G15" s="78">
        <v>0.002607626912335148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12.5155</v>
      </c>
      <c r="D16" s="83">
        <v>-0.00454410871</v>
      </c>
      <c r="E16" s="80">
        <v>0.0036552881865216007</v>
      </c>
      <c r="F16" s="80">
        <v>-0.0015304494000000003</v>
      </c>
      <c r="G16" s="80">
        <v>0.0035756314156206647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-0.3409999907016754</v>
      </c>
      <c r="D17" s="83">
        <v>-0.007233133</v>
      </c>
      <c r="E17" s="80">
        <v>0.002215287916194189</v>
      </c>
      <c r="F17" s="80">
        <v>0.02348065334</v>
      </c>
      <c r="G17" s="80">
        <v>0.0037015586680637204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70.19000244140625</v>
      </c>
      <c r="D18" s="83">
        <v>0.044698845</v>
      </c>
      <c r="E18" s="80">
        <v>0.0013167671415286345</v>
      </c>
      <c r="F18" s="80">
        <v>0.074395177</v>
      </c>
      <c r="G18" s="80">
        <v>0.0018062871116314536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-0.4950000047683716</v>
      </c>
      <c r="D19" s="86">
        <v>-0.18536172</v>
      </c>
      <c r="E19" s="80">
        <v>0.0014521942744005897</v>
      </c>
      <c r="F19" s="80">
        <v>0.017710048</v>
      </c>
      <c r="G19" s="80">
        <v>0.0024105067509998888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0.3212487</v>
      </c>
      <c r="D20" s="88">
        <v>-0.00256905543</v>
      </c>
      <c r="E20" s="89">
        <v>0.0010234030208063926</v>
      </c>
      <c r="F20" s="89">
        <v>0.0010159871100000003</v>
      </c>
      <c r="G20" s="89">
        <v>0.0013890102174575346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0.7615233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-0.442826138356692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-2.2579852000000002</v>
      </c>
      <c r="I25" s="101" t="s">
        <v>49</v>
      </c>
      <c r="J25" s="102"/>
      <c r="K25" s="101"/>
      <c r="L25" s="104">
        <v>4.809530921033026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0.9619418411292237</v>
      </c>
      <c r="I26" s="106" t="s">
        <v>53</v>
      </c>
      <c r="J26" s="107"/>
      <c r="K26" s="106"/>
      <c r="L26" s="109">
        <v>0.3812804262092564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HCMQAP121_pos1ap2res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5.850148999999999E-06</v>
      </c>
      <c r="L2" s="55">
        <v>6.921354068391342E-08</v>
      </c>
      <c r="M2" s="55">
        <v>4.5680722E-05</v>
      </c>
      <c r="N2" s="56">
        <v>2.1524864734981853E-07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-2.9268730999999998E-05</v>
      </c>
      <c r="L3" s="55">
        <v>5.337338282399386E-08</v>
      </c>
      <c r="M3" s="55">
        <v>1.336603E-05</v>
      </c>
      <c r="N3" s="56">
        <v>7.186243643228484E-08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-0.003758593962764896</v>
      </c>
      <c r="L4" s="55">
        <v>6.792259365329622E-06</v>
      </c>
      <c r="M4" s="55">
        <v>7.835457922030008E-08</v>
      </c>
      <c r="N4" s="56">
        <v>-0.90356288</v>
      </c>
    </row>
    <row r="5" spans="1:14" ht="15" customHeight="1" thickBot="1">
      <c r="A5" t="s">
        <v>18</v>
      </c>
      <c r="B5" s="59">
        <v>37950.34533564815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2684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0.6581583400000001</v>
      </c>
      <c r="E8" s="78">
        <v>0.009538670772666201</v>
      </c>
      <c r="F8" s="78">
        <v>-3.0557522999999995</v>
      </c>
      <c r="G8" s="78">
        <v>0.014445960960159049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0.41787638000000005</v>
      </c>
      <c r="E9" s="80">
        <v>0.010684304913917527</v>
      </c>
      <c r="F9" s="114">
        <v>3.1030385</v>
      </c>
      <c r="G9" s="80">
        <v>0.013368176281764451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0.6076543799999999</v>
      </c>
      <c r="E10" s="80">
        <v>0.00368880547734651</v>
      </c>
      <c r="F10" s="80">
        <v>-1.2787554</v>
      </c>
      <c r="G10" s="80">
        <v>0.01004793286899955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4.3726125</v>
      </c>
      <c r="E11" s="78">
        <v>0.005159966657348305</v>
      </c>
      <c r="F11" s="78">
        <v>0.09265633480000002</v>
      </c>
      <c r="G11" s="78">
        <v>0.00487186308090117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-0.035531523999999995</v>
      </c>
      <c r="E12" s="80">
        <v>0.0025052648599787394</v>
      </c>
      <c r="F12" s="80">
        <v>0.14139059999999998</v>
      </c>
      <c r="G12" s="80">
        <v>0.005050199885450463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21.395875</v>
      </c>
      <c r="D13" s="83">
        <v>-0.038950151</v>
      </c>
      <c r="E13" s="80">
        <v>0.002759143516066835</v>
      </c>
      <c r="F13" s="80">
        <v>0.18467455900000002</v>
      </c>
      <c r="G13" s="80">
        <v>0.001910994728020179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0.09373008499999999</v>
      </c>
      <c r="E14" s="80">
        <v>0.002102706257540741</v>
      </c>
      <c r="F14" s="80">
        <v>0.053747546</v>
      </c>
      <c r="G14" s="80">
        <v>0.002699485219173118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-0.10993299100000001</v>
      </c>
      <c r="E15" s="78">
        <v>0.0018495785495412584</v>
      </c>
      <c r="F15" s="78">
        <v>0.038165975</v>
      </c>
      <c r="G15" s="78">
        <v>0.0014622976066281015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12.515799999999999</v>
      </c>
      <c r="D16" s="83">
        <v>-0.018333526600000004</v>
      </c>
      <c r="E16" s="80">
        <v>0.0009843398822467965</v>
      </c>
      <c r="F16" s="80">
        <v>0.063423804</v>
      </c>
      <c r="G16" s="80">
        <v>0.0014501025865720058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0.46399998664855957</v>
      </c>
      <c r="D17" s="83">
        <v>0.0006395274999999999</v>
      </c>
      <c r="E17" s="80">
        <v>0.0013348651973538379</v>
      </c>
      <c r="F17" s="80">
        <v>0.0113945754</v>
      </c>
      <c r="G17" s="80">
        <v>0.0018033215285146796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4.068999767303467</v>
      </c>
      <c r="D18" s="83">
        <v>0.00877590235</v>
      </c>
      <c r="E18" s="80">
        <v>0.0014870612604676744</v>
      </c>
      <c r="F18" s="80">
        <v>0.041806606</v>
      </c>
      <c r="G18" s="80">
        <v>0.0008313640798132639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0.3959999978542328</v>
      </c>
      <c r="D19" s="86">
        <v>-0.16638043</v>
      </c>
      <c r="E19" s="80">
        <v>0.0014346218737345629</v>
      </c>
      <c r="F19" s="80">
        <v>0.017279101</v>
      </c>
      <c r="G19" s="80">
        <v>0.0008328466461563861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0.0268334</v>
      </c>
      <c r="D20" s="88">
        <v>-0.005647588300000001</v>
      </c>
      <c r="E20" s="89">
        <v>0.0005020120352708164</v>
      </c>
      <c r="F20" s="89">
        <v>-0.0023665909800000004</v>
      </c>
      <c r="G20" s="89">
        <v>0.0008618358885860444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0.20656499999999997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-0.05177038327725769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-3.7586000999999998</v>
      </c>
      <c r="I25" s="101" t="s">
        <v>49</v>
      </c>
      <c r="J25" s="102"/>
      <c r="K25" s="101"/>
      <c r="L25" s="104">
        <v>4.373594090851918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3.125827013682434</v>
      </c>
      <c r="I26" s="106" t="s">
        <v>53</v>
      </c>
      <c r="J26" s="107"/>
      <c r="K26" s="106"/>
      <c r="L26" s="109">
        <v>0.11636968745299056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HCMQAP121_pos2ap2res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4.0426519E-05</v>
      </c>
      <c r="L2" s="55">
        <v>1.0641327447252637E-07</v>
      </c>
      <c r="M2" s="55">
        <v>3.3467621E-05</v>
      </c>
      <c r="N2" s="56">
        <v>1.7105871329356398E-07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-2.8189343E-05</v>
      </c>
      <c r="L3" s="55">
        <v>1.0913392037405562E-07</v>
      </c>
      <c r="M3" s="55">
        <v>1.0883451000000001E-05</v>
      </c>
      <c r="N3" s="56">
        <v>1.551093695880802E-07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-0.00375782103617535</v>
      </c>
      <c r="L4" s="55">
        <v>-2.0007865415983057E-05</v>
      </c>
      <c r="M4" s="55">
        <v>7.537415174919677E-08</v>
      </c>
      <c r="N4" s="56">
        <v>2.6621379999999997</v>
      </c>
    </row>
    <row r="5" spans="1:14" ht="15" customHeight="1" thickBot="1">
      <c r="A5" t="s">
        <v>18</v>
      </c>
      <c r="B5" s="59">
        <v>37950.34976851852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2684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0.459604109</v>
      </c>
      <c r="E8" s="78">
        <v>0.01336556854620441</v>
      </c>
      <c r="F8" s="78">
        <v>-1.5179547</v>
      </c>
      <c r="G8" s="78">
        <v>0.007911216642201646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0.35569900600000004</v>
      </c>
      <c r="E9" s="80">
        <v>0.012664269228657791</v>
      </c>
      <c r="F9" s="114">
        <v>3.5321881</v>
      </c>
      <c r="G9" s="80">
        <v>0.007492066753644933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-0.020332299999999998</v>
      </c>
      <c r="E10" s="80">
        <v>0.003851437297425466</v>
      </c>
      <c r="F10" s="80">
        <v>-0.8624800800000001</v>
      </c>
      <c r="G10" s="80">
        <v>0.002524305183475472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4.746498300000001</v>
      </c>
      <c r="E11" s="78">
        <v>0.004461656761031792</v>
      </c>
      <c r="F11" s="78">
        <v>-0.07077625</v>
      </c>
      <c r="G11" s="78">
        <v>0.007060760318053545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-0.28476876</v>
      </c>
      <c r="E12" s="80">
        <v>0.004245517317560889</v>
      </c>
      <c r="F12" s="80">
        <v>0.087053732</v>
      </c>
      <c r="G12" s="80">
        <v>0.0020786494482111667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21.414185</v>
      </c>
      <c r="D13" s="83">
        <v>-0.138630377</v>
      </c>
      <c r="E13" s="80">
        <v>0.0033154824017311087</v>
      </c>
      <c r="F13" s="80">
        <v>0.24725010999999997</v>
      </c>
      <c r="G13" s="80">
        <v>0.0026747511483152316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-0.033976364999999994</v>
      </c>
      <c r="E14" s="80">
        <v>0.0016559499358918747</v>
      </c>
      <c r="F14" s="80">
        <v>0.013831956000000001</v>
      </c>
      <c r="G14" s="80">
        <v>0.0023865420141396944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-0.083680856</v>
      </c>
      <c r="E15" s="78">
        <v>0.0016923258452837227</v>
      </c>
      <c r="F15" s="78">
        <v>0.02010247289</v>
      </c>
      <c r="G15" s="78">
        <v>0.0014868040409579588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12.515899999999998</v>
      </c>
      <c r="D16" s="83">
        <v>-0.017092592</v>
      </c>
      <c r="E16" s="80">
        <v>0.0020696177545783587</v>
      </c>
      <c r="F16" s="80">
        <v>0.035060336000000004</v>
      </c>
      <c r="G16" s="80">
        <v>0.0016575671193118607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-0.2540000081062317</v>
      </c>
      <c r="D17" s="83">
        <v>-0.000574993</v>
      </c>
      <c r="E17" s="80">
        <v>0.001690420100932309</v>
      </c>
      <c r="F17" s="80">
        <v>0.015760681999999998</v>
      </c>
      <c r="G17" s="80">
        <v>0.0008403373778108719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24.92300033569336</v>
      </c>
      <c r="D18" s="83">
        <v>0.025910768</v>
      </c>
      <c r="E18" s="80">
        <v>0.0008044079994790579</v>
      </c>
      <c r="F18" s="80">
        <v>0.022185333999999998</v>
      </c>
      <c r="G18" s="80">
        <v>0.001740253624775323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-0.3019999861717224</v>
      </c>
      <c r="D19" s="86">
        <v>-0.1707255</v>
      </c>
      <c r="E19" s="80">
        <v>0.0008539233296971834</v>
      </c>
      <c r="F19" s="80">
        <v>0.014607859</v>
      </c>
      <c r="G19" s="80">
        <v>0.0013636570607355736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0.18207579999999998</v>
      </c>
      <c r="D20" s="88">
        <v>0.0014285939</v>
      </c>
      <c r="E20" s="89">
        <v>0.0007225690198308668</v>
      </c>
      <c r="F20" s="89">
        <v>-0.0033461471100000003</v>
      </c>
      <c r="G20" s="89">
        <v>0.00035505528074943553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0.1523816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0.15252940071747106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-3.7578742999999997</v>
      </c>
      <c r="I25" s="101" t="s">
        <v>49</v>
      </c>
      <c r="J25" s="102"/>
      <c r="K25" s="101"/>
      <c r="L25" s="104">
        <v>4.747025952053239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1.5860083254074595</v>
      </c>
      <c r="I26" s="106" t="s">
        <v>53</v>
      </c>
      <c r="J26" s="107"/>
      <c r="K26" s="106"/>
      <c r="L26" s="109">
        <v>0.08606157724086819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HCMQAP121_pos3ap2res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6.1529444E-05</v>
      </c>
      <c r="L2" s="55">
        <v>1.4979980678974175E-07</v>
      </c>
      <c r="M2" s="55">
        <v>0.00011026073999999999</v>
      </c>
      <c r="N2" s="56">
        <v>1.202585606095597E-07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-2.8903582000000003E-05</v>
      </c>
      <c r="L3" s="55">
        <v>1.0172503971943939E-07</v>
      </c>
      <c r="M3" s="55">
        <v>9.564379999999996E-06</v>
      </c>
      <c r="N3" s="56">
        <v>2.1103219327868794E-07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-0.0037579740129327823</v>
      </c>
      <c r="L4" s="55">
        <v>-4.521409777801326E-05</v>
      </c>
      <c r="M4" s="55">
        <v>3.569174540137542E-08</v>
      </c>
      <c r="N4" s="56">
        <v>6.015464199999999</v>
      </c>
    </row>
    <row r="5" spans="1:14" ht="15" customHeight="1" thickBot="1">
      <c r="A5" t="s">
        <v>18</v>
      </c>
      <c r="B5" s="59">
        <v>37950.354212962964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2684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1.7341221</v>
      </c>
      <c r="E8" s="78">
        <v>0.012149642564279452</v>
      </c>
      <c r="F8" s="78">
        <v>-0.212510605</v>
      </c>
      <c r="G8" s="78">
        <v>0.02027901382267693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0.596472991</v>
      </c>
      <c r="E9" s="80">
        <v>0.010489603329437462</v>
      </c>
      <c r="F9" s="80">
        <v>0.364252629</v>
      </c>
      <c r="G9" s="80">
        <v>0.013314200211194982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-0.33999200799999996</v>
      </c>
      <c r="E10" s="80">
        <v>0.008952931410290353</v>
      </c>
      <c r="F10" s="80">
        <v>0.09318221</v>
      </c>
      <c r="G10" s="80">
        <v>0.007571867053600267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5.116269</v>
      </c>
      <c r="E11" s="78">
        <v>0.005375439005637191</v>
      </c>
      <c r="F11" s="78">
        <v>-0.349932639</v>
      </c>
      <c r="G11" s="78">
        <v>0.0065102811089615235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-0.324910449</v>
      </c>
      <c r="E12" s="80">
        <v>0.0022342129501725016</v>
      </c>
      <c r="F12" s="80">
        <v>0.035634284</v>
      </c>
      <c r="G12" s="80">
        <v>0.002948310503840153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21.447755</v>
      </c>
      <c r="D13" s="83">
        <v>-0.052381449999999996</v>
      </c>
      <c r="E13" s="80">
        <v>0.002174954101419294</v>
      </c>
      <c r="F13" s="80">
        <v>-0.10597053299999999</v>
      </c>
      <c r="G13" s="80">
        <v>0.003707301703961905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0.01626562229</v>
      </c>
      <c r="E14" s="80">
        <v>0.0029588667477618187</v>
      </c>
      <c r="F14" s="80">
        <v>0.058053025</v>
      </c>
      <c r="G14" s="80">
        <v>0.0021978602378630334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-0.071353983</v>
      </c>
      <c r="E15" s="78">
        <v>0.0024358469934822407</v>
      </c>
      <c r="F15" s="78">
        <v>0.056349702</v>
      </c>
      <c r="G15" s="78">
        <v>0.0024827707880924806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12.516</v>
      </c>
      <c r="D16" s="83">
        <v>-0.055096038</v>
      </c>
      <c r="E16" s="80">
        <v>0.001239275001799845</v>
      </c>
      <c r="F16" s="80">
        <v>0.039481725</v>
      </c>
      <c r="G16" s="80">
        <v>0.00178611871220255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0.32899999618530273</v>
      </c>
      <c r="D17" s="83">
        <v>-0.013040643829999999</v>
      </c>
      <c r="E17" s="80">
        <v>0.00229747778176755</v>
      </c>
      <c r="F17" s="80">
        <v>-0.0010853819999999993</v>
      </c>
      <c r="G17" s="80">
        <v>0.0011503127994097952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4.068999767303467</v>
      </c>
      <c r="D18" s="83">
        <v>0.04311844399999999</v>
      </c>
      <c r="E18" s="80">
        <v>0.0008247575732021406</v>
      </c>
      <c r="F18" s="80">
        <v>0.039867164</v>
      </c>
      <c r="G18" s="80">
        <v>0.0018428529532938747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0.2840000092983246</v>
      </c>
      <c r="D19" s="86">
        <v>-0.17986435</v>
      </c>
      <c r="E19" s="80">
        <v>0.0006006077197268559</v>
      </c>
      <c r="F19" s="80">
        <v>0.012821074399999998</v>
      </c>
      <c r="G19" s="80">
        <v>0.0011878573863510202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0.2722955</v>
      </c>
      <c r="D20" s="88">
        <v>0.0021464916</v>
      </c>
      <c r="E20" s="89">
        <v>0.0005613813098499451</v>
      </c>
      <c r="F20" s="89">
        <v>0.001976371901</v>
      </c>
      <c r="G20" s="89">
        <v>0.0010848448726795362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0.5020779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0.34466100159473384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-3.7582459999999998</v>
      </c>
      <c r="I25" s="101" t="s">
        <v>49</v>
      </c>
      <c r="J25" s="102"/>
      <c r="K25" s="101"/>
      <c r="L25" s="104">
        <v>5.128222043964019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1.7470947927762466</v>
      </c>
      <c r="I26" s="106" t="s">
        <v>53</v>
      </c>
      <c r="J26" s="107"/>
      <c r="K26" s="106"/>
      <c r="L26" s="109">
        <v>0.09092128356690249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HCMQAP121_pos4ap2res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2.4080950999999998E-05</v>
      </c>
      <c r="L2" s="55">
        <v>4.5524095014210716E-08</v>
      </c>
      <c r="M2" s="55">
        <v>0.00010905643</v>
      </c>
      <c r="N2" s="56">
        <v>9.143047960908142E-08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-3.0743931E-05</v>
      </c>
      <c r="L3" s="55">
        <v>4.336433666829782E-08</v>
      </c>
      <c r="M3" s="55">
        <v>8.795310000000003E-06</v>
      </c>
      <c r="N3" s="56">
        <v>1.3457124284181845E-07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-0.0020895028316375106</v>
      </c>
      <c r="L4" s="55">
        <v>-3.522360996427295E-05</v>
      </c>
      <c r="M4" s="55">
        <v>3.793492893145549E-08</v>
      </c>
      <c r="N4" s="56">
        <v>8.427907699999999</v>
      </c>
    </row>
    <row r="5" spans="1:14" ht="15" customHeight="1" thickBot="1">
      <c r="A5" t="s">
        <v>18</v>
      </c>
      <c r="B5" s="59">
        <v>37950.358761574076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2684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-1.31689493</v>
      </c>
      <c r="E8" s="78">
        <v>0.016125287051122678</v>
      </c>
      <c r="F8" s="115">
        <v>8.311436000000002</v>
      </c>
      <c r="G8" s="78">
        <v>0.024046582673590257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-0.16350773000000002</v>
      </c>
      <c r="E9" s="80">
        <v>0.028988387991825224</v>
      </c>
      <c r="F9" s="80">
        <v>-2.4005856</v>
      </c>
      <c r="G9" s="80">
        <v>0.02344721118901402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-0.32457764000000006</v>
      </c>
      <c r="E10" s="80">
        <v>0.01359339157787283</v>
      </c>
      <c r="F10" s="80">
        <v>-0.6750869899999999</v>
      </c>
      <c r="G10" s="80">
        <v>0.008352114358741322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14.951497</v>
      </c>
      <c r="E11" s="78">
        <v>0.004793444062689788</v>
      </c>
      <c r="F11" s="78">
        <v>1.13113466</v>
      </c>
      <c r="G11" s="78">
        <v>0.005606663890978666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0.02907344</v>
      </c>
      <c r="E12" s="80">
        <v>0.0036559788729422196</v>
      </c>
      <c r="F12" s="80">
        <v>0.28853939000000006</v>
      </c>
      <c r="G12" s="80">
        <v>0.004222960651414059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21.50879</v>
      </c>
      <c r="D13" s="83">
        <v>0.006411852</v>
      </c>
      <c r="E13" s="80">
        <v>0.004951232286875632</v>
      </c>
      <c r="F13" s="80">
        <v>-0.22401480999999998</v>
      </c>
      <c r="G13" s="80">
        <v>0.007269718521057873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0.131151286</v>
      </c>
      <c r="E14" s="80">
        <v>0.006098408215082038</v>
      </c>
      <c r="F14" s="80">
        <v>0.068363536</v>
      </c>
      <c r="G14" s="80">
        <v>0.005836372024666865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-0.3590078900000001</v>
      </c>
      <c r="E15" s="78">
        <v>0.0008205024468983631</v>
      </c>
      <c r="F15" s="78">
        <v>0.37377361</v>
      </c>
      <c r="G15" s="78">
        <v>0.0021945048971086386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12.516</v>
      </c>
      <c r="D16" s="83">
        <v>-0.038040961</v>
      </c>
      <c r="E16" s="80">
        <v>0.003349352943622656</v>
      </c>
      <c r="F16" s="80">
        <v>0.0431088737</v>
      </c>
      <c r="G16" s="80">
        <v>0.0030175877278922516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-0.23999999463558197</v>
      </c>
      <c r="D17" s="83">
        <v>-0.036664489999999994</v>
      </c>
      <c r="E17" s="80">
        <v>0.0017918010119905318</v>
      </c>
      <c r="F17" s="80">
        <v>0.021954823000000002</v>
      </c>
      <c r="G17" s="80">
        <v>0.00197622176877394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23.905000686645508</v>
      </c>
      <c r="D18" s="83">
        <v>-0.0074628443</v>
      </c>
      <c r="E18" s="80">
        <v>0.002357805991833438</v>
      </c>
      <c r="F18" s="80">
        <v>0.049678721999999995</v>
      </c>
      <c r="G18" s="80">
        <v>0.0018771143697431205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-0.289000004529953</v>
      </c>
      <c r="D19" s="83">
        <v>-0.13527333000000002</v>
      </c>
      <c r="E19" s="80">
        <v>0.0014660110922476918</v>
      </c>
      <c r="F19" s="80">
        <v>-0.0155179904</v>
      </c>
      <c r="G19" s="80">
        <v>0.0019551778374875877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0.1808932</v>
      </c>
      <c r="D20" s="88">
        <v>-0.0013884317</v>
      </c>
      <c r="E20" s="89">
        <v>0.0006022647833513593</v>
      </c>
      <c r="F20" s="89">
        <v>0.0055095329</v>
      </c>
      <c r="G20" s="89">
        <v>0.0022129148849750957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0.8903320000000001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0.4828839492104316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-2.0897997</v>
      </c>
      <c r="I25" s="101" t="s">
        <v>49</v>
      </c>
      <c r="J25" s="102"/>
      <c r="K25" s="101"/>
      <c r="L25" s="104">
        <v>14.994223159605912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8.415116198767295</v>
      </c>
      <c r="I26" s="106" t="s">
        <v>53</v>
      </c>
      <c r="J26" s="107"/>
      <c r="K26" s="106"/>
      <c r="L26" s="109">
        <v>0.5182599508110619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HCMQAP121_pos5ap2res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73</v>
      </c>
      <c r="D1" s="121" t="s">
        <v>76</v>
      </c>
      <c r="E1" s="121" t="s">
        <v>78</v>
      </c>
      <c r="F1" s="128" t="s">
        <v>81</v>
      </c>
      <c r="G1" s="161" t="s">
        <v>121</v>
      </c>
    </row>
    <row r="2" spans="1:7" ht="13.5" thickBot="1">
      <c r="A2" s="140" t="s">
        <v>90</v>
      </c>
      <c r="B2" s="132">
        <v>-2.2579852000000002</v>
      </c>
      <c r="C2" s="123">
        <v>-3.7586000999999998</v>
      </c>
      <c r="D2" s="123">
        <v>-3.7578742999999997</v>
      </c>
      <c r="E2" s="123">
        <v>-3.7582459999999998</v>
      </c>
      <c r="F2" s="129">
        <v>-2.0897997</v>
      </c>
      <c r="G2" s="162">
        <v>3.1172347452101783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7" t="s">
        <v>122</v>
      </c>
    </row>
    <row r="4" spans="1:7" ht="12.75">
      <c r="A4" s="145" t="s">
        <v>91</v>
      </c>
      <c r="B4" s="146">
        <v>-0.5374459</v>
      </c>
      <c r="C4" s="147">
        <v>0.6581583400000001</v>
      </c>
      <c r="D4" s="147">
        <v>0.459604109</v>
      </c>
      <c r="E4" s="147">
        <v>1.7341221</v>
      </c>
      <c r="F4" s="152">
        <v>-1.31689493</v>
      </c>
      <c r="G4" s="158">
        <v>0.43223249219289633</v>
      </c>
    </row>
    <row r="5" spans="1:7" ht="12.75">
      <c r="A5" s="140" t="s">
        <v>93</v>
      </c>
      <c r="B5" s="134">
        <v>-0.37221741</v>
      </c>
      <c r="C5" s="118">
        <v>0.41787638000000005</v>
      </c>
      <c r="D5" s="118">
        <v>0.35569900600000004</v>
      </c>
      <c r="E5" s="118">
        <v>0.596472991</v>
      </c>
      <c r="F5" s="153">
        <v>-0.16350773000000002</v>
      </c>
      <c r="G5" s="159">
        <v>0.2539179667494404</v>
      </c>
    </row>
    <row r="6" spans="1:7" ht="12.75">
      <c r="A6" s="140" t="s">
        <v>95</v>
      </c>
      <c r="B6" s="134">
        <v>0.32182835</v>
      </c>
      <c r="C6" s="118">
        <v>0.6076543799999999</v>
      </c>
      <c r="D6" s="118">
        <v>-0.020332299999999998</v>
      </c>
      <c r="E6" s="118">
        <v>-0.33999200799999996</v>
      </c>
      <c r="F6" s="153">
        <v>-0.32457764000000006</v>
      </c>
      <c r="G6" s="159">
        <v>0.06261040463511905</v>
      </c>
    </row>
    <row r="7" spans="1:7" ht="12.75">
      <c r="A7" s="140" t="s">
        <v>97</v>
      </c>
      <c r="B7" s="133">
        <v>4.7646383</v>
      </c>
      <c r="C7" s="117">
        <v>4.3726125</v>
      </c>
      <c r="D7" s="117">
        <v>4.746498300000001</v>
      </c>
      <c r="E7" s="117">
        <v>5.116269</v>
      </c>
      <c r="F7" s="154">
        <v>14.951497</v>
      </c>
      <c r="G7" s="159">
        <v>6.113229481215346</v>
      </c>
    </row>
    <row r="8" spans="1:7" ht="12.75">
      <c r="A8" s="140" t="s">
        <v>99</v>
      </c>
      <c r="B8" s="134">
        <v>0.10573337899999999</v>
      </c>
      <c r="C8" s="118">
        <v>-0.035531523999999995</v>
      </c>
      <c r="D8" s="118">
        <v>-0.28476876</v>
      </c>
      <c r="E8" s="118">
        <v>-0.324910449</v>
      </c>
      <c r="F8" s="153">
        <v>0.02907344</v>
      </c>
      <c r="G8" s="159">
        <v>-0.1360387004318005</v>
      </c>
    </row>
    <row r="9" spans="1:7" ht="12.75">
      <c r="A9" s="140" t="s">
        <v>101</v>
      </c>
      <c r="B9" s="134">
        <v>0.11480597399999999</v>
      </c>
      <c r="C9" s="118">
        <v>-0.038950151</v>
      </c>
      <c r="D9" s="118">
        <v>-0.138630377</v>
      </c>
      <c r="E9" s="118">
        <v>-0.052381449999999996</v>
      </c>
      <c r="F9" s="153">
        <v>0.006411852</v>
      </c>
      <c r="G9" s="159">
        <v>-0.03786756729461932</v>
      </c>
    </row>
    <row r="10" spans="1:7" ht="12.75">
      <c r="A10" s="140" t="s">
        <v>103</v>
      </c>
      <c r="B10" s="134">
        <v>0.066818461</v>
      </c>
      <c r="C10" s="118">
        <v>0.09373008499999999</v>
      </c>
      <c r="D10" s="118">
        <v>-0.033976364999999994</v>
      </c>
      <c r="E10" s="118">
        <v>0.01626562229</v>
      </c>
      <c r="F10" s="153">
        <v>0.131151286</v>
      </c>
      <c r="G10" s="159">
        <v>0.045492077514877445</v>
      </c>
    </row>
    <row r="11" spans="1:7" ht="12.75">
      <c r="A11" s="140" t="s">
        <v>105</v>
      </c>
      <c r="B11" s="133">
        <v>-0.36710966999999994</v>
      </c>
      <c r="C11" s="117">
        <v>-0.10993299100000001</v>
      </c>
      <c r="D11" s="117">
        <v>-0.083680856</v>
      </c>
      <c r="E11" s="117">
        <v>-0.071353983</v>
      </c>
      <c r="F11" s="155">
        <v>-0.3590078900000001</v>
      </c>
      <c r="G11" s="159">
        <v>-0.16482662948948623</v>
      </c>
    </row>
    <row r="12" spans="1:7" ht="12.75">
      <c r="A12" s="140" t="s">
        <v>107</v>
      </c>
      <c r="B12" s="134">
        <v>-0.00454410871</v>
      </c>
      <c r="C12" s="118">
        <v>-0.018333526600000004</v>
      </c>
      <c r="D12" s="118">
        <v>-0.017092592</v>
      </c>
      <c r="E12" s="118">
        <v>-0.055096038</v>
      </c>
      <c r="F12" s="153">
        <v>-0.038040961</v>
      </c>
      <c r="G12" s="159">
        <v>-0.02752203839153308</v>
      </c>
    </row>
    <row r="13" spans="1:7" ht="12.75">
      <c r="A13" s="140" t="s">
        <v>109</v>
      </c>
      <c r="B13" s="134">
        <v>-0.007233133</v>
      </c>
      <c r="C13" s="118">
        <v>0.0006395274999999999</v>
      </c>
      <c r="D13" s="118">
        <v>-0.000574993</v>
      </c>
      <c r="E13" s="118">
        <v>-0.013040643829999999</v>
      </c>
      <c r="F13" s="153">
        <v>-0.036664489999999994</v>
      </c>
      <c r="G13" s="159">
        <v>-0.009071574344080006</v>
      </c>
    </row>
    <row r="14" spans="1:7" ht="12.75">
      <c r="A14" s="140" t="s">
        <v>111</v>
      </c>
      <c r="B14" s="134">
        <v>0.044698845</v>
      </c>
      <c r="C14" s="118">
        <v>0.00877590235</v>
      </c>
      <c r="D14" s="118">
        <v>0.025910768</v>
      </c>
      <c r="E14" s="118">
        <v>0.04311844399999999</v>
      </c>
      <c r="F14" s="153">
        <v>-0.0074628443</v>
      </c>
      <c r="G14" s="159">
        <v>0.02417907433757081</v>
      </c>
    </row>
    <row r="15" spans="1:7" ht="12.75">
      <c r="A15" s="140" t="s">
        <v>113</v>
      </c>
      <c r="B15" s="135">
        <v>-0.18536172</v>
      </c>
      <c r="C15" s="119">
        <v>-0.16638043</v>
      </c>
      <c r="D15" s="119">
        <v>-0.1707255</v>
      </c>
      <c r="E15" s="119">
        <v>-0.17986435</v>
      </c>
      <c r="F15" s="153">
        <v>-0.13527333000000002</v>
      </c>
      <c r="G15" s="159">
        <v>-0.16925167107668307</v>
      </c>
    </row>
    <row r="16" spans="1:7" ht="12.75">
      <c r="A16" s="140" t="s">
        <v>115</v>
      </c>
      <c r="B16" s="134">
        <v>-0.00256905543</v>
      </c>
      <c r="C16" s="118">
        <v>-0.005647588300000001</v>
      </c>
      <c r="D16" s="118">
        <v>0.0014285939</v>
      </c>
      <c r="E16" s="118">
        <v>0.0021464916</v>
      </c>
      <c r="F16" s="153">
        <v>-0.0013884317</v>
      </c>
      <c r="G16" s="159">
        <v>-0.0010557806926465622</v>
      </c>
    </row>
    <row r="17" spans="1:7" ht="12.75">
      <c r="A17" s="140" t="s">
        <v>92</v>
      </c>
      <c r="B17" s="133">
        <v>0.79779948</v>
      </c>
      <c r="C17" s="117">
        <v>-3.0557522999999995</v>
      </c>
      <c r="D17" s="117">
        <v>-1.5179547</v>
      </c>
      <c r="E17" s="117">
        <v>-0.212510605</v>
      </c>
      <c r="F17" s="154">
        <v>8.311436000000002</v>
      </c>
      <c r="G17" s="159">
        <v>0.07568279656967902</v>
      </c>
    </row>
    <row r="18" spans="1:7" ht="12.75">
      <c r="A18" s="140" t="s">
        <v>94</v>
      </c>
      <c r="B18" s="134">
        <v>0.039963992000000004</v>
      </c>
      <c r="C18" s="119">
        <v>3.1030385</v>
      </c>
      <c r="D18" s="119">
        <v>3.5321881</v>
      </c>
      <c r="E18" s="118">
        <v>0.364252629</v>
      </c>
      <c r="F18" s="153">
        <v>-2.4005856</v>
      </c>
      <c r="G18" s="159">
        <v>1.368477418397996</v>
      </c>
    </row>
    <row r="19" spans="1:7" ht="12.75">
      <c r="A19" s="140" t="s">
        <v>96</v>
      </c>
      <c r="B19" s="134">
        <v>0.10692065026</v>
      </c>
      <c r="C19" s="118">
        <v>-1.2787554</v>
      </c>
      <c r="D19" s="118">
        <v>-0.8624800800000001</v>
      </c>
      <c r="E19" s="118">
        <v>0.09318221</v>
      </c>
      <c r="F19" s="153">
        <v>-0.6750869899999999</v>
      </c>
      <c r="G19" s="159">
        <v>-0.5675524767797819</v>
      </c>
    </row>
    <row r="20" spans="1:7" ht="12.75">
      <c r="A20" s="140" t="s">
        <v>98</v>
      </c>
      <c r="B20" s="133">
        <v>0.65559862</v>
      </c>
      <c r="C20" s="117">
        <v>0.09265633480000002</v>
      </c>
      <c r="D20" s="117">
        <v>-0.07077625</v>
      </c>
      <c r="E20" s="117">
        <v>-0.349932639</v>
      </c>
      <c r="F20" s="155">
        <v>1.13113466</v>
      </c>
      <c r="G20" s="159">
        <v>0.16715204902227626</v>
      </c>
    </row>
    <row r="21" spans="1:7" ht="12.75">
      <c r="A21" s="140" t="s">
        <v>100</v>
      </c>
      <c r="B21" s="134">
        <v>-0.050422577999999996</v>
      </c>
      <c r="C21" s="118">
        <v>0.14139059999999998</v>
      </c>
      <c r="D21" s="118">
        <v>0.087053732</v>
      </c>
      <c r="E21" s="118">
        <v>0.035634284</v>
      </c>
      <c r="F21" s="153">
        <v>0.28853939000000006</v>
      </c>
      <c r="G21" s="159">
        <v>0.0948392193278468</v>
      </c>
    </row>
    <row r="22" spans="1:7" ht="12.75">
      <c r="A22" s="140" t="s">
        <v>102</v>
      </c>
      <c r="B22" s="134">
        <v>-0.038955051</v>
      </c>
      <c r="C22" s="118">
        <v>0.18467455900000002</v>
      </c>
      <c r="D22" s="118">
        <v>0.24725010999999997</v>
      </c>
      <c r="E22" s="118">
        <v>-0.10597053299999999</v>
      </c>
      <c r="F22" s="153">
        <v>-0.22401480999999998</v>
      </c>
      <c r="G22" s="159">
        <v>0.04281536757386207</v>
      </c>
    </row>
    <row r="23" spans="1:7" ht="12.75">
      <c r="A23" s="140" t="s">
        <v>104</v>
      </c>
      <c r="B23" s="134">
        <v>0.085878212</v>
      </c>
      <c r="C23" s="118">
        <v>0.053747546</v>
      </c>
      <c r="D23" s="118">
        <v>0.013831956000000001</v>
      </c>
      <c r="E23" s="118">
        <v>0.058053025</v>
      </c>
      <c r="F23" s="153">
        <v>0.068363536</v>
      </c>
      <c r="G23" s="159">
        <v>0.05178104573648869</v>
      </c>
    </row>
    <row r="24" spans="1:7" ht="12.75">
      <c r="A24" s="140" t="s">
        <v>106</v>
      </c>
      <c r="B24" s="133">
        <v>0.102981812</v>
      </c>
      <c r="C24" s="117">
        <v>0.038165975</v>
      </c>
      <c r="D24" s="117">
        <v>0.02010247289</v>
      </c>
      <c r="E24" s="117">
        <v>0.056349702</v>
      </c>
      <c r="F24" s="155">
        <v>0.37377361</v>
      </c>
      <c r="G24" s="159">
        <v>0.0924571701854482</v>
      </c>
    </row>
    <row r="25" spans="1:7" ht="12.75">
      <c r="A25" s="140" t="s">
        <v>108</v>
      </c>
      <c r="B25" s="134">
        <v>-0.0015304494000000003</v>
      </c>
      <c r="C25" s="118">
        <v>0.063423804</v>
      </c>
      <c r="D25" s="118">
        <v>0.035060336000000004</v>
      </c>
      <c r="E25" s="118">
        <v>0.039481725</v>
      </c>
      <c r="F25" s="153">
        <v>0.0431088737</v>
      </c>
      <c r="G25" s="159">
        <v>0.03873592963005391</v>
      </c>
    </row>
    <row r="26" spans="1:7" ht="12.75">
      <c r="A26" s="140" t="s">
        <v>110</v>
      </c>
      <c r="B26" s="134">
        <v>0.02348065334</v>
      </c>
      <c r="C26" s="118">
        <v>0.0113945754</v>
      </c>
      <c r="D26" s="118">
        <v>0.015760681999999998</v>
      </c>
      <c r="E26" s="118">
        <v>-0.0010853819999999993</v>
      </c>
      <c r="F26" s="153">
        <v>0.021954823000000002</v>
      </c>
      <c r="G26" s="159">
        <v>0.012602033283560594</v>
      </c>
    </row>
    <row r="27" spans="1:7" ht="12.75">
      <c r="A27" s="140" t="s">
        <v>112</v>
      </c>
      <c r="B27" s="134">
        <v>0.074395177</v>
      </c>
      <c r="C27" s="118">
        <v>0.041806606</v>
      </c>
      <c r="D27" s="118">
        <v>0.022185333999999998</v>
      </c>
      <c r="E27" s="118">
        <v>0.039867164</v>
      </c>
      <c r="F27" s="153">
        <v>0.049678721999999995</v>
      </c>
      <c r="G27" s="159">
        <v>0.0423834970023332</v>
      </c>
    </row>
    <row r="28" spans="1:7" ht="12.75">
      <c r="A28" s="140" t="s">
        <v>114</v>
      </c>
      <c r="B28" s="134">
        <v>0.017710048</v>
      </c>
      <c r="C28" s="118">
        <v>0.017279101</v>
      </c>
      <c r="D28" s="118">
        <v>0.014607859</v>
      </c>
      <c r="E28" s="118">
        <v>0.012821074399999998</v>
      </c>
      <c r="F28" s="153">
        <v>-0.0155179904</v>
      </c>
      <c r="G28" s="159">
        <v>0.011239171404403552</v>
      </c>
    </row>
    <row r="29" spans="1:7" ht="13.5" thickBot="1">
      <c r="A29" s="141" t="s">
        <v>116</v>
      </c>
      <c r="B29" s="136">
        <v>0.0010159871100000003</v>
      </c>
      <c r="C29" s="120">
        <v>-0.0023665909800000004</v>
      </c>
      <c r="D29" s="120">
        <v>-0.0033461471100000003</v>
      </c>
      <c r="E29" s="120">
        <v>0.001976371901</v>
      </c>
      <c r="F29" s="156">
        <v>0.0055095329</v>
      </c>
      <c r="G29" s="160">
        <v>-1.4970292376781988E-05</v>
      </c>
    </row>
    <row r="30" spans="1:7" ht="13.5" thickTop="1">
      <c r="A30" s="142" t="s">
        <v>117</v>
      </c>
      <c r="B30" s="137">
        <v>-0.442826138356692</v>
      </c>
      <c r="C30" s="126">
        <v>-0.05177038327725769</v>
      </c>
      <c r="D30" s="126">
        <v>0.15252940071747106</v>
      </c>
      <c r="E30" s="126">
        <v>0.34466100159473384</v>
      </c>
      <c r="F30" s="122">
        <v>0.4828839492104316</v>
      </c>
      <c r="G30" s="161" t="s">
        <v>128</v>
      </c>
    </row>
    <row r="31" spans="1:7" ht="13.5" thickBot="1">
      <c r="A31" s="143" t="s">
        <v>118</v>
      </c>
      <c r="B31" s="132">
        <v>21.377564</v>
      </c>
      <c r="C31" s="123">
        <v>21.395875</v>
      </c>
      <c r="D31" s="123">
        <v>21.414185</v>
      </c>
      <c r="E31" s="123">
        <v>21.447755</v>
      </c>
      <c r="F31" s="124">
        <v>21.50879</v>
      </c>
      <c r="G31" s="163">
        <v>-209.93</v>
      </c>
    </row>
    <row r="32" spans="1:7" ht="15.75" thickBot="1" thickTop="1">
      <c r="A32" s="144" t="s">
        <v>119</v>
      </c>
      <c r="B32" s="138">
        <v>-0.4179999977350235</v>
      </c>
      <c r="C32" s="127">
        <v>0.4299999922513962</v>
      </c>
      <c r="D32" s="127">
        <v>-0.27799999713897705</v>
      </c>
      <c r="E32" s="127">
        <v>0.30650000274181366</v>
      </c>
      <c r="F32" s="125">
        <v>-0.2644999995827675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0.5" style="164" bestFit="1" customWidth="1"/>
    <col min="2" max="3" width="14.83203125" style="164" bestFit="1" customWidth="1"/>
    <col min="4" max="4" width="16" style="164" bestFit="1" customWidth="1"/>
    <col min="5" max="5" width="22.16015625" style="164" bestFit="1" customWidth="1"/>
    <col min="6" max="6" width="15.33203125" style="164" bestFit="1" customWidth="1"/>
    <col min="7" max="7" width="14.83203125" style="164" bestFit="1" customWidth="1"/>
    <col min="8" max="8" width="14.16015625" style="164" bestFit="1" customWidth="1"/>
    <col min="9" max="9" width="14.83203125" style="164" bestFit="1" customWidth="1"/>
    <col min="10" max="10" width="6.33203125" style="164" bestFit="1" customWidth="1"/>
    <col min="11" max="11" width="15" style="164" bestFit="1" customWidth="1"/>
    <col min="12" max="16384" width="10.66015625" style="164" customWidth="1"/>
  </cols>
  <sheetData>
    <row r="1" spans="1:5" ht="12.75">
      <c r="A1" s="164" t="s">
        <v>129</v>
      </c>
      <c r="B1" s="164" t="s">
        <v>130</v>
      </c>
      <c r="C1" s="164" t="s">
        <v>131</v>
      </c>
      <c r="D1" s="164" t="s">
        <v>132</v>
      </c>
      <c r="E1" s="164" t="s">
        <v>28</v>
      </c>
    </row>
    <row r="3" spans="1:7" ht="12.75">
      <c r="A3" s="164" t="s">
        <v>133</v>
      </c>
      <c r="B3" s="164" t="s">
        <v>84</v>
      </c>
      <c r="C3" s="164" t="s">
        <v>85</v>
      </c>
      <c r="D3" s="164" t="s">
        <v>86</v>
      </c>
      <c r="E3" s="164" t="s">
        <v>87</v>
      </c>
      <c r="F3" s="164" t="s">
        <v>88</v>
      </c>
      <c r="G3" s="164" t="s">
        <v>134</v>
      </c>
    </row>
    <row r="4" spans="1:7" ht="12.75">
      <c r="A4" s="164" t="s">
        <v>135</v>
      </c>
      <c r="B4" s="164">
        <f>0.002255*1.0033</f>
        <v>0.0022624415</v>
      </c>
      <c r="C4" s="164">
        <f>0.003754*1.0033</f>
        <v>0.0037663882000000004</v>
      </c>
      <c r="D4" s="164">
        <f>0.003753*1.0033</f>
        <v>0.0037653849</v>
      </c>
      <c r="E4" s="164">
        <f>0.003753*1.0033</f>
        <v>0.0037653849</v>
      </c>
      <c r="F4" s="164">
        <f>0.002087*1.0033</f>
        <v>0.0020938871</v>
      </c>
      <c r="G4" s="164">
        <f>0.0117*1.0033</f>
        <v>0.011738610000000002</v>
      </c>
    </row>
    <row r="5" spans="1:7" ht="12.75">
      <c r="A5" s="164" t="s">
        <v>136</v>
      </c>
      <c r="B5" s="164">
        <v>9.260452</v>
      </c>
      <c r="C5" s="164">
        <v>3.205166</v>
      </c>
      <c r="D5" s="164">
        <v>-1.149795</v>
      </c>
      <c r="E5" s="164">
        <v>-3.829852</v>
      </c>
      <c r="F5" s="164">
        <v>-6.797061</v>
      </c>
      <c r="G5" s="164">
        <v>1.923209</v>
      </c>
    </row>
    <row r="6" spans="1:7" ht="12.75">
      <c r="A6" s="164" t="s">
        <v>137</v>
      </c>
      <c r="B6" s="165">
        <v>-75.84753</v>
      </c>
      <c r="C6" s="165">
        <v>93.33897</v>
      </c>
      <c r="D6" s="165">
        <v>3.414938</v>
      </c>
      <c r="E6" s="165">
        <v>-50.84746</v>
      </c>
      <c r="F6" s="165">
        <v>-0.6427044</v>
      </c>
      <c r="G6" s="165">
        <v>-0.0007128234</v>
      </c>
    </row>
    <row r="7" spans="1:7" ht="12.75">
      <c r="A7" s="164" t="s">
        <v>138</v>
      </c>
      <c r="B7" s="165">
        <v>10000</v>
      </c>
      <c r="C7" s="165">
        <v>10000</v>
      </c>
      <c r="D7" s="165">
        <v>10000</v>
      </c>
      <c r="E7" s="165">
        <v>10000</v>
      </c>
      <c r="F7" s="165">
        <v>10000</v>
      </c>
      <c r="G7" s="165">
        <v>10000</v>
      </c>
    </row>
    <row r="8" spans="1:7" ht="12.75">
      <c r="A8" s="164" t="s">
        <v>91</v>
      </c>
      <c r="B8" s="165">
        <v>-0.5589423</v>
      </c>
      <c r="C8" s="165">
        <v>0.5679754</v>
      </c>
      <c r="D8" s="165">
        <v>0.2654474</v>
      </c>
      <c r="E8" s="165">
        <v>1.711642</v>
      </c>
      <c r="F8" s="165">
        <v>-1.358725</v>
      </c>
      <c r="G8" s="165">
        <v>0.3497678</v>
      </c>
    </row>
    <row r="9" spans="1:7" ht="12.75">
      <c r="A9" s="164" t="s">
        <v>93</v>
      </c>
      <c r="B9" s="165">
        <v>-0.4022666</v>
      </c>
      <c r="C9" s="165">
        <v>0.4614873</v>
      </c>
      <c r="D9" s="165">
        <v>0.4077983</v>
      </c>
      <c r="E9" s="165">
        <v>0.600809</v>
      </c>
      <c r="F9" s="165">
        <v>-0.4467638</v>
      </c>
      <c r="G9" s="165">
        <v>0.2357912</v>
      </c>
    </row>
    <row r="10" spans="1:7" ht="12.75">
      <c r="A10" s="164" t="s">
        <v>95</v>
      </c>
      <c r="B10" s="165">
        <v>0.2209296</v>
      </c>
      <c r="C10" s="165">
        <v>0.8235227</v>
      </c>
      <c r="D10" s="165">
        <v>-0.004431727</v>
      </c>
      <c r="E10" s="165">
        <v>-0.4717436</v>
      </c>
      <c r="F10" s="165">
        <v>-0.2485541</v>
      </c>
      <c r="G10" s="165">
        <v>0.08226077</v>
      </c>
    </row>
    <row r="11" spans="1:7" ht="12.75">
      <c r="A11" s="164" t="s">
        <v>97</v>
      </c>
      <c r="B11" s="165">
        <v>4.713954</v>
      </c>
      <c r="C11" s="165">
        <v>4.358034</v>
      </c>
      <c r="D11" s="165">
        <v>4.744454</v>
      </c>
      <c r="E11" s="165">
        <v>5.127757</v>
      </c>
      <c r="F11" s="165">
        <v>15.04618</v>
      </c>
      <c r="G11" s="165">
        <v>6.117192</v>
      </c>
    </row>
    <row r="12" spans="1:7" ht="12.75">
      <c r="A12" s="164" t="s">
        <v>99</v>
      </c>
      <c r="B12" s="165">
        <v>0.09596654</v>
      </c>
      <c r="C12" s="165">
        <v>-0.05761281</v>
      </c>
      <c r="D12" s="165">
        <v>-0.3074794</v>
      </c>
      <c r="E12" s="165">
        <v>-0.3176131</v>
      </c>
      <c r="F12" s="165">
        <v>0.003628563</v>
      </c>
      <c r="G12" s="165">
        <v>-0.1498798</v>
      </c>
    </row>
    <row r="13" spans="1:7" ht="12.75">
      <c r="A13" s="164" t="s">
        <v>101</v>
      </c>
      <c r="B13" s="165">
        <v>0.1340706</v>
      </c>
      <c r="C13" s="165">
        <v>-0.04210714</v>
      </c>
      <c r="D13" s="165">
        <v>-0.1363445</v>
      </c>
      <c r="E13" s="165">
        <v>-0.05324687</v>
      </c>
      <c r="F13" s="165">
        <v>0.01886604</v>
      </c>
      <c r="G13" s="165">
        <v>-0.03383916</v>
      </c>
    </row>
    <row r="14" spans="1:7" ht="12.75">
      <c r="A14" s="164" t="s">
        <v>103</v>
      </c>
      <c r="B14" s="165">
        <v>0.09950611</v>
      </c>
      <c r="C14" s="165">
        <v>0.07751486</v>
      </c>
      <c r="D14" s="165">
        <v>-0.03907677</v>
      </c>
      <c r="E14" s="165">
        <v>0.02088275</v>
      </c>
      <c r="F14" s="165">
        <v>0.22819</v>
      </c>
      <c r="G14" s="165">
        <v>0.05917731</v>
      </c>
    </row>
    <row r="15" spans="1:7" ht="12.75">
      <c r="A15" s="164" t="s">
        <v>105</v>
      </c>
      <c r="B15" s="165">
        <v>-0.3777194</v>
      </c>
      <c r="C15" s="165">
        <v>-0.1230592</v>
      </c>
      <c r="D15" s="165">
        <v>-0.09211208</v>
      </c>
      <c r="E15" s="165">
        <v>-0.06849449</v>
      </c>
      <c r="F15" s="165">
        <v>-0.3248707</v>
      </c>
      <c r="G15" s="165">
        <v>-0.1662821</v>
      </c>
    </row>
    <row r="16" spans="1:7" ht="12.75">
      <c r="A16" s="164" t="s">
        <v>107</v>
      </c>
      <c r="B16" s="165">
        <v>-0.005323055</v>
      </c>
      <c r="C16" s="165">
        <v>-0.0242654</v>
      </c>
      <c r="D16" s="165">
        <v>-0.02198426</v>
      </c>
      <c r="E16" s="165">
        <v>-0.05543178</v>
      </c>
      <c r="F16" s="165">
        <v>-0.03209869</v>
      </c>
      <c r="G16" s="165">
        <v>-0.02952354</v>
      </c>
    </row>
    <row r="17" spans="1:7" ht="12.75">
      <c r="A17" s="164" t="s">
        <v>109</v>
      </c>
      <c r="B17" s="165">
        <v>0.00727742</v>
      </c>
      <c r="C17" s="165">
        <v>-0.005017656</v>
      </c>
      <c r="D17" s="165">
        <v>-0.002884496</v>
      </c>
      <c r="E17" s="165">
        <v>-0.01373872</v>
      </c>
      <c r="F17" s="165">
        <v>-0.01572066</v>
      </c>
      <c r="G17" s="165">
        <v>-0.006256943</v>
      </c>
    </row>
    <row r="18" spans="1:7" ht="12.75">
      <c r="A18" s="164" t="s">
        <v>111</v>
      </c>
      <c r="B18" s="165">
        <v>0.04128863</v>
      </c>
      <c r="C18" s="165">
        <v>0.0003138688</v>
      </c>
      <c r="D18" s="165">
        <v>0.02524374</v>
      </c>
      <c r="E18" s="165">
        <v>0.04950122</v>
      </c>
      <c r="F18" s="165">
        <v>-0.002895722</v>
      </c>
      <c r="G18" s="165">
        <v>0.02363755</v>
      </c>
    </row>
    <row r="19" spans="1:7" ht="12.75">
      <c r="A19" s="164" t="s">
        <v>113</v>
      </c>
      <c r="B19" s="165">
        <v>-0.1860603</v>
      </c>
      <c r="C19" s="165">
        <v>-0.1669903</v>
      </c>
      <c r="D19" s="165">
        <v>-0.1703998</v>
      </c>
      <c r="E19" s="165">
        <v>-0.1788663</v>
      </c>
      <c r="F19" s="165">
        <v>-0.1359836</v>
      </c>
      <c r="G19" s="165">
        <v>-0.1692758</v>
      </c>
    </row>
    <row r="20" spans="1:7" ht="12.75">
      <c r="A20" s="164" t="s">
        <v>115</v>
      </c>
      <c r="B20" s="165">
        <v>-0.002691159</v>
      </c>
      <c r="C20" s="165">
        <v>-0.005530686</v>
      </c>
      <c r="D20" s="165">
        <v>0.001376878</v>
      </c>
      <c r="E20" s="165">
        <v>0.002252173</v>
      </c>
      <c r="F20" s="165">
        <v>-0.0008157743</v>
      </c>
      <c r="G20" s="165">
        <v>-0.0009557108</v>
      </c>
    </row>
    <row r="21" spans="1:7" ht="12.75">
      <c r="A21" s="164" t="s">
        <v>139</v>
      </c>
      <c r="B21" s="165">
        <v>-192.7132</v>
      </c>
      <c r="C21" s="165">
        <v>135.5509</v>
      </c>
      <c r="D21" s="165">
        <v>166.9411</v>
      </c>
      <c r="E21" s="165">
        <v>-38.17633</v>
      </c>
      <c r="F21" s="165">
        <v>-267.187</v>
      </c>
      <c r="G21" s="165">
        <v>0.0001172826</v>
      </c>
    </row>
    <row r="22" spans="1:7" ht="12.75">
      <c r="A22" s="164" t="s">
        <v>140</v>
      </c>
      <c r="B22" s="165">
        <v>185.2302</v>
      </c>
      <c r="C22" s="165">
        <v>64.1042</v>
      </c>
      <c r="D22" s="165">
        <v>-22.99595</v>
      </c>
      <c r="E22" s="165">
        <v>-76.59855</v>
      </c>
      <c r="F22" s="165">
        <v>-135.9496</v>
      </c>
      <c r="G22" s="165">
        <v>0</v>
      </c>
    </row>
    <row r="23" spans="1:7" ht="12.75">
      <c r="A23" s="164" t="s">
        <v>92</v>
      </c>
      <c r="B23" s="165">
        <v>0.8027391</v>
      </c>
      <c r="C23" s="165">
        <v>-2.946068</v>
      </c>
      <c r="D23" s="165">
        <v>-1.498878</v>
      </c>
      <c r="E23" s="165">
        <v>-0.2476833</v>
      </c>
      <c r="F23" s="165">
        <v>8.359753</v>
      </c>
      <c r="G23" s="165">
        <v>0.105189</v>
      </c>
    </row>
    <row r="24" spans="1:7" ht="12.75">
      <c r="A24" s="164" t="s">
        <v>141</v>
      </c>
      <c r="B24" s="165">
        <v>0.01624855</v>
      </c>
      <c r="C24" s="165">
        <v>3.104964</v>
      </c>
      <c r="D24" s="165">
        <v>3.522173</v>
      </c>
      <c r="E24" s="165">
        <v>0.3517089</v>
      </c>
      <c r="F24" s="165">
        <v>-2.362522</v>
      </c>
      <c r="G24" s="165">
        <v>1.365294</v>
      </c>
    </row>
    <row r="25" spans="1:7" ht="12.75">
      <c r="A25" s="164" t="s">
        <v>96</v>
      </c>
      <c r="B25" s="165">
        <v>-0.372894</v>
      </c>
      <c r="C25" s="165">
        <v>-0.9703855</v>
      </c>
      <c r="D25" s="165">
        <v>-0.4772134</v>
      </c>
      <c r="E25" s="165">
        <v>0.0002511984</v>
      </c>
      <c r="F25" s="165">
        <v>-2.685071</v>
      </c>
      <c r="G25" s="165">
        <v>-0.7612444</v>
      </c>
    </row>
    <row r="26" spans="1:7" ht="12.75">
      <c r="A26" s="164" t="s">
        <v>98</v>
      </c>
      <c r="B26" s="165">
        <v>0.9066971</v>
      </c>
      <c r="C26" s="165">
        <v>0.1793093</v>
      </c>
      <c r="D26" s="165">
        <v>-0.1370573</v>
      </c>
      <c r="E26" s="165">
        <v>-0.4661056</v>
      </c>
      <c r="F26" s="165">
        <v>0.5114156</v>
      </c>
      <c r="G26" s="165">
        <v>0.09738851</v>
      </c>
    </row>
    <row r="27" spans="1:7" ht="12.75">
      <c r="A27" s="164" t="s">
        <v>100</v>
      </c>
      <c r="B27" s="165">
        <v>-0.05067751</v>
      </c>
      <c r="C27" s="165">
        <v>0.1537166</v>
      </c>
      <c r="D27" s="165">
        <v>0.07997406</v>
      </c>
      <c r="E27" s="165">
        <v>0.05629584</v>
      </c>
      <c r="F27" s="165">
        <v>0.2965616</v>
      </c>
      <c r="G27" s="165">
        <v>0.1021111</v>
      </c>
    </row>
    <row r="28" spans="1:7" ht="12.75">
      <c r="A28" s="164" t="s">
        <v>102</v>
      </c>
      <c r="B28" s="165">
        <v>-0.04938719</v>
      </c>
      <c r="C28" s="165">
        <v>0.1987122</v>
      </c>
      <c r="D28" s="165">
        <v>0.2490008</v>
      </c>
      <c r="E28" s="165">
        <v>-0.1006858</v>
      </c>
      <c r="F28" s="165">
        <v>-0.2578596</v>
      </c>
      <c r="G28" s="165">
        <v>0.04186025</v>
      </c>
    </row>
    <row r="29" spans="1:7" ht="12.75">
      <c r="A29" s="164" t="s">
        <v>104</v>
      </c>
      <c r="B29" s="165">
        <v>0.1520449</v>
      </c>
      <c r="C29" s="165">
        <v>0.04593196</v>
      </c>
      <c r="D29" s="165">
        <v>0.003700428</v>
      </c>
      <c r="E29" s="165">
        <v>0.06062522</v>
      </c>
      <c r="F29" s="165">
        <v>0.1438563</v>
      </c>
      <c r="G29" s="165">
        <v>0.06773947</v>
      </c>
    </row>
    <row r="30" spans="1:7" ht="12.75">
      <c r="A30" s="164" t="s">
        <v>106</v>
      </c>
      <c r="B30" s="165">
        <v>0.06825572</v>
      </c>
      <c r="C30" s="165">
        <v>0.0369397</v>
      </c>
      <c r="D30" s="165">
        <v>0.01736669</v>
      </c>
      <c r="E30" s="165">
        <v>0.05856648</v>
      </c>
      <c r="F30" s="165">
        <v>0.4040686</v>
      </c>
      <c r="G30" s="165">
        <v>0.09106922</v>
      </c>
    </row>
    <row r="31" spans="1:7" ht="12.75">
      <c r="A31" s="164" t="s">
        <v>108</v>
      </c>
      <c r="B31" s="165">
        <v>-0.004542672</v>
      </c>
      <c r="C31" s="165">
        <v>0.06244248</v>
      </c>
      <c r="D31" s="165">
        <v>0.0325536</v>
      </c>
      <c r="E31" s="165">
        <v>0.03953935</v>
      </c>
      <c r="F31" s="165">
        <v>0.0495639</v>
      </c>
      <c r="G31" s="165">
        <v>0.03834041</v>
      </c>
    </row>
    <row r="32" spans="1:7" ht="12.75">
      <c r="A32" s="164" t="s">
        <v>110</v>
      </c>
      <c r="B32" s="165">
        <v>0.005189859</v>
      </c>
      <c r="C32" s="165">
        <v>0.0156647</v>
      </c>
      <c r="D32" s="165">
        <v>0.01941959</v>
      </c>
      <c r="E32" s="165">
        <v>-0.007008594</v>
      </c>
      <c r="F32" s="165">
        <v>0.02351557</v>
      </c>
      <c r="G32" s="165">
        <v>0.01064992</v>
      </c>
    </row>
    <row r="33" spans="1:7" ht="12.75">
      <c r="A33" s="164" t="s">
        <v>112</v>
      </c>
      <c r="B33" s="165">
        <v>0.09357489</v>
      </c>
      <c r="C33" s="165">
        <v>0.03334765</v>
      </c>
      <c r="D33" s="165">
        <v>0.0101131</v>
      </c>
      <c r="E33" s="165">
        <v>0.03971433</v>
      </c>
      <c r="F33" s="165">
        <v>0.0643251</v>
      </c>
      <c r="G33" s="165">
        <v>0.04213664</v>
      </c>
    </row>
    <row r="34" spans="1:7" ht="12.75">
      <c r="A34" s="164" t="s">
        <v>114</v>
      </c>
      <c r="B34" s="165">
        <v>-0.006389804</v>
      </c>
      <c r="C34" s="165">
        <v>0.009731729</v>
      </c>
      <c r="D34" s="165">
        <v>0.01738863</v>
      </c>
      <c r="E34" s="165">
        <v>0.02243631</v>
      </c>
      <c r="F34" s="165">
        <v>-0.002582769</v>
      </c>
      <c r="G34" s="165">
        <v>0.01065888</v>
      </c>
    </row>
    <row r="35" spans="1:7" ht="12.75">
      <c r="A35" s="164" t="s">
        <v>116</v>
      </c>
      <c r="B35" s="165">
        <v>0.0006508266</v>
      </c>
      <c r="C35" s="165">
        <v>-0.002635229</v>
      </c>
      <c r="D35" s="165">
        <v>-0.003368099</v>
      </c>
      <c r="E35" s="165">
        <v>0.001854656</v>
      </c>
      <c r="F35" s="165">
        <v>0.005622056</v>
      </c>
      <c r="G35" s="165">
        <v>-0.0001520098</v>
      </c>
    </row>
    <row r="36" spans="1:6" ht="12.75">
      <c r="A36" s="164" t="s">
        <v>142</v>
      </c>
      <c r="B36" s="165">
        <v>21.50879</v>
      </c>
      <c r="C36" s="165">
        <v>21.50879</v>
      </c>
      <c r="D36" s="165">
        <v>21.53015</v>
      </c>
      <c r="E36" s="165">
        <v>21.5332</v>
      </c>
      <c r="F36" s="165">
        <v>21.54846</v>
      </c>
    </row>
    <row r="37" spans="1:6" ht="12.75">
      <c r="A37" s="164" t="s">
        <v>143</v>
      </c>
      <c r="B37" s="165">
        <v>-0.2685547</v>
      </c>
      <c r="C37" s="165">
        <v>-0.259908</v>
      </c>
      <c r="D37" s="165">
        <v>-0.255839</v>
      </c>
      <c r="E37" s="165">
        <v>-0.2512614</v>
      </c>
      <c r="F37" s="165">
        <v>-0.2497355</v>
      </c>
    </row>
    <row r="38" spans="1:7" ht="12.75">
      <c r="A38" s="164" t="s">
        <v>144</v>
      </c>
      <c r="B38" s="165">
        <v>0.0001349629</v>
      </c>
      <c r="C38" s="165">
        <v>-0.0001601469</v>
      </c>
      <c r="D38" s="165">
        <v>0</v>
      </c>
      <c r="E38" s="165">
        <v>8.593852E-05</v>
      </c>
      <c r="F38" s="165">
        <v>0</v>
      </c>
      <c r="G38" s="165">
        <v>0.000186626</v>
      </c>
    </row>
    <row r="39" spans="1:7" ht="12.75">
      <c r="A39" s="164" t="s">
        <v>145</v>
      </c>
      <c r="B39" s="165">
        <v>0.0003251125</v>
      </c>
      <c r="C39" s="165">
        <v>-0.00022941</v>
      </c>
      <c r="D39" s="165">
        <v>-0.0002838117</v>
      </c>
      <c r="E39" s="165">
        <v>6.555803E-05</v>
      </c>
      <c r="F39" s="165">
        <v>0.0004541489</v>
      </c>
      <c r="G39" s="165">
        <v>0.0004362668</v>
      </c>
    </row>
    <row r="40" spans="2:5" ht="12.75">
      <c r="B40" s="164" t="s">
        <v>146</v>
      </c>
      <c r="C40" s="164">
        <v>-0.003753</v>
      </c>
      <c r="D40" s="164" t="s">
        <v>147</v>
      </c>
      <c r="E40" s="164">
        <v>3.117237</v>
      </c>
    </row>
    <row r="42" ht="12.75">
      <c r="A42" s="164" t="s">
        <v>148</v>
      </c>
    </row>
    <row r="50" spans="1:7" ht="12.75">
      <c r="A50" s="164" t="s">
        <v>149</v>
      </c>
      <c r="B50" s="164">
        <f>-0.017/(B7*B7+B22*B22)*(B21*B22+B6*B7)</f>
        <v>0.00013496286671244481</v>
      </c>
      <c r="C50" s="164">
        <f>-0.017/(C7*C7+C22*C22)*(C21*C22+C6*C7)</f>
        <v>-0.00016014686294800012</v>
      </c>
      <c r="D50" s="164">
        <f>-0.017/(D7*D7+D22*D22)*(D21*D22+D6*D7)</f>
        <v>-5.152742589537765E-06</v>
      </c>
      <c r="E50" s="164">
        <f>-0.017/(E7*E7+E22*E22)*(E21*E22+E6*E7)</f>
        <v>8.593851693806292E-05</v>
      </c>
      <c r="F50" s="164">
        <f>-0.017/(F7*F7+F22*F22)*(F21*F22+F6*F7)</f>
        <v>-5.081537517093575E-06</v>
      </c>
      <c r="G50" s="164">
        <f>(B50*B$4+C50*C$4+D50*D$4+E50*E$4+F50*F$4)/SUM(B$4:F$4)</f>
        <v>-2.7344037548960455E-07</v>
      </c>
    </row>
    <row r="51" spans="1:7" ht="12.75">
      <c r="A51" s="164" t="s">
        <v>150</v>
      </c>
      <c r="B51" s="164">
        <f>-0.017/(B7*B7+B22*B22)*(B21*B7-B6*B22)</f>
        <v>0.00032511252012062806</v>
      </c>
      <c r="C51" s="164">
        <f>-0.017/(C7*C7+C22*C22)*(C21*C7-C6*C22)</f>
        <v>-0.00022940992134682097</v>
      </c>
      <c r="D51" s="164">
        <f>-0.017/(D7*D7+D22*D22)*(D21*D7-D6*D22)</f>
        <v>-0.0002838117192210952</v>
      </c>
      <c r="E51" s="164">
        <f>-0.017/(E7*E7+E22*E22)*(E21*E7-E6*E22)</f>
        <v>6.55580375786606E-05</v>
      </c>
      <c r="F51" s="164">
        <f>-0.017/(F7*F7+F22*F22)*(F21*F7-F6*F22)</f>
        <v>0.00045414881670071663</v>
      </c>
      <c r="G51" s="164">
        <f>(B51*B$4+C51*C$4+D51*D$4+E51*E$4+F51*F$4)/SUM(B$4:F$4)</f>
        <v>4.014878774445878E-08</v>
      </c>
    </row>
    <row r="58" ht="12.75">
      <c r="A58" s="164" t="s">
        <v>152</v>
      </c>
    </row>
    <row r="60" spans="2:6" ht="12.75">
      <c r="B60" s="164" t="s">
        <v>84</v>
      </c>
      <c r="C60" s="164" t="s">
        <v>85</v>
      </c>
      <c r="D60" s="164" t="s">
        <v>86</v>
      </c>
      <c r="E60" s="164" t="s">
        <v>87</v>
      </c>
      <c r="F60" s="164" t="s">
        <v>88</v>
      </c>
    </row>
    <row r="61" spans="1:6" ht="12.75">
      <c r="A61" s="164" t="s">
        <v>154</v>
      </c>
      <c r="B61" s="164">
        <f>B6+(1/0.017)*(B7*B50-B22*B51)</f>
        <v>0</v>
      </c>
      <c r="C61" s="164">
        <f>C6+(1/0.017)*(C7*C50-C22*C51)</f>
        <v>0</v>
      </c>
      <c r="D61" s="164">
        <f>D6+(1/0.017)*(D7*D50-D22*D51)</f>
        <v>0</v>
      </c>
      <c r="E61" s="164">
        <f>E6+(1/0.017)*(E7*E50-E22*E51)</f>
        <v>0</v>
      </c>
      <c r="F61" s="164">
        <f>F6+(1/0.017)*(F7*F50-F22*F51)</f>
        <v>0</v>
      </c>
    </row>
    <row r="62" spans="1:6" ht="12.75">
      <c r="A62" s="164" t="s">
        <v>157</v>
      </c>
      <c r="B62" s="164">
        <f>B7+(2/0.017)*(B8*B50-B23*B51)</f>
        <v>9999.960421530948</v>
      </c>
      <c r="C62" s="164">
        <f>C7+(2/0.017)*(C8*C50-C23*C51)</f>
        <v>9999.9097862698</v>
      </c>
      <c r="D62" s="164">
        <f>D7+(2/0.017)*(D8*D50-D23*D51)</f>
        <v>9999.949792126565</v>
      </c>
      <c r="E62" s="164">
        <f>E7+(2/0.017)*(E8*E50-E23*E51)</f>
        <v>10000.019215718365</v>
      </c>
      <c r="F62" s="164">
        <f>F7+(2/0.017)*(F8*F50-F23*F51)</f>
        <v>9999.554156762259</v>
      </c>
    </row>
    <row r="63" spans="1:6" ht="12.75">
      <c r="A63" s="164" t="s">
        <v>158</v>
      </c>
      <c r="B63" s="164">
        <f>B8+(3/0.017)*(B9*B50-B24*B51)</f>
        <v>-0.5694552989219073</v>
      </c>
      <c r="C63" s="164">
        <f>C8+(3/0.017)*(C9*C50-C24*C51)</f>
        <v>0.6806348947598885</v>
      </c>
      <c r="D63" s="164">
        <f>D8+(3/0.017)*(D9*D50-D24*D51)</f>
        <v>0.4414825814451361</v>
      </c>
      <c r="E63" s="164">
        <f>E8+(3/0.017)*(E9*E50-E24*E51)</f>
        <v>1.7166846980835457</v>
      </c>
      <c r="F63" s="164">
        <f>F8+(3/0.017)*(F9*F50-F24*F51)</f>
        <v>-1.1689826203987548</v>
      </c>
    </row>
    <row r="64" spans="1:6" ht="12.75">
      <c r="A64" s="164" t="s">
        <v>159</v>
      </c>
      <c r="B64" s="164">
        <f>B9+(4/0.017)*(B10*B50-B25*B51)</f>
        <v>-0.3667254705328246</v>
      </c>
      <c r="C64" s="164">
        <f>C9+(4/0.017)*(C10*C50-C25*C51)</f>
        <v>0.3780753851288088</v>
      </c>
      <c r="D64" s="164">
        <f>D9+(4/0.017)*(D10*D50-D25*D51)</f>
        <v>0.37593573060214447</v>
      </c>
      <c r="E64" s="164">
        <f>E9+(4/0.017)*(E10*E50-E25*E51)</f>
        <v>0.5912660791921954</v>
      </c>
      <c r="F64" s="164">
        <f>F9+(4/0.017)*(F10*F50-F25*F51)</f>
        <v>-0.15954383426080293</v>
      </c>
    </row>
    <row r="65" spans="1:6" ht="12.75">
      <c r="A65" s="164" t="s">
        <v>160</v>
      </c>
      <c r="B65" s="164">
        <f>B10+(5/0.017)*(B11*B50-B26*B51)</f>
        <v>0.32135023712456795</v>
      </c>
      <c r="C65" s="164">
        <f>C10+(5/0.017)*(C11*C50-C26*C51)</f>
        <v>0.630349129026185</v>
      </c>
      <c r="D65" s="164">
        <f>D10+(5/0.017)*(D11*D50-D26*D51)</f>
        <v>-0.023062732333736534</v>
      </c>
      <c r="E65" s="164">
        <f>E10+(5/0.017)*(E11*E50-E26*E51)</f>
        <v>-0.33314689404729564</v>
      </c>
      <c r="F65" s="164">
        <f>F10+(5/0.017)*(F11*F50-F26*F51)</f>
        <v>-0.33935307580624413</v>
      </c>
    </row>
    <row r="66" spans="1:6" ht="12.75">
      <c r="A66" s="164" t="s">
        <v>161</v>
      </c>
      <c r="B66" s="164">
        <f>B11+(6/0.017)*(B12*B50-B27*B51)</f>
        <v>4.724340286706969</v>
      </c>
      <c r="C66" s="164">
        <f>C11+(6/0.017)*(C12*C50-C27*C51)</f>
        <v>4.373736573142172</v>
      </c>
      <c r="D66" s="164">
        <f>D11+(6/0.017)*(D12*D50-D27*D51)</f>
        <v>4.753024095645227</v>
      </c>
      <c r="E66" s="164">
        <f>E11+(6/0.017)*(E12*E50-E27*E51)</f>
        <v>5.116820819917056</v>
      </c>
      <c r="F66" s="164">
        <f>F11+(6/0.017)*(F12*F50-F27*F51)</f>
        <v>14.998638280565451</v>
      </c>
    </row>
    <row r="67" spans="1:6" ht="12.75">
      <c r="A67" s="164" t="s">
        <v>162</v>
      </c>
      <c r="B67" s="164">
        <f>B12+(7/0.017)*(B13*B50-B28*B51)</f>
        <v>0.11002869436723745</v>
      </c>
      <c r="C67" s="164">
        <f>C12+(7/0.017)*(C13*C50-C28*C51)</f>
        <v>-0.03606521377296694</v>
      </c>
      <c r="D67" s="164">
        <f>D12+(7/0.017)*(D13*D50-D28*D51)</f>
        <v>-0.2780909733687064</v>
      </c>
      <c r="E67" s="164">
        <f>E12+(7/0.017)*(E13*E50-E28*E51)</f>
        <v>-0.31677935617973496</v>
      </c>
      <c r="F67" s="164">
        <f>F12+(7/0.017)*(F13*F50-F28*F51)</f>
        <v>0.05180946571023694</v>
      </c>
    </row>
    <row r="68" spans="1:6" ht="12.75">
      <c r="A68" s="164" t="s">
        <v>163</v>
      </c>
      <c r="B68" s="164">
        <f>B13+(8/0.017)*(B14*B50-B29*B51)</f>
        <v>0.11712844905906589</v>
      </c>
      <c r="C68" s="164">
        <f>C13+(8/0.017)*(C14*C50-C29*C51)</f>
        <v>-0.042990205567034395</v>
      </c>
      <c r="D68" s="164">
        <f>D13+(8/0.017)*(D14*D50-D29*D51)</f>
        <v>-0.1357555224143179</v>
      </c>
      <c r="E68" s="164">
        <f>E13+(8/0.017)*(E14*E50-E29*E51)</f>
        <v>-0.054272676064181756</v>
      </c>
      <c r="F68" s="164">
        <f>F13+(8/0.017)*(F14*F50-F29*F51)</f>
        <v>-0.012424183278102997</v>
      </c>
    </row>
    <row r="69" spans="1:6" ht="12.75">
      <c r="A69" s="164" t="s">
        <v>164</v>
      </c>
      <c r="B69" s="164">
        <f>B14+(9/0.017)*(B15*B50-B30*B51)</f>
        <v>0.06076964296418981</v>
      </c>
      <c r="C69" s="164">
        <f>C14+(9/0.017)*(C15*C50-C30*C51)</f>
        <v>0.0924346780338936</v>
      </c>
      <c r="D69" s="164">
        <f>D14+(9/0.017)*(D15*D50-D30*D51)</f>
        <v>-0.03621609353803762</v>
      </c>
      <c r="E69" s="164">
        <f>E14+(9/0.017)*(E15*E50-E30*E51)</f>
        <v>0.015733787325207665</v>
      </c>
      <c r="F69" s="164">
        <f>F14+(9/0.017)*(F15*F50-F30*F51)</f>
        <v>0.1319130644028855</v>
      </c>
    </row>
    <row r="70" spans="1:6" ht="12.75">
      <c r="A70" s="164" t="s">
        <v>165</v>
      </c>
      <c r="B70" s="164">
        <f>B15+(10/0.017)*(B16*B50-B31*B51)</f>
        <v>-0.3772732442473333</v>
      </c>
      <c r="C70" s="164">
        <f>C15+(10/0.017)*(C16*C50-C31*C51)</f>
        <v>-0.11234687522724773</v>
      </c>
      <c r="D70" s="164">
        <f>D15+(10/0.017)*(D16*D50-D31*D51)</f>
        <v>-0.08661068446138981</v>
      </c>
      <c r="E70" s="164">
        <f>E15+(10/0.017)*(E16*E50-E31*E51)</f>
        <v>-0.0728214589162193</v>
      </c>
      <c r="F70" s="164">
        <f>F15+(10/0.017)*(F16*F50-F31*F51)</f>
        <v>-0.33801556814034595</v>
      </c>
    </row>
    <row r="71" spans="1:6" ht="12.75">
      <c r="A71" s="164" t="s">
        <v>166</v>
      </c>
      <c r="B71" s="164">
        <f>B16+(11/0.017)*(B17*B50-B32*B51)</f>
        <v>-0.00577930049435251</v>
      </c>
      <c r="C71" s="164">
        <f>C16+(11/0.017)*(C17*C50-C32*C51)</f>
        <v>-0.021420153288858157</v>
      </c>
      <c r="D71" s="164">
        <f>D16+(11/0.017)*(D17*D50-D32*D51)</f>
        <v>-0.018408373341857014</v>
      </c>
      <c r="E71" s="164">
        <f>E16+(11/0.017)*(E17*E50-E32*E51)</f>
        <v>-0.05589844888697759</v>
      </c>
      <c r="F71" s="164">
        <f>F16+(11/0.017)*(F17*F50-F32*F51)</f>
        <v>-0.0389573085191502</v>
      </c>
    </row>
    <row r="72" spans="1:6" ht="12.75">
      <c r="A72" s="164" t="s">
        <v>167</v>
      </c>
      <c r="B72" s="164">
        <f>B17+(12/0.017)*(B18*B50-B33*B51)</f>
        <v>-0.010263711605045488</v>
      </c>
      <c r="C72" s="164">
        <f>C17+(12/0.017)*(C18*C50-C33*C51)</f>
        <v>0.00034706164228521987</v>
      </c>
      <c r="D72" s="164">
        <f>D17+(12/0.017)*(D18*D50-D33*D51)</f>
        <v>-0.00095027825639696</v>
      </c>
      <c r="E72" s="164">
        <f>E17+(12/0.017)*(E18*E50-E33*E51)</f>
        <v>-0.012573683838912858</v>
      </c>
      <c r="F72" s="164">
        <f>F17+(12/0.017)*(F18*F50-F33*F51)</f>
        <v>-0.036331332938239896</v>
      </c>
    </row>
    <row r="73" spans="1:6" ht="12.75">
      <c r="A73" s="164" t="s">
        <v>168</v>
      </c>
      <c r="B73" s="164">
        <f>B18+(13/0.017)*(B19*B50-B34*B51)</f>
        <v>0.02367452762104776</v>
      </c>
      <c r="C73" s="164">
        <f>C18+(13/0.017)*(C19*C50-C34*C51)</f>
        <v>0.022471625408155997</v>
      </c>
      <c r="D73" s="164">
        <f>D18+(13/0.017)*(D19*D50-D34*D51)</f>
        <v>0.029689069568518058</v>
      </c>
      <c r="E73" s="164">
        <f>E18+(13/0.017)*(E19*E50-E34*E51)</f>
        <v>0.036621749112825494</v>
      </c>
      <c r="F73" s="164">
        <f>F18+(13/0.017)*(F19*F50-F34*F51)</f>
        <v>-0.001470335279204729</v>
      </c>
    </row>
    <row r="74" spans="1:6" ht="12.75">
      <c r="A74" s="164" t="s">
        <v>169</v>
      </c>
      <c r="B74" s="164">
        <f>B19+(14/0.017)*(B20*B50-B35*B51)</f>
        <v>-0.18653366339606423</v>
      </c>
      <c r="C74" s="164">
        <f>C19+(14/0.017)*(C20*C50-C35*C51)</f>
        <v>-0.16675874466510507</v>
      </c>
      <c r="D74" s="164">
        <f>D19+(14/0.017)*(D20*D50-D35*D51)</f>
        <v>-0.17119285937167722</v>
      </c>
      <c r="E74" s="164">
        <f>E19+(14/0.017)*(E20*E50-E35*E51)</f>
        <v>-0.17880703816489987</v>
      </c>
      <c r="F74" s="164">
        <f>F19+(14/0.017)*(F20*F50-F35*F51)</f>
        <v>-0.1380828626876235</v>
      </c>
    </row>
    <row r="75" spans="1:6" ht="12.75">
      <c r="A75" s="164" t="s">
        <v>170</v>
      </c>
      <c r="B75" s="165">
        <f>B20</f>
        <v>-0.002691159</v>
      </c>
      <c r="C75" s="165">
        <f>C20</f>
        <v>-0.005530686</v>
      </c>
      <c r="D75" s="165">
        <f>D20</f>
        <v>0.001376878</v>
      </c>
      <c r="E75" s="165">
        <f>E20</f>
        <v>0.002252173</v>
      </c>
      <c r="F75" s="165">
        <f>F20</f>
        <v>-0.0008157743</v>
      </c>
    </row>
    <row r="78" ht="12.75">
      <c r="A78" s="164" t="s">
        <v>152</v>
      </c>
    </row>
    <row r="80" spans="2:6" ht="12.75">
      <c r="B80" s="164" t="s">
        <v>84</v>
      </c>
      <c r="C80" s="164" t="s">
        <v>85</v>
      </c>
      <c r="D80" s="164" t="s">
        <v>86</v>
      </c>
      <c r="E80" s="164" t="s">
        <v>87</v>
      </c>
      <c r="F80" s="164" t="s">
        <v>88</v>
      </c>
    </row>
    <row r="81" spans="1:6" ht="12.75">
      <c r="A81" s="164" t="s">
        <v>171</v>
      </c>
      <c r="B81" s="164">
        <f>B21+(1/0.017)*(B7*B51+B22*B50)</f>
        <v>0</v>
      </c>
      <c r="C81" s="164">
        <f>C21+(1/0.017)*(C7*C51+C22*C50)</f>
        <v>0</v>
      </c>
      <c r="D81" s="164">
        <f>D21+(1/0.017)*(D7*D51+D22*D50)</f>
        <v>0</v>
      </c>
      <c r="E81" s="164">
        <f>E21+(1/0.017)*(E7*E51+E22*E50)</f>
        <v>0</v>
      </c>
      <c r="F81" s="164">
        <f>F21+(1/0.017)*(F7*F51+F22*F50)</f>
        <v>0</v>
      </c>
    </row>
    <row r="82" spans="1:6" ht="12.75">
      <c r="A82" s="164" t="s">
        <v>172</v>
      </c>
      <c r="B82" s="164">
        <f>B22+(2/0.017)*(B8*B51+B23*B50)</f>
        <v>185.221567156518</v>
      </c>
      <c r="C82" s="164">
        <f>C22+(2/0.017)*(C8*C51+C23*C50)</f>
        <v>64.14437698310478</v>
      </c>
      <c r="D82" s="164">
        <f>D22+(2/0.017)*(D8*D51+D23*D50)</f>
        <v>-23.003904558876428</v>
      </c>
      <c r="E82" s="164">
        <f>E22+(2/0.017)*(E8*E51+E23*E50)</f>
        <v>-76.58785278175472</v>
      </c>
      <c r="F82" s="164">
        <f>F22+(2/0.017)*(F8*F51+F23*F50)</f>
        <v>-136.02719338229116</v>
      </c>
    </row>
    <row r="83" spans="1:6" ht="12.75">
      <c r="A83" s="164" t="s">
        <v>173</v>
      </c>
      <c r="B83" s="164">
        <f>B23+(3/0.017)*(B9*B51+B24*B50)</f>
        <v>0.7800469310826289</v>
      </c>
      <c r="C83" s="164">
        <f>C23+(3/0.017)*(C9*C51+C24*C50)</f>
        <v>-3.0525009428285936</v>
      </c>
      <c r="D83" s="164">
        <f>D23+(3/0.017)*(D9*D51+D24*D50)</f>
        <v>-1.5225050801370459</v>
      </c>
      <c r="E83" s="164">
        <f>E23+(3/0.017)*(E9*E51+E24*E50)</f>
        <v>-0.23539861760126207</v>
      </c>
      <c r="F83" s="164">
        <f>F23+(3/0.017)*(F9*F51+F24*F50)</f>
        <v>8.326066175246455</v>
      </c>
    </row>
    <row r="84" spans="1:6" ht="12.75">
      <c r="A84" s="164" t="s">
        <v>174</v>
      </c>
      <c r="B84" s="164">
        <f>B24+(4/0.017)*(B10*B51+B25*B50)</f>
        <v>0.02130740548361692</v>
      </c>
      <c r="C84" s="164">
        <f>C24+(4/0.017)*(C10*C51+C25*C50)</f>
        <v>3.0970769213743305</v>
      </c>
      <c r="D84" s="164">
        <f>D24+(4/0.017)*(D10*D51+D25*D50)</f>
        <v>3.523047525616345</v>
      </c>
      <c r="E84" s="164">
        <f>E24+(4/0.017)*(E10*E51+E25*E50)</f>
        <v>0.34443713599097897</v>
      </c>
      <c r="F84" s="164">
        <f>F24+(4/0.017)*(F10*F51+F25*F50)</f>
        <v>-2.385871708559659</v>
      </c>
    </row>
    <row r="85" spans="1:6" ht="12.75">
      <c r="A85" s="164" t="s">
        <v>175</v>
      </c>
      <c r="B85" s="164">
        <f>B25+(5/0.017)*(B11*B51+B26*B50)</f>
        <v>0.11385185427311045</v>
      </c>
      <c r="C85" s="164">
        <f>C25+(5/0.017)*(C11*C51+C26*C50)</f>
        <v>-1.2728831644291687</v>
      </c>
      <c r="D85" s="164">
        <f>D25+(5/0.017)*(D11*D51+D26*D50)</f>
        <v>-0.8730444075054368</v>
      </c>
      <c r="E85" s="164">
        <f>E25+(5/0.017)*(E11*E51+E26*E50)</f>
        <v>0.08734215784109232</v>
      </c>
      <c r="F85" s="164">
        <f>F25+(5/0.017)*(F11*F51+F26*F50)</f>
        <v>-0.6760692160859523</v>
      </c>
    </row>
    <row r="86" spans="1:6" ht="12.75">
      <c r="A86" s="164" t="s">
        <v>176</v>
      </c>
      <c r="B86" s="164">
        <f>B26+(6/0.017)*(B12*B51+B27*B50)</f>
        <v>0.9152948676373678</v>
      </c>
      <c r="C86" s="164">
        <f>C26+(6/0.017)*(C12*C51+C27*C50)</f>
        <v>0.17528567138975418</v>
      </c>
      <c r="D86" s="164">
        <f>D26+(6/0.017)*(D12*D51+D27*D50)</f>
        <v>-0.10640288656680567</v>
      </c>
      <c r="E86" s="164">
        <f>E26+(6/0.017)*(E12*E51+E27*E50)</f>
        <v>-0.47174705078090323</v>
      </c>
      <c r="F86" s="164">
        <f>F26+(6/0.017)*(F12*F51+F27*F50)</f>
        <v>0.5114653360104393</v>
      </c>
    </row>
    <row r="87" spans="1:6" ht="12.75">
      <c r="A87" s="164" t="s">
        <v>177</v>
      </c>
      <c r="B87" s="164">
        <f>B27+(7/0.017)*(B13*B51+B28*B50)</f>
        <v>-0.03547408898284192</v>
      </c>
      <c r="C87" s="164">
        <f>C27+(7/0.017)*(C13*C51+C28*C50)</f>
        <v>0.1445905189124887</v>
      </c>
      <c r="D87" s="164">
        <f>D27+(7/0.017)*(D13*D51+D28*D50)</f>
        <v>0.09537946643943891</v>
      </c>
      <c r="E87" s="164">
        <f>E27+(7/0.017)*(E13*E51+E28*E50)</f>
        <v>0.0512955552687118</v>
      </c>
      <c r="F87" s="164">
        <f>F27+(7/0.017)*(F13*F51+F28*F50)</f>
        <v>0.30062914063609397</v>
      </c>
    </row>
    <row r="88" spans="1:6" ht="12.75">
      <c r="A88" s="164" t="s">
        <v>178</v>
      </c>
      <c r="B88" s="164">
        <f>B28+(8/0.017)*(B14*B51+B29*B50)</f>
        <v>-0.024506673405878854</v>
      </c>
      <c r="C88" s="164">
        <f>C28+(8/0.017)*(C14*C51+C29*C50)</f>
        <v>0.18688230012288806</v>
      </c>
      <c r="D88" s="164">
        <f>D28+(8/0.017)*(D14*D51+D29*D50)</f>
        <v>0.254210860198754</v>
      </c>
      <c r="E88" s="164">
        <f>E28+(8/0.017)*(E14*E51+E29*E50)</f>
        <v>-0.0975897653623108</v>
      </c>
      <c r="F88" s="164">
        <f>F28+(8/0.017)*(F14*F51+F29*F50)</f>
        <v>-0.20943550244827472</v>
      </c>
    </row>
    <row r="89" spans="1:6" ht="12.75">
      <c r="A89" s="164" t="s">
        <v>179</v>
      </c>
      <c r="B89" s="164">
        <f>B29+(9/0.017)*(B15*B51+B30*B50)</f>
        <v>0.09190937849849612</v>
      </c>
      <c r="C89" s="164">
        <f>C29+(9/0.017)*(C15*C51+C30*C50)</f>
        <v>0.05774590228693307</v>
      </c>
      <c r="D89" s="164">
        <f>D29+(9/0.017)*(D15*D51+D30*D50)</f>
        <v>0.017493193607274048</v>
      </c>
      <c r="E89" s="164">
        <f>E29+(9/0.017)*(E15*E51+E30*E50)</f>
        <v>0.06091255933865787</v>
      </c>
      <c r="F89" s="164">
        <f>F29+(9/0.017)*(F15*F51+F30*F50)</f>
        <v>0.06466004096323431</v>
      </c>
    </row>
    <row r="90" spans="1:6" ht="12.75">
      <c r="A90" s="164" t="s">
        <v>180</v>
      </c>
      <c r="B90" s="164">
        <f>B30+(10/0.017)*(B16*B51+B31*B50)</f>
        <v>0.06687708243444408</v>
      </c>
      <c r="C90" s="164">
        <f>C30+(10/0.017)*(C16*C51+C31*C50)</f>
        <v>0.034331909540444655</v>
      </c>
      <c r="D90" s="164">
        <f>D30+(10/0.017)*(D16*D51+D31*D50)</f>
        <v>0.02093824900308281</v>
      </c>
      <c r="E90" s="164">
        <f>E30+(10/0.017)*(E16*E51+E31*E50)</f>
        <v>0.05842762963729585</v>
      </c>
      <c r="F90" s="164">
        <f>F30+(10/0.017)*(F16*F51+F31*F50)</f>
        <v>0.39534539829500787</v>
      </c>
    </row>
    <row r="91" spans="1:6" ht="12.75">
      <c r="A91" s="164" t="s">
        <v>181</v>
      </c>
      <c r="B91" s="164">
        <f>B31+(11/0.017)*(B17*B51+B32*B50)</f>
        <v>-0.002558518785226702</v>
      </c>
      <c r="C91" s="164">
        <f>C31+(11/0.017)*(C17*C51+C32*C50)</f>
        <v>0.061564063679242505</v>
      </c>
      <c r="D91" s="164">
        <f>D31+(11/0.017)*(D17*D51+D32*D50)</f>
        <v>0.03301856975436483</v>
      </c>
      <c r="E91" s="164">
        <f>E31+(11/0.017)*(E17*E51+E32*E50)</f>
        <v>0.038566825961267016</v>
      </c>
      <c r="F91" s="164">
        <f>F31+(11/0.017)*(F17*F51+F32*F50)</f>
        <v>0.044866890690153156</v>
      </c>
    </row>
    <row r="92" spans="1:6" ht="12.75">
      <c r="A92" s="164" t="s">
        <v>182</v>
      </c>
      <c r="B92" s="164">
        <f>B32+(12/0.017)*(B18*B51+B33*B50)</f>
        <v>0.02357991967646813</v>
      </c>
      <c r="C92" s="164">
        <f>C32+(12/0.017)*(C18*C51+C33*C50)</f>
        <v>0.011844093305240638</v>
      </c>
      <c r="D92" s="164">
        <f>D32+(12/0.017)*(D18*D51+D33*D50)</f>
        <v>0.01432553391760994</v>
      </c>
      <c r="E92" s="164">
        <f>E32+(12/0.017)*(E18*E51+E33*E50)</f>
        <v>-0.002308692732467036</v>
      </c>
      <c r="F92" s="164">
        <f>F32+(12/0.017)*(F18*F51+F33*F50)</f>
        <v>0.022356540026775274</v>
      </c>
    </row>
    <row r="93" spans="1:6" ht="12.75">
      <c r="A93" s="164" t="s">
        <v>183</v>
      </c>
      <c r="B93" s="164">
        <f>B33+(13/0.017)*(B19*B51+B34*B50)</f>
        <v>0.04665795171714002</v>
      </c>
      <c r="C93" s="164">
        <f>C33+(13/0.017)*(C19*C51+C34*C50)</f>
        <v>0.061451146137502084</v>
      </c>
      <c r="D93" s="164">
        <f>D33+(13/0.017)*(D19*D51+D34*D50)</f>
        <v>0.04702687610360169</v>
      </c>
      <c r="E93" s="164">
        <f>E33+(13/0.017)*(E19*E51+E34*E50)</f>
        <v>0.0322217567452992</v>
      </c>
      <c r="F93" s="164">
        <f>F33+(13/0.017)*(F19*F51+F34*F50)</f>
        <v>0.01710935495819311</v>
      </c>
    </row>
    <row r="94" spans="1:6" ht="12.75">
      <c r="A94" s="164" t="s">
        <v>184</v>
      </c>
      <c r="B94" s="164">
        <f>B34+(14/0.017)*(B20*B51+B35*B50)</f>
        <v>-0.007037997461890137</v>
      </c>
      <c r="C94" s="164">
        <f>C34+(14/0.017)*(C20*C51+C35*C50)</f>
        <v>0.011124167268738225</v>
      </c>
      <c r="D94" s="164">
        <f>D34+(14/0.017)*(D20*D51+D35*D50)</f>
        <v>0.017081108334562074</v>
      </c>
      <c r="E94" s="164">
        <f>E34+(14/0.017)*(E20*E51+E35*E50)</f>
        <v>0.02268916188207829</v>
      </c>
      <c r="F94" s="164">
        <f>F34+(14/0.017)*(F20*F51+F35*F50)</f>
        <v>-0.0029113997471399288</v>
      </c>
    </row>
    <row r="95" spans="1:6" ht="12.75">
      <c r="A95" s="164" t="s">
        <v>185</v>
      </c>
      <c r="B95" s="165">
        <f>B35</f>
        <v>0.0006508266</v>
      </c>
      <c r="C95" s="165">
        <f>C35</f>
        <v>-0.002635229</v>
      </c>
      <c r="D95" s="165">
        <f>D35</f>
        <v>-0.003368099</v>
      </c>
      <c r="E95" s="165">
        <f>E35</f>
        <v>0.001854656</v>
      </c>
      <c r="F95" s="165">
        <f>F35</f>
        <v>0.005622056</v>
      </c>
    </row>
    <row r="98" ht="12.75">
      <c r="A98" s="164" t="s">
        <v>153</v>
      </c>
    </row>
    <row r="100" spans="2:11" ht="12.75">
      <c r="B100" s="164" t="s">
        <v>84</v>
      </c>
      <c r="C100" s="164" t="s">
        <v>85</v>
      </c>
      <c r="D100" s="164" t="s">
        <v>86</v>
      </c>
      <c r="E100" s="164" t="s">
        <v>87</v>
      </c>
      <c r="F100" s="164" t="s">
        <v>88</v>
      </c>
      <c r="G100" s="164" t="s">
        <v>155</v>
      </c>
      <c r="H100" s="164" t="s">
        <v>156</v>
      </c>
      <c r="I100" s="164" t="s">
        <v>151</v>
      </c>
      <c r="K100" s="164" t="s">
        <v>186</v>
      </c>
    </row>
    <row r="101" spans="1:9" ht="12.75">
      <c r="A101" s="164" t="s">
        <v>154</v>
      </c>
      <c r="B101" s="164">
        <f>B61*10000/B62</f>
        <v>0</v>
      </c>
      <c r="C101" s="164">
        <f>C61*10000/C62</f>
        <v>0</v>
      </c>
      <c r="D101" s="164">
        <f>D61*10000/D62</f>
        <v>0</v>
      </c>
      <c r="E101" s="164">
        <f>E61*10000/E62</f>
        <v>0</v>
      </c>
      <c r="F101" s="164">
        <f>F61*10000/F62</f>
        <v>0</v>
      </c>
      <c r="G101" s="164">
        <f>AVERAGE(C101:E101)</f>
        <v>0</v>
      </c>
      <c r="H101" s="164">
        <f>STDEV(C101:E101)</f>
        <v>0</v>
      </c>
      <c r="I101" s="164">
        <f>(B101*B4+C101*C4+D101*D4+E101*E4+F101*F4)/SUM(B4:F4)</f>
        <v>0</v>
      </c>
    </row>
    <row r="102" spans="1:9" ht="12.75">
      <c r="A102" s="164" t="s">
        <v>157</v>
      </c>
      <c r="B102" s="164">
        <f>B62*10000/B62</f>
        <v>10000</v>
      </c>
      <c r="C102" s="164">
        <f>C62*10000/C62</f>
        <v>10000</v>
      </c>
      <c r="D102" s="164">
        <f>D62*10000/D62</f>
        <v>10000</v>
      </c>
      <c r="E102" s="164">
        <f>E62*10000/E62</f>
        <v>10000</v>
      </c>
      <c r="F102" s="164">
        <f>F62*10000/F62</f>
        <v>10000</v>
      </c>
      <c r="G102" s="164">
        <f>AVERAGE(C102:E102)</f>
        <v>10000</v>
      </c>
      <c r="H102" s="164">
        <f>STDEV(C102:E102)</f>
        <v>0</v>
      </c>
      <c r="I102" s="164">
        <f>(B102*B4+C102*C4+D102*D4+E102*E4+F102*F4)/SUM(B4:F4)</f>
        <v>10000.000000000002</v>
      </c>
    </row>
    <row r="103" spans="1:11" ht="12.75">
      <c r="A103" s="164" t="s">
        <v>158</v>
      </c>
      <c r="B103" s="164">
        <f>B63*10000/B62</f>
        <v>-0.56945755274772</v>
      </c>
      <c r="C103" s="164">
        <f>C63*10000/C62</f>
        <v>0.6806410350765586</v>
      </c>
      <c r="D103" s="164">
        <f>D63*10000/D62</f>
        <v>0.4414847980464225</v>
      </c>
      <c r="E103" s="164">
        <f>E63*10000/E62</f>
        <v>1.7166813993569165</v>
      </c>
      <c r="F103" s="164">
        <f>F63*10000/F62</f>
        <v>-1.1690347410221518</v>
      </c>
      <c r="G103" s="164">
        <f>AVERAGE(C103:E103)</f>
        <v>0.9462690774932992</v>
      </c>
      <c r="H103" s="164">
        <f>STDEV(C103:E103)</f>
        <v>0.6778276223989924</v>
      </c>
      <c r="I103" s="164">
        <f>(B103*B4+C103*C4+D103*D4+E103*E4+F103*F4)/SUM(B4:F4)</f>
        <v>0.44422650292095844</v>
      </c>
      <c r="K103" s="164">
        <f>(LN(H103)+LN(H123))/2-LN(K114*K115^3)</f>
        <v>-3.901077139943451</v>
      </c>
    </row>
    <row r="104" spans="1:11" ht="12.75">
      <c r="A104" s="164" t="s">
        <v>159</v>
      </c>
      <c r="B104" s="164">
        <f>B64*10000/B62</f>
        <v>-0.3667269219818378</v>
      </c>
      <c r="C104" s="164">
        <f>C64*10000/C62</f>
        <v>0.37807879591865773</v>
      </c>
      <c r="D104" s="164">
        <f>D64*10000/D62</f>
        <v>0.37593761810497944</v>
      </c>
      <c r="E104" s="164">
        <f>E64*10000/E62</f>
        <v>0.591264943034133</v>
      </c>
      <c r="F104" s="164">
        <f>F64*10000/F62</f>
        <v>-0.15955094773191508</v>
      </c>
      <c r="G104" s="164">
        <f>AVERAGE(C104:E104)</f>
        <v>0.44842711901925675</v>
      </c>
      <c r="H104" s="164">
        <f>STDEV(C104:E104)</f>
        <v>0.12370581691087135</v>
      </c>
      <c r="I104" s="164">
        <f>(B104*B4+C104*C4+D104*D4+E104*E4+F104*F4)/SUM(B4:F4)</f>
        <v>0.24928002658942314</v>
      </c>
      <c r="K104" s="164">
        <f>(LN(H104)+LN(H124))/2-LN(K114*K115^4)</f>
        <v>-4.0594288644626495</v>
      </c>
    </row>
    <row r="105" spans="1:11" ht="12.75">
      <c r="A105" s="164" t="s">
        <v>160</v>
      </c>
      <c r="B105" s="164">
        <f>B65*10000/B62</f>
        <v>0.32135150898464326</v>
      </c>
      <c r="C105" s="164">
        <f>C65*10000/C62</f>
        <v>0.6303548156921123</v>
      </c>
      <c r="D105" s="164">
        <f>D65*10000/D62</f>
        <v>-0.023062848127392517</v>
      </c>
      <c r="E105" s="164">
        <f>E65*10000/E62</f>
        <v>-0.33314625388283675</v>
      </c>
      <c r="F105" s="164">
        <f>F65*10000/F62</f>
        <v>-0.33936820630823283</v>
      </c>
      <c r="G105" s="164">
        <f>AVERAGE(C105:E105)</f>
        <v>0.09138190456062766</v>
      </c>
      <c r="H105" s="164">
        <f>STDEV(C105:E105)</f>
        <v>0.49184019643720084</v>
      </c>
      <c r="I105" s="164">
        <f>(B105*B4+C105*C4+D105*D4+E105*E4+F105*F4)/SUM(B4:F4)</f>
        <v>0.06703534319054533</v>
      </c>
      <c r="K105" s="164">
        <f>(LN(H105)+LN(H125))/2-LN(K114*K115^5)</f>
        <v>-3.229704041653656</v>
      </c>
    </row>
    <row r="106" spans="1:11" ht="12.75">
      <c r="A106" s="164" t="s">
        <v>161</v>
      </c>
      <c r="B106" s="164">
        <f>B66*10000/B62</f>
        <v>4.724358984996557</v>
      </c>
      <c r="C106" s="164">
        <f>C66*10000/C62</f>
        <v>4.37377603060725</v>
      </c>
      <c r="D106" s="164">
        <f>D66*10000/D62</f>
        <v>4.753047959688266</v>
      </c>
      <c r="E106" s="164">
        <f>E66*10000/E62</f>
        <v>5.1168109875971695</v>
      </c>
      <c r="F106" s="164">
        <f>F66*10000/F62</f>
        <v>14.999307014525774</v>
      </c>
      <c r="G106" s="164">
        <f>AVERAGE(C106:E106)</f>
        <v>4.747878325964229</v>
      </c>
      <c r="H106" s="164">
        <f>STDEV(C106:E106)</f>
        <v>0.37154445314373585</v>
      </c>
      <c r="I106" s="164">
        <f>(B106*B4+C106*C4+D106*D4+E106*E4+F106*F4)/SUM(B4:F4)</f>
        <v>6.115736386267427</v>
      </c>
      <c r="K106" s="164">
        <f>(LN(H106)+LN(H126))/2-LN(K114*K115^6)</f>
        <v>-3.162518558447631</v>
      </c>
    </row>
    <row r="107" spans="1:11" ht="12.75">
      <c r="A107" s="164" t="s">
        <v>162</v>
      </c>
      <c r="B107" s="164">
        <f>B67*10000/B62</f>
        <v>0.1100291298456885</v>
      </c>
      <c r="C107" s="164">
        <f>C67*10000/C62</f>
        <v>-0.036065539133648634</v>
      </c>
      <c r="D107" s="164">
        <f>D67*10000/D62</f>
        <v>-0.2780923696113561</v>
      </c>
      <c r="E107" s="164">
        <f>E67*10000/E62</f>
        <v>-0.31677874746661544</v>
      </c>
      <c r="F107" s="164">
        <f>F67*10000/F62</f>
        <v>0.05181177570322021</v>
      </c>
      <c r="G107" s="164">
        <f>AVERAGE(C107:E107)</f>
        <v>-0.2103122187372067</v>
      </c>
      <c r="H107" s="164">
        <f>STDEV(C107:E107)</f>
        <v>0.15213674103430364</v>
      </c>
      <c r="I107" s="164">
        <f>(B107*B4+C107*C4+D107*D4+E107*E4+F107*F4)/SUM(B4:F4)</f>
        <v>-0.12893824334102655</v>
      </c>
      <c r="K107" s="164">
        <f>(LN(H107)+LN(H127))/2-LN(K114*K115^7)</f>
        <v>-3.987095907810944</v>
      </c>
    </row>
    <row r="108" spans="1:9" ht="12.75">
      <c r="A108" s="164" t="s">
        <v>163</v>
      </c>
      <c r="B108" s="164">
        <f>B68*10000/B62</f>
        <v>0.11712891263737027</v>
      </c>
      <c r="C108" s="164">
        <f>C68*10000/C62</f>
        <v>-0.04299059340121382</v>
      </c>
      <c r="D108" s="164">
        <f>D68*10000/D62</f>
        <v>-0.13575620401734884</v>
      </c>
      <c r="E108" s="164">
        <f>E68*10000/E62</f>
        <v>-0.05427257177553634</v>
      </c>
      <c r="F108" s="164">
        <f>F68*10000/F62</f>
        <v>-0.012424737226610317</v>
      </c>
      <c r="G108" s="164">
        <f>AVERAGE(C108:E108)</f>
        <v>-0.07767312306469966</v>
      </c>
      <c r="H108" s="164">
        <f>STDEV(C108:E108)</f>
        <v>0.050616736152419683</v>
      </c>
      <c r="I108" s="164">
        <f>(B108*B4+C108*C4+D108*D4+E108*E4+F108*F4)/SUM(B4:F4)</f>
        <v>-0.04078768182114604</v>
      </c>
    </row>
    <row r="109" spans="1:9" ht="12.75">
      <c r="A109" s="164" t="s">
        <v>164</v>
      </c>
      <c r="B109" s="164">
        <f>B69*10000/B62</f>
        <v>0.060769883482085084</v>
      </c>
      <c r="C109" s="164">
        <f>C69*10000/C62</f>
        <v>0.09243551192912701</v>
      </c>
      <c r="D109" s="164">
        <f>D69*10000/D62</f>
        <v>-0.036216275372254636</v>
      </c>
      <c r="E109" s="164">
        <f>E69*10000/E62</f>
        <v>0.015733757091663157</v>
      </c>
      <c r="F109" s="164">
        <f>F69*10000/F62</f>
        <v>0.13191894591988232</v>
      </c>
      <c r="G109" s="164">
        <f>AVERAGE(C109:E109)</f>
        <v>0.023984331216178507</v>
      </c>
      <c r="H109" s="164">
        <f>STDEV(C109:E109)</f>
        <v>0.06472151554157303</v>
      </c>
      <c r="I109" s="164">
        <f>(B109*B4+C109*C4+D109*D4+E109*E4+F109*F4)/SUM(B4:F4)</f>
        <v>0.04374329881180485</v>
      </c>
    </row>
    <row r="110" spans="1:11" ht="12.75">
      <c r="A110" s="164" t="s">
        <v>165</v>
      </c>
      <c r="B110" s="164">
        <f>B70*10000/B62</f>
        <v>-0.3772747374429853</v>
      </c>
      <c r="C110" s="164">
        <f>C70*10000/C62</f>
        <v>-0.11234788875946024</v>
      </c>
      <c r="D110" s="164">
        <f>D70*10000/D62</f>
        <v>-0.08661111931740148</v>
      </c>
      <c r="E110" s="164">
        <f>E70*10000/E62</f>
        <v>-0.07282131898482364</v>
      </c>
      <c r="F110" s="164">
        <f>F70*10000/F62</f>
        <v>-0.33803063900780106</v>
      </c>
      <c r="G110" s="164">
        <f>AVERAGE(C110:E110)</f>
        <v>-0.09059344235389512</v>
      </c>
      <c r="H110" s="164">
        <f>STDEV(C110:E110)</f>
        <v>0.02006194412594511</v>
      </c>
      <c r="I110" s="164">
        <f>(B110*B4+C110*C4+D110*D4+E110*E4+F110*F4)/SUM(B4:F4)</f>
        <v>-0.16512808562328407</v>
      </c>
      <c r="K110" s="164">
        <f>EXP(AVERAGE(K103:K107))</f>
        <v>0.025528369840664682</v>
      </c>
    </row>
    <row r="111" spans="1:9" ht="12.75">
      <c r="A111" s="164" t="s">
        <v>166</v>
      </c>
      <c r="B111" s="164">
        <f>B71*10000/B62</f>
        <v>-0.005779323368029616</v>
      </c>
      <c r="C111" s="164">
        <f>C71*10000/C62</f>
        <v>-0.02142034652979442</v>
      </c>
      <c r="D111" s="164">
        <f>D71*10000/D62</f>
        <v>-0.01840846576684895</v>
      </c>
      <c r="E111" s="164">
        <f>E71*10000/E62</f>
        <v>-0.0558983414742989</v>
      </c>
      <c r="F111" s="164">
        <f>F71*10000/F62</f>
        <v>-0.03895904548184789</v>
      </c>
      <c r="G111" s="164">
        <f>AVERAGE(C111:E111)</f>
        <v>-0.03190905125698076</v>
      </c>
      <c r="H111" s="164">
        <f>STDEV(C111:E111)</f>
        <v>0.020829843741146683</v>
      </c>
      <c r="I111" s="164">
        <f>(B111*B4+C111*C4+D111*D4+E111*E4+F111*F4)/SUM(B4:F4)</f>
        <v>-0.029074819290116627</v>
      </c>
    </row>
    <row r="112" spans="1:9" ht="12.75">
      <c r="A112" s="164" t="s">
        <v>167</v>
      </c>
      <c r="B112" s="164">
        <f>B72*10000/B62</f>
        <v>-0.010263752227405477</v>
      </c>
      <c r="C112" s="164">
        <f>C72*10000/C62</f>
        <v>0.0003470647732860018</v>
      </c>
      <c r="D112" s="164">
        <f>D72*10000/D62</f>
        <v>-0.0009502830275659576</v>
      </c>
      <c r="E112" s="164">
        <f>E72*10000/E62</f>
        <v>-0.01257365967772254</v>
      </c>
      <c r="F112" s="164">
        <f>F72*10000/F62</f>
        <v>-0.036332952818372025</v>
      </c>
      <c r="G112" s="164">
        <f>AVERAGE(C112:E112)</f>
        <v>-0.004392292644000832</v>
      </c>
      <c r="H112" s="164">
        <f>STDEV(C112:E112)</f>
        <v>0.0071149035646623565</v>
      </c>
      <c r="I112" s="164">
        <f>(B112*B4+C112*C4+D112*D4+E112*E4+F112*F4)/SUM(B4:F4)</f>
        <v>-0.009513146367053832</v>
      </c>
    </row>
    <row r="113" spans="1:9" ht="12.75">
      <c r="A113" s="164" t="s">
        <v>168</v>
      </c>
      <c r="B113" s="164">
        <f>B73*10000/B62</f>
        <v>0.023674621321574486</v>
      </c>
      <c r="C113" s="164">
        <f>C73*10000/C62</f>
        <v>0.022471828134900045</v>
      </c>
      <c r="D113" s="164">
        <f>D73*10000/D62</f>
        <v>0.0296892186317712</v>
      </c>
      <c r="E113" s="164">
        <f>E73*10000/E62</f>
        <v>0.03662167874163902</v>
      </c>
      <c r="F113" s="164">
        <f>F73*10000/F62</f>
        <v>-0.0014704008360316803</v>
      </c>
      <c r="G113" s="164">
        <f>AVERAGE(C113:E113)</f>
        <v>0.02959424183610342</v>
      </c>
      <c r="H113" s="164">
        <f>STDEV(C113:E113)</f>
        <v>0.007075403415498259</v>
      </c>
      <c r="I113" s="164">
        <f>(B113*B4+C113*C4+D113*D4+E113*E4+F113*F4)/SUM(B4:F4)</f>
        <v>0.024582847403933836</v>
      </c>
    </row>
    <row r="114" spans="1:11" ht="12.75">
      <c r="A114" s="164" t="s">
        <v>169</v>
      </c>
      <c r="B114" s="164">
        <f>B74*10000/B62</f>
        <v>-0.1865344016706686</v>
      </c>
      <c r="C114" s="164">
        <f>C74*10000/C62</f>
        <v>-0.16676024907151685</v>
      </c>
      <c r="D114" s="164">
        <f>D74*10000/D62</f>
        <v>-0.17119371889893437</v>
      </c>
      <c r="E114" s="164">
        <f>E74*10000/E62</f>
        <v>-0.1788066945749914</v>
      </c>
      <c r="F114" s="164">
        <f>F74*10000/F62</f>
        <v>-0.1380890192931693</v>
      </c>
      <c r="G114" s="164">
        <f>AVERAGE(C114:E114)</f>
        <v>-0.1722535541818142</v>
      </c>
      <c r="H114" s="164">
        <f>STDEV(C114:E114)</f>
        <v>0.006092753928820984</v>
      </c>
      <c r="I114" s="164">
        <f>(B114*B4+C114*C4+D114*D4+E114*E4+F114*F4)/SUM(B4:F4)</f>
        <v>-0.16974723662442764</v>
      </c>
      <c r="J114" s="164" t="s">
        <v>187</v>
      </c>
      <c r="K114" s="164">
        <v>285</v>
      </c>
    </row>
    <row r="115" spans="1:11" ht="12.75">
      <c r="A115" s="164" t="s">
        <v>170</v>
      </c>
      <c r="B115" s="164">
        <f>B75*10000/B62</f>
        <v>-0.002691169651237475</v>
      </c>
      <c r="C115" s="164">
        <f>C75*10000/C62</f>
        <v>-0.005530735894831582</v>
      </c>
      <c r="D115" s="164">
        <f>D75*10000/D62</f>
        <v>0.0013768849130463448</v>
      </c>
      <c r="E115" s="164">
        <f>E75*10000/E62</f>
        <v>0.0022521686722961087</v>
      </c>
      <c r="F115" s="164">
        <f>F75*10000/F62</f>
        <v>-0.0008158106723671553</v>
      </c>
      <c r="G115" s="164">
        <f>AVERAGE(C115:E115)</f>
        <v>-0.0006338941031630428</v>
      </c>
      <c r="H115" s="164">
        <f>STDEV(C115:E115)</f>
        <v>0.004263311513867508</v>
      </c>
      <c r="I115" s="164">
        <f>(B115*B4+C115*C4+D115*D4+E115*E4+F115*F4)/SUM(B4:F4)</f>
        <v>-0.0009558857120996214</v>
      </c>
      <c r="J115" s="164" t="s">
        <v>188</v>
      </c>
      <c r="K115" s="164">
        <v>0.5536</v>
      </c>
    </row>
    <row r="118" ht="12.75">
      <c r="A118" s="164" t="s">
        <v>153</v>
      </c>
    </row>
    <row r="120" spans="2:9" ht="12.75">
      <c r="B120" s="164" t="s">
        <v>84</v>
      </c>
      <c r="C120" s="164" t="s">
        <v>85</v>
      </c>
      <c r="D120" s="164" t="s">
        <v>86</v>
      </c>
      <c r="E120" s="164" t="s">
        <v>87</v>
      </c>
      <c r="F120" s="164" t="s">
        <v>88</v>
      </c>
      <c r="G120" s="164" t="s">
        <v>155</v>
      </c>
      <c r="H120" s="164" t="s">
        <v>156</v>
      </c>
      <c r="I120" s="164" t="s">
        <v>151</v>
      </c>
    </row>
    <row r="121" spans="1:9" ht="12.75">
      <c r="A121" s="164" t="s">
        <v>171</v>
      </c>
      <c r="B121" s="164">
        <f>B81*10000/B62</f>
        <v>0</v>
      </c>
      <c r="C121" s="164">
        <f>C81*10000/C62</f>
        <v>0</v>
      </c>
      <c r="D121" s="164">
        <f>D81*10000/D62</f>
        <v>0</v>
      </c>
      <c r="E121" s="164">
        <f>E81*10000/E62</f>
        <v>0</v>
      </c>
      <c r="F121" s="164">
        <f>F81*10000/F62</f>
        <v>0</v>
      </c>
      <c r="G121" s="164">
        <f>AVERAGE(C121:E121)</f>
        <v>0</v>
      </c>
      <c r="H121" s="164">
        <f>STDEV(C121:E121)</f>
        <v>0</v>
      </c>
      <c r="I121" s="164">
        <f>(B121*B4+C121*C4+D121*D4+E121*E4+F121*F4)/SUM(B4:F4)</f>
        <v>0</v>
      </c>
    </row>
    <row r="122" spans="1:9" ht="12.75">
      <c r="A122" s="164" t="s">
        <v>172</v>
      </c>
      <c r="B122" s="164">
        <f>B82*10000/B62</f>
        <v>185.22230023802575</v>
      </c>
      <c r="C122" s="164">
        <f>C82*10000/C62</f>
        <v>64.14495565867712</v>
      </c>
      <c r="D122" s="164">
        <f>D82*10000/D62</f>
        <v>-23.004020057169182</v>
      </c>
      <c r="E122" s="164">
        <f>E82*10000/E62</f>
        <v>-76.58770561297659</v>
      </c>
      <c r="F122" s="164">
        <f>F82*10000/F62</f>
        <v>-136.03325833312473</v>
      </c>
      <c r="G122" s="164">
        <f>AVERAGE(C122:E122)</f>
        <v>-11.815590003822885</v>
      </c>
      <c r="H122" s="164">
        <f>STDEV(C122:E122)</f>
        <v>71.0303189662307</v>
      </c>
      <c r="I122" s="164">
        <f>(B122*B4+C122*C4+D122*D4+E122*E4+F122*F4)/SUM(B4:F4)</f>
        <v>0.05174298154938842</v>
      </c>
    </row>
    <row r="123" spans="1:9" ht="12.75">
      <c r="A123" s="164" t="s">
        <v>173</v>
      </c>
      <c r="B123" s="164">
        <f>B83*10000/B62</f>
        <v>0.7800500184011802</v>
      </c>
      <c r="C123" s="164">
        <f>C83*10000/C62</f>
        <v>-3.0525284808266733</v>
      </c>
      <c r="D123" s="164">
        <f>D83*10000/D62</f>
        <v>-1.5225127243496626</v>
      </c>
      <c r="E123" s="164">
        <f>E83*10000/E62</f>
        <v>-0.23539816526677737</v>
      </c>
      <c r="F123" s="164">
        <f>F83*10000/F62</f>
        <v>8.326437403827551</v>
      </c>
      <c r="G123" s="164">
        <f>AVERAGE(C123:E123)</f>
        <v>-1.6034797901477045</v>
      </c>
      <c r="H123" s="164">
        <f>STDEV(C123:E123)</f>
        <v>1.4103093820221178</v>
      </c>
      <c r="I123" s="164">
        <f>(B123*B4+C123*C4+D123*D4+E123*E4+F123*F4)/SUM(B4:F4)</f>
        <v>0.06919985691122472</v>
      </c>
    </row>
    <row r="124" spans="1:9" ht="12.75">
      <c r="A124" s="164" t="s">
        <v>174</v>
      </c>
      <c r="B124" s="164">
        <f>B84*10000/B62</f>
        <v>0.021307489815399542</v>
      </c>
      <c r="C124" s="164">
        <f>C84*10000/C62</f>
        <v>3.0971048615125683</v>
      </c>
      <c r="D124" s="164">
        <f>D84*10000/D62</f>
        <v>3.523065214177583</v>
      </c>
      <c r="E124" s="164">
        <f>E84*10000/E62</f>
        <v>0.3444364741315508</v>
      </c>
      <c r="F124" s="164">
        <f>F84*10000/F62</f>
        <v>-2.3859780857791533</v>
      </c>
      <c r="G124" s="164">
        <f>AVERAGE(C124:E124)</f>
        <v>2.321535516607234</v>
      </c>
      <c r="H124" s="164">
        <f>STDEV(C124:E124)</f>
        <v>1.7254132905855697</v>
      </c>
      <c r="I124" s="164">
        <f>(B124*B4+C124*C4+D124*D4+E124*E4+F124*F4)/SUM(B4:F4)</f>
        <v>1.3594268434082166</v>
      </c>
    </row>
    <row r="125" spans="1:9" ht="12.75">
      <c r="A125" s="164" t="s">
        <v>175</v>
      </c>
      <c r="B125" s="164">
        <f>B85*10000/B62</f>
        <v>0.113852304883103</v>
      </c>
      <c r="C125" s="164">
        <f>C85*10000/C62</f>
        <v>-1.2728946476866008</v>
      </c>
      <c r="D125" s="164">
        <f>D85*10000/D62</f>
        <v>-0.8730487908977563</v>
      </c>
      <c r="E125" s="164">
        <f>E85*10000/E62</f>
        <v>0.08734199000718418</v>
      </c>
      <c r="F125" s="164">
        <f>F85*10000/F62</f>
        <v>-0.6760993595187006</v>
      </c>
      <c r="G125" s="164">
        <f>AVERAGE(C125:E125)</f>
        <v>-0.6862004828590577</v>
      </c>
      <c r="H125" s="164">
        <f>STDEV(C125:E125)</f>
        <v>0.6991031006180823</v>
      </c>
      <c r="I125" s="164">
        <f>(B125*B4+C125*C4+D125*D4+E125*E4+F125*F4)/SUM(B4:F4)</f>
        <v>-0.5692530795386456</v>
      </c>
    </row>
    <row r="126" spans="1:9" ht="12.75">
      <c r="A126" s="164" t="s">
        <v>176</v>
      </c>
      <c r="B126" s="164">
        <f>B86*10000/B62</f>
        <v>0.9152984902486648</v>
      </c>
      <c r="C126" s="164">
        <f>C86*10000/C62</f>
        <v>0.17528725272144663</v>
      </c>
      <c r="D126" s="164">
        <f>D86*10000/D62</f>
        <v>-0.10640342079575413</v>
      </c>
      <c r="E126" s="164">
        <f>E86*10000/E62</f>
        <v>-0.4717461442867984</v>
      </c>
      <c r="F126" s="164">
        <f>F86*10000/F62</f>
        <v>0.5114881403632959</v>
      </c>
      <c r="G126" s="164">
        <f>AVERAGE(C126:E126)</f>
        <v>-0.13428743745370197</v>
      </c>
      <c r="H126" s="164">
        <f>STDEV(C126:E126)</f>
        <v>0.3244166965489644</v>
      </c>
      <c r="I126" s="164">
        <f>(B126*B4+C126*C4+D126*D4+E126*E4+F126*F4)/SUM(B4:F4)</f>
        <v>0.10381405418602932</v>
      </c>
    </row>
    <row r="127" spans="1:9" ht="12.75">
      <c r="A127" s="164" t="s">
        <v>177</v>
      </c>
      <c r="B127" s="164">
        <f>B87*10000/B62</f>
        <v>-0.0354742293844109</v>
      </c>
      <c r="C127" s="164">
        <f>C87*10000/C62</f>
        <v>0.14459182332926257</v>
      </c>
      <c r="D127" s="164">
        <f>D87*10000/D62</f>
        <v>0.09537994532186121</v>
      </c>
      <c r="E127" s="164">
        <f>E87*10000/E62</f>
        <v>0.05129545670080687</v>
      </c>
      <c r="F127" s="164">
        <f>F87*10000/F62</f>
        <v>0.3006425445806418</v>
      </c>
      <c r="G127" s="164">
        <f>AVERAGE(C127:E127)</f>
        <v>0.09708907511731023</v>
      </c>
      <c r="H127" s="164">
        <f>STDEV(C127:E127)</f>
        <v>0.04667166003059109</v>
      </c>
      <c r="I127" s="164">
        <f>(B127*B4+C127*C4+D127*D4+E127*E4+F127*F4)/SUM(B4:F4)</f>
        <v>0.10516069041450316</v>
      </c>
    </row>
    <row r="128" spans="1:9" ht="12.75">
      <c r="A128" s="164" t="s">
        <v>178</v>
      </c>
      <c r="B128" s="164">
        <f>B88*10000/B62</f>
        <v>-0.024506770399924237</v>
      </c>
      <c r="C128" s="164">
        <f>C88*10000/C62</f>
        <v>0.1868839860730379</v>
      </c>
      <c r="D128" s="164">
        <f>D88*10000/D62</f>
        <v>0.25421213654383173</v>
      </c>
      <c r="E128" s="164">
        <f>E88*10000/E62</f>
        <v>-0.0975895778369265</v>
      </c>
      <c r="F128" s="164">
        <f>F88*10000/F62</f>
        <v>-0.20944484040485215</v>
      </c>
      <c r="G128" s="164">
        <f>AVERAGE(C128:E128)</f>
        <v>0.11450218159331438</v>
      </c>
      <c r="H128" s="164">
        <f>STDEV(C128:E128)</f>
        <v>0.18673632687593447</v>
      </c>
      <c r="I128" s="164">
        <f>(B128*B4+C128*C4+D128*D4+E128*E4+F128*F4)/SUM(B4:F4)</f>
        <v>0.051082732814283056</v>
      </c>
    </row>
    <row r="129" spans="1:9" ht="12.75">
      <c r="A129" s="164" t="s">
        <v>179</v>
      </c>
      <c r="B129" s="164">
        <f>B89*10000/B62</f>
        <v>0.09190974226318509</v>
      </c>
      <c r="C129" s="164">
        <f>C89*10000/C62</f>
        <v>0.057746423238957685</v>
      </c>
      <c r="D129" s="164">
        <f>D89*10000/D62</f>
        <v>0.017493281437320086</v>
      </c>
      <c r="E129" s="164">
        <f>E89*10000/E62</f>
        <v>0.06091244229102427</v>
      </c>
      <c r="F129" s="164">
        <f>F89*10000/F62</f>
        <v>0.06466292391597037</v>
      </c>
      <c r="G129" s="164">
        <f>AVERAGE(C129:E129)</f>
        <v>0.04538404898910068</v>
      </c>
      <c r="H129" s="164">
        <f>STDEV(C129:E129)</f>
        <v>0.02420593119733478</v>
      </c>
      <c r="I129" s="164">
        <f>(B129*B4+C129*C4+D129*D4+E129*E4+F129*F4)/SUM(B4:F4)</f>
        <v>0.05468816465886657</v>
      </c>
    </row>
    <row r="130" spans="1:9" ht="12.75">
      <c r="A130" s="164" t="s">
        <v>180</v>
      </c>
      <c r="B130" s="164">
        <f>B90*10000/B62</f>
        <v>0.06687734712474543</v>
      </c>
      <c r="C130" s="164">
        <f>C90*10000/C62</f>
        <v>0.03433221926420124</v>
      </c>
      <c r="D130" s="164">
        <f>D90*10000/D62</f>
        <v>0.02093835413010622</v>
      </c>
      <c r="E130" s="164">
        <f>E90*10000/E62</f>
        <v>0.05842751736462401</v>
      </c>
      <c r="F130" s="164">
        <f>F90*10000/F62</f>
        <v>0.39536302528813566</v>
      </c>
      <c r="G130" s="164">
        <f>AVERAGE(C130:E130)</f>
        <v>0.03789936358631049</v>
      </c>
      <c r="H130" s="164">
        <f>STDEV(C130:E130)</f>
        <v>0.018997440063522948</v>
      </c>
      <c r="I130" s="164">
        <f>(B130*B4+C130*C4+D130*D4+E130*E4+F130*F4)/SUM(B4:F4)</f>
        <v>0.08990349431997013</v>
      </c>
    </row>
    <row r="131" spans="1:9" ht="12.75">
      <c r="A131" s="164" t="s">
        <v>181</v>
      </c>
      <c r="B131" s="164">
        <f>B91*10000/B62</f>
        <v>-0.0025585289114924362</v>
      </c>
      <c r="C131" s="164">
        <f>C91*10000/C62</f>
        <v>0.06156461907663603</v>
      </c>
      <c r="D131" s="164">
        <f>D91*10000/D62</f>
        <v>0.0330187355344143</v>
      </c>
      <c r="E131" s="164">
        <f>E91*10000/E62</f>
        <v>0.03856675185248283</v>
      </c>
      <c r="F131" s="164">
        <f>F91*10000/F62</f>
        <v>0.044868891139323096</v>
      </c>
      <c r="G131" s="164">
        <f>AVERAGE(C131:E131)</f>
        <v>0.044383368821177716</v>
      </c>
      <c r="H131" s="164">
        <f>STDEV(C131:E131)</f>
        <v>0.015135773568665198</v>
      </c>
      <c r="I131" s="164">
        <f>(B131*B4+C131*C4+D131*D4+E131*E4+F131*F4)/SUM(B4:F4)</f>
        <v>0.0376647742141436</v>
      </c>
    </row>
    <row r="132" spans="1:9" ht="12.75">
      <c r="A132" s="164" t="s">
        <v>182</v>
      </c>
      <c r="B132" s="164">
        <f>B92*10000/B62</f>
        <v>0.023580013002549614</v>
      </c>
      <c r="C132" s="164">
        <f>C92*10000/C62</f>
        <v>0.01184420015618837</v>
      </c>
      <c r="D132" s="164">
        <f>D92*10000/D62</f>
        <v>0.014325605843430447</v>
      </c>
      <c r="E132" s="164">
        <f>E92*10000/E62</f>
        <v>-0.0023086882961566267</v>
      </c>
      <c r="F132" s="164">
        <f>F92*10000/F62</f>
        <v>0.02235753682243576</v>
      </c>
      <c r="G132" s="164">
        <f>AVERAGE(C132:E132)</f>
        <v>0.007953705901154063</v>
      </c>
      <c r="H132" s="164">
        <f>STDEV(C132:E132)</f>
        <v>0.008973677871526057</v>
      </c>
      <c r="I132" s="164">
        <f>(B132*B4+C132*C4+D132*D4+E132*E4+F132*F4)/SUM(B4:F4)</f>
        <v>0.012139195462788271</v>
      </c>
    </row>
    <row r="133" spans="1:9" ht="12.75">
      <c r="A133" s="164" t="s">
        <v>183</v>
      </c>
      <c r="B133" s="164">
        <f>B93*10000/B62</f>
        <v>0.04665813638290071</v>
      </c>
      <c r="C133" s="164">
        <f>C93*10000/C62</f>
        <v>0.06145170051621516</v>
      </c>
      <c r="D133" s="164">
        <f>D93*10000/D62</f>
        <v>0.04702711221673152</v>
      </c>
      <c r="E133" s="164">
        <f>E93*10000/E62</f>
        <v>0.03222169482899789</v>
      </c>
      <c r="F133" s="164">
        <f>F93*10000/F62</f>
        <v>0.017110117801224973</v>
      </c>
      <c r="G133" s="164">
        <f>AVERAGE(C133:E133)</f>
        <v>0.04690016918731486</v>
      </c>
      <c r="H133" s="164">
        <f>STDEV(C133:E133)</f>
        <v>0.014615416313544597</v>
      </c>
      <c r="I133" s="164">
        <f>(B133*B4+C133*C4+D133*D4+E133*E4+F133*F4)/SUM(B4:F4)</f>
        <v>0.04288125688854581</v>
      </c>
    </row>
    <row r="134" spans="1:9" ht="12.75">
      <c r="A134" s="164" t="s">
        <v>184</v>
      </c>
      <c r="B134" s="164">
        <f>B94*10000/B62</f>
        <v>-0.0070380253173168575</v>
      </c>
      <c r="C134" s="164">
        <f>C94*10000/C62</f>
        <v>0.011124267624906044</v>
      </c>
      <c r="D134" s="164">
        <f>D94*10000/D62</f>
        <v>0.017081194095605202</v>
      </c>
      <c r="E134" s="164">
        <f>E94*10000/E62</f>
        <v>0.022689118283307604</v>
      </c>
      <c r="F134" s="164">
        <f>F94*10000/F62</f>
        <v>-0.002911529555716319</v>
      </c>
      <c r="G134" s="164">
        <f>AVERAGE(C134:E134)</f>
        <v>0.01696486000127295</v>
      </c>
      <c r="H134" s="164">
        <f>STDEV(C134:E134)</f>
        <v>0.005783302940700135</v>
      </c>
      <c r="I134" s="164">
        <f>(B134*B4+C134*C4+D134*D4+E134*E4+F134*F4)/SUM(B4:F4)</f>
        <v>0.010836519276286859</v>
      </c>
    </row>
    <row r="135" spans="1:9" ht="12.75">
      <c r="A135" s="164" t="s">
        <v>185</v>
      </c>
      <c r="B135" s="164">
        <f>B95*10000/B62</f>
        <v>0.0006508291758822396</v>
      </c>
      <c r="C135" s="164">
        <f>C95*10000/C62</f>
        <v>-0.002635252773598272</v>
      </c>
      <c r="D135" s="164">
        <f>D95*10000/D62</f>
        <v>-0.0033681159105937355</v>
      </c>
      <c r="E135" s="164">
        <f>E95*10000/E62</f>
        <v>0.0018546524361521123</v>
      </c>
      <c r="F135" s="164">
        <f>F95*10000/F62</f>
        <v>0.005622306666740788</v>
      </c>
      <c r="G135" s="164">
        <f>AVERAGE(C135:E135)</f>
        <v>-0.001382905416013298</v>
      </c>
      <c r="H135" s="164">
        <f>STDEV(C135:E135)</f>
        <v>0.002827650566986688</v>
      </c>
      <c r="I135" s="164">
        <f>(B135*B4+C135*C4+D135*D4+E135*E4+F135*F4)/SUM(B4:F4)</f>
        <v>-0.00015199291927732667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2003-11-25T08:19:29Z</cp:lastPrinted>
  <dcterms:created xsi:type="dcterms:W3CDTF">1999-06-17T15:15:05Z</dcterms:created>
  <dcterms:modified xsi:type="dcterms:W3CDTF">2005-10-04T12:47:28Z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1954390597</vt:i4>
  </property>
  <property fmtid="{D5CDD505-2E9C-101B-9397-08002B2CF9AE}" pid="3" name="_EmailSubject">
    <vt:lpwstr>WFM result of apertures  121: agreement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