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960" windowWidth="2625" windowHeight="1065" tabRatio="1000" firstSheet="2" activeTab="7"/>
  </bookViews>
  <sheets>
    <sheet name="Sommaire" sheetId="1" r:id="rId1"/>
    <sheet name="HCMQAP124_pos1ap2" sheetId="2" r:id="rId2"/>
    <sheet name="HCMQAP124_pos2ap2" sheetId="3" r:id="rId3"/>
    <sheet name="HCMQAP124_pos3ap2" sheetId="4" r:id="rId4"/>
    <sheet name="HCMQAP124_pos4ap2" sheetId="5" r:id="rId5"/>
    <sheet name="HCMQAP124_pos5ap2" sheetId="6" r:id="rId6"/>
    <sheet name="Lmag_hcmqap" sheetId="7" r:id="rId7"/>
    <sheet name="Result_HCMQAP" sheetId="8" r:id="rId8"/>
  </sheets>
  <definedNames>
    <definedName name="_xlnm.Print_Area" localSheetId="1">'HCMQAP124_pos1ap2'!$A$1:$N$28</definedName>
    <definedName name="_xlnm.Print_Area" localSheetId="2">'HCMQAP124_pos2ap2'!$A$1:$N$28</definedName>
    <definedName name="_xlnm.Print_Area" localSheetId="3">'HCMQAP124_pos3ap2'!$A$1:$N$28</definedName>
    <definedName name="_xlnm.Print_Area" localSheetId="4">'HCMQAP124_pos4ap2'!$A$1:$N$28</definedName>
    <definedName name="_xlnm.Print_Area" localSheetId="5">'HCMQAP124_pos5ap2'!$A$1:$N$28</definedName>
    <definedName name="_xlnm.Print_Area" localSheetId="6">'Lmag_hcmqap'!$A$1:$G$54</definedName>
    <definedName name="_xlnm.Print_Area" localSheetId="0">'Sommaire'!$A$1:$N$16</definedName>
  </definedNames>
  <calcPr fullCalcOnLoad="1"/>
</workbook>
</file>

<file path=xl/sharedStrings.xml><?xml version="1.0" encoding="utf-8"?>
<sst xmlns="http://schemas.openxmlformats.org/spreadsheetml/2006/main" count="505" uniqueCount="189">
  <si>
    <t>Jour</t>
  </si>
  <si>
    <t>vit-esse</t>
  </si>
  <si>
    <t>I(A)</t>
  </si>
  <si>
    <t>NB mesures</t>
  </si>
  <si>
    <t>Posi-tion</t>
  </si>
  <si>
    <t>N° run</t>
  </si>
  <si>
    <t>NOM Fich.res</t>
  </si>
  <si>
    <t>NOM Fich.raw</t>
  </si>
  <si>
    <t>Observation</t>
  </si>
  <si>
    <t>Nombre de fichiers</t>
  </si>
  <si>
    <t>N° fich. Originel</t>
  </si>
  <si>
    <t>N° fich.  Epuré</t>
  </si>
  <si>
    <t>Bench Number</t>
  </si>
  <si>
    <t>Valeurs dipôlaires en Teslas (signal absolu mesuré par la bobine externe corrigé de la dérive de l'électronique)</t>
  </si>
  <si>
    <t>Magnet Name</t>
  </si>
  <si>
    <t>hcmqap124</t>
  </si>
  <si>
    <t>Magnet Type</t>
  </si>
  <si>
    <t>Aperture Number</t>
  </si>
  <si>
    <t>GMT Time</t>
  </si>
  <si>
    <t>Run Number</t>
  </si>
  <si>
    <t>Valeurs mesurées (unité)</t>
  </si>
  <si>
    <t>Multipôle</t>
  </si>
  <si>
    <t>Run Type</t>
  </si>
  <si>
    <t>manual</t>
  </si>
  <si>
    <t>Average</t>
  </si>
  <si>
    <t>Uncertainty</t>
  </si>
  <si>
    <t>Standard Deviation</t>
  </si>
  <si>
    <t>Coil Name</t>
  </si>
  <si>
    <t>taupe_quadrupole#12</t>
  </si>
  <si>
    <t>Rref</t>
  </si>
  <si>
    <t>Meas Type</t>
  </si>
  <si>
    <t>cmp</t>
  </si>
  <si>
    <t>Shaft Pos</t>
  </si>
  <si>
    <t>Coil length</t>
  </si>
  <si>
    <t>Température (bobine)</t>
  </si>
  <si>
    <t>Spec Curv (I spécifié)</t>
  </si>
  <si>
    <t>Angle(horiz./X_top codeur)</t>
  </si>
  <si>
    <t>Mid Current (I réel moyen)</t>
  </si>
  <si>
    <t>Inclinaison RefMag (niv max)</t>
  </si>
  <si>
    <t>Incli. Cryostat(ecart niv max)</t>
  </si>
  <si>
    <t>Incli. carriage (niv min)</t>
  </si>
  <si>
    <t>Dx moyen(mm)</t>
  </si>
  <si>
    <t>Dy moyen(mm)</t>
  </si>
  <si>
    <t>Analysis Tool</t>
  </si>
  <si>
    <t xml:space="preserve">DRI ROT NOR CEL FDW </t>
  </si>
  <si>
    <t>Number of point</t>
  </si>
  <si>
    <t>VALEURS PRINCIPALES</t>
  </si>
  <si>
    <t>Nombre Mesure</t>
  </si>
  <si>
    <r>
      <t>Module de C</t>
    </r>
    <r>
      <rPr>
        <vertAlign val="subscript"/>
        <sz val="12"/>
        <color indexed="8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(mT)</t>
    </r>
  </si>
  <si>
    <r>
      <t>Module de C</t>
    </r>
    <r>
      <rPr>
        <vertAlign val="subscript"/>
        <sz val="12"/>
        <color indexed="8"/>
        <rFont val="Times New Roman"/>
        <family val="1"/>
      </rPr>
      <t>6</t>
    </r>
    <r>
      <rPr>
        <sz val="12"/>
        <color indexed="8"/>
        <rFont val="Times New Roman"/>
        <family val="1"/>
      </rPr>
      <t xml:space="preserve"> (unité)</t>
    </r>
  </si>
  <si>
    <t>Sens du courant</t>
  </si>
  <si>
    <t>+I / -I</t>
  </si>
  <si>
    <r>
      <t>Module de C</t>
    </r>
    <r>
      <rPr>
        <vertAlign val="subscript"/>
        <sz val="12"/>
        <color indexed="8"/>
        <rFont val="Times New Roman"/>
        <family val="1"/>
      </rPr>
      <t>3</t>
    </r>
    <r>
      <rPr>
        <sz val="12"/>
        <color indexed="8"/>
        <rFont val="Times New Roman"/>
        <family val="1"/>
      </rPr>
      <t xml:space="preserve"> (unité)</t>
    </r>
  </si>
  <si>
    <r>
      <t>Module de C</t>
    </r>
    <r>
      <rPr>
        <vertAlign val="subscript"/>
        <sz val="12"/>
        <color indexed="8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(unité)</t>
    </r>
  </si>
  <si>
    <t>Vitesse (%)</t>
  </si>
  <si>
    <t>Commentaire</t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</si>
  <si>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créé par le décentrement de la taupe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(+I)-B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</si>
  <si>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 xml:space="preserve">    (b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) issu des champs constants/externes (=[B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(+I)+B</t>
    </r>
    <r>
      <rPr>
        <vertAlign val="subscript"/>
        <sz val="10"/>
        <color indexed="8"/>
        <rFont val="Times New Roman"/>
        <family val="1"/>
      </rPr>
      <t>abs</t>
    </r>
    <r>
      <rPr>
        <sz val="10"/>
        <color indexed="8"/>
        <rFont val="Times New Roman"/>
        <family val="1"/>
      </rPr>
      <t>(-I)]/2)</t>
    </r>
  </si>
  <si>
    <r>
      <t>Valeurs quadripolaires: b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a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>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 xml:space="preserve"> (T), </t>
    </r>
    <r>
      <rPr>
        <sz val="10"/>
        <color indexed="8"/>
        <rFont val="Symbol"/>
        <family val="1"/>
      </rPr>
      <t>q</t>
    </r>
    <r>
      <rPr>
        <sz val="10"/>
        <color indexed="8"/>
        <rFont val="Times New Roman"/>
        <family val="1"/>
      </rPr>
      <t xml:space="preserve"> </t>
    </r>
    <r>
      <rPr>
        <vertAlign val="subscript"/>
        <sz val="10"/>
        <color indexed="8"/>
        <rFont val="Times New Roman"/>
        <family val="1"/>
      </rPr>
      <t>Y_top codeur</t>
    </r>
    <r>
      <rPr>
        <sz val="10"/>
        <color indexed="8"/>
        <rFont val="Times New Roman"/>
        <family val="1"/>
      </rPr>
      <t xml:space="preserve"> (mrad)</t>
    </r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</si>
  <si>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-2.252 mT)</t>
    </r>
  </si>
  <si>
    <r>
      <t>Valeurs spécifiées (b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, 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>)</t>
    </r>
  </si>
  <si>
    <r>
      <t>b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(normal)</t>
    </r>
  </si>
  <si>
    <r>
      <t>s</t>
    </r>
    <r>
      <rPr>
        <sz val="10"/>
        <color indexed="8"/>
        <rFont val="Times New Roman"/>
        <family val="1"/>
      </rPr>
      <t>b</t>
    </r>
    <r>
      <rPr>
        <vertAlign val="subscript"/>
        <sz val="10"/>
        <color indexed="8"/>
        <rFont val="Times New Roman"/>
        <family val="1"/>
      </rPr>
      <t>n</t>
    </r>
  </si>
  <si>
    <r>
      <t>a</t>
    </r>
    <r>
      <rPr>
        <vertAlign val="subscript"/>
        <sz val="10"/>
        <color indexed="8"/>
        <rFont val="Times New Roman"/>
        <family val="1"/>
      </rPr>
      <t>n</t>
    </r>
    <r>
      <rPr>
        <sz val="10"/>
        <color indexed="8"/>
        <rFont val="Times New Roman"/>
        <family val="1"/>
      </rPr>
      <t xml:space="preserve"> (skew)</t>
    </r>
  </si>
  <si>
    <r>
      <t>s</t>
    </r>
    <r>
      <rPr>
        <sz val="10"/>
        <color indexed="8"/>
        <rFont val="Times New Roman"/>
        <family val="1"/>
      </rPr>
      <t>a</t>
    </r>
    <r>
      <rPr>
        <vertAlign val="subscript"/>
        <sz val="10"/>
        <color indexed="8"/>
        <rFont val="Times New Roman"/>
        <family val="1"/>
      </rPr>
      <t>n</t>
    </r>
  </si>
  <si>
    <r>
      <t>Multipôle refusé (orange) : (av.+unc.+2*STDV)+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(av.-unc.-2*STDV)-</t>
    </r>
    <r>
      <rPr>
        <sz val="10"/>
        <color indexed="8"/>
        <rFont val="Symbol"/>
        <family val="1"/>
      </rPr>
      <t>s</t>
    </r>
  </si>
  <si>
    <r>
      <t>Multipôle litigieux (vert): (av.+unc.+2*STDV)-</t>
    </r>
    <r>
      <rPr>
        <sz val="10"/>
        <color indexed="8"/>
        <rFont val="Symbol"/>
        <family val="1"/>
      </rPr>
      <t>s</t>
    </r>
    <r>
      <rPr>
        <sz val="10"/>
        <color indexed="8"/>
        <rFont val="Times New Roman"/>
        <family val="1"/>
      </rPr>
      <t xml:space="preserve"> &lt; multipôle &lt; (av.-unc.-2*STDV)+</t>
    </r>
    <r>
      <rPr>
        <sz val="10"/>
        <color indexed="8"/>
        <rFont val="Symbol"/>
        <family val="1"/>
      </rPr>
      <t>s</t>
    </r>
  </si>
  <si>
    <r>
      <t>q</t>
    </r>
    <r>
      <rPr>
        <sz val="10"/>
        <color indexed="8"/>
        <rFont val="Times New Roman"/>
        <family val="1"/>
      </rPr>
      <t>(°) = Angle(verticale,C2)</t>
    </r>
  </si>
  <si>
    <t>HCMQAP124_pos1ap2</t>
  </si>
  <si>
    <t>±12.5</t>
  </si>
  <si>
    <t>THCMQAP124_pos1ap2.xls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</si>
  <si>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-3.75 mT)</t>
    </r>
  </si>
  <si>
    <t>HCMQAP124_pos2ap2</t>
  </si>
  <si>
    <t>THCMQAP124_pos2ap2.xls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</si>
  <si>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-3.749 mT)</t>
    </r>
  </si>
  <si>
    <t>HCMQAP124_pos3ap2</t>
  </si>
  <si>
    <t>THCMQAP124_pos3ap2.xls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</si>
  <si>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-3.748 mT)</t>
    </r>
  </si>
  <si>
    <t>HCMQAP124_pos4ap2</t>
  </si>
  <si>
    <t>THCMQAP124_pos4ap2.xls</t>
  </si>
  <si>
    <r>
      <t>Les multipôles exprimés en unité sont rapportés au champ quadripôlaire local (C</t>
    </r>
    <r>
      <rPr>
        <vertAlign val="sub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= -2.083 mT)</t>
    </r>
  </si>
  <si>
    <t>HCMQAP124_pos5ap2</t>
  </si>
  <si>
    <t>THCMQAP124_pos5ap2.xls</t>
  </si>
  <si>
    <t>Sommaire : Valeurs intégrales calculées avec les fichiers: HCMQAP124_pos1ap2+HCMQAP124_pos2ap2+HCMQAP124_pos3ap2+HCMQAP124_pos4ap2+HCMQAP124_pos5ap2</t>
  </si>
  <si>
    <t>Position 1</t>
  </si>
  <si>
    <t>Position 2</t>
  </si>
  <si>
    <t>Position 3</t>
  </si>
  <si>
    <t>Position 4</t>
  </si>
  <si>
    <t>Position 5</t>
  </si>
  <si>
    <t>Mutipôles</t>
  </si>
  <si>
    <t>C2 (mT)</t>
  </si>
  <si>
    <t>b3</t>
  </si>
  <si>
    <t>a3</t>
  </si>
  <si>
    <t>b4</t>
  </si>
  <si>
    <t>a4</t>
  </si>
  <si>
    <t>b5</t>
  </si>
  <si>
    <t>a5</t>
  </si>
  <si>
    <t>b6</t>
  </si>
  <si>
    <t>a6</t>
  </si>
  <si>
    <t>b7</t>
  </si>
  <si>
    <t>a7</t>
  </si>
  <si>
    <t>b8</t>
  </si>
  <si>
    <t>a8</t>
  </si>
  <si>
    <t>b9</t>
  </si>
  <si>
    <t>a9</t>
  </si>
  <si>
    <t>b10</t>
  </si>
  <si>
    <t>a10</t>
  </si>
  <si>
    <t>b11</t>
  </si>
  <si>
    <t>a11</t>
  </si>
  <si>
    <t>b12</t>
  </si>
  <si>
    <t>a12</t>
  </si>
  <si>
    <t>b13</t>
  </si>
  <si>
    <t>a13</t>
  </si>
  <si>
    <t>b14</t>
  </si>
  <si>
    <t>a14</t>
  </si>
  <si>
    <t>b15</t>
  </si>
  <si>
    <t>a15</t>
  </si>
  <si>
    <t>Angle[Horiz,C2](°)</t>
  </si>
  <si>
    <t>Temp. taupe (°C)</t>
  </si>
  <si>
    <t>Niv. moyen (mrad)</t>
  </si>
  <si>
    <t>Fichiers</t>
  </si>
  <si>
    <t>Long. mag (m)</t>
  </si>
  <si>
    <t>Intégrales</t>
  </si>
  <si>
    <r>
      <t>Intégrale(C</t>
    </r>
    <r>
      <rPr>
        <vertAlign val="subscript"/>
        <sz val="10"/>
        <rFont val="Times New Roman"/>
        <family val="1"/>
      </rPr>
      <t>n</t>
    </r>
    <r>
      <rPr>
        <sz val="10"/>
        <rFont val="Times New Roman"/>
        <family val="1"/>
      </rPr>
      <t>) = Sum(C</t>
    </r>
    <r>
      <rPr>
        <vertAlign val="subscript"/>
        <sz val="10"/>
        <rFont val="Times New Roman"/>
        <family val="1"/>
      </rPr>
      <t>n,pos=[1,5]</t>
    </r>
    <r>
      <rPr>
        <sz val="10"/>
        <rFont val="Times New Roman"/>
        <family val="1"/>
      </rPr>
      <t>)/(Sum(C</t>
    </r>
    <r>
      <rPr>
        <vertAlign val="subscript"/>
        <sz val="10"/>
        <rFont val="Times New Roman"/>
        <family val="1"/>
      </rPr>
      <t>2,pos=[1,5]</t>
    </r>
    <r>
      <rPr>
        <sz val="10"/>
        <rFont val="Times New Roman"/>
        <family val="1"/>
      </rPr>
      <t>)</t>
    </r>
  </si>
  <si>
    <r>
      <t>Gradient = 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/R</t>
    </r>
    <r>
      <rPr>
        <vertAlign val="subscript"/>
        <sz val="10"/>
        <rFont val="Times New Roman"/>
        <family val="1"/>
      </rPr>
      <t>ref</t>
    </r>
    <r>
      <rPr>
        <sz val="10"/>
        <rFont val="Times New Roman"/>
        <family val="1"/>
      </rPr>
      <t>*(11870/Spec_curv)</t>
    </r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</si>
  <si>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(mT) = (C</t>
    </r>
    <r>
      <rPr>
        <vertAlign val="subscript"/>
        <sz val="10"/>
        <rFont val="Times New Roman"/>
        <family val="1"/>
      </rPr>
      <t>2,pos2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2,pos3</t>
    </r>
    <r>
      <rPr>
        <sz val="10"/>
        <rFont val="Times New Roman"/>
        <family val="1"/>
      </rPr>
      <t>+C</t>
    </r>
    <r>
      <rPr>
        <vertAlign val="subscript"/>
        <sz val="10"/>
        <rFont val="Times New Roman"/>
        <family val="1"/>
      </rPr>
      <t>2,pos4</t>
    </r>
    <r>
      <rPr>
        <sz val="10"/>
        <rFont val="Times New Roman"/>
        <family val="1"/>
      </rPr>
      <t>)/3         Long_mag = Intégrale(C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)/C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*.7499     [C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(T) = c</t>
    </r>
    <r>
      <rPr>
        <vertAlign val="subscript"/>
        <sz val="10"/>
        <rFont val="Times New Roman"/>
        <family val="1"/>
      </rPr>
      <t>n,x</t>
    </r>
    <r>
      <rPr>
        <sz val="10"/>
        <rFont val="Times New Roman"/>
        <family val="1"/>
      </rPr>
      <t>(unit)*C</t>
    </r>
    <r>
      <rPr>
        <vertAlign val="subscript"/>
        <sz val="10"/>
        <rFont val="Times New Roman"/>
        <family val="1"/>
      </rPr>
      <t>2,x</t>
    </r>
    <r>
      <rPr>
        <sz val="10"/>
        <rFont val="Times New Roman"/>
        <family val="1"/>
      </rPr>
      <t>(T)]</t>
    </r>
  </si>
  <si>
    <t xml:space="preserve">Taupe : </t>
  </si>
  <si>
    <r>
      <t>C</t>
    </r>
    <r>
      <rPr>
        <vertAlign val="subscript"/>
        <sz val="10"/>
        <rFont val="Times New Roman"/>
        <family val="1"/>
      </rPr>
      <t>2,moyen</t>
    </r>
    <r>
      <rPr>
        <sz val="10"/>
        <rFont val="Times New Roman"/>
        <family val="1"/>
      </rPr>
      <t>=-3.749</t>
    </r>
  </si>
  <si>
    <t>Gradient (T/m)</t>
  </si>
  <si>
    <t xml:space="preserve"> Mon 03/11/2003       13:43:53</t>
  </si>
  <si>
    <t>SIEGMUND</t>
  </si>
  <si>
    <t>HCMQAP124</t>
  </si>
  <si>
    <t>Aperture2</t>
  </si>
  <si>
    <t>Position</t>
  </si>
  <si>
    <t>Integrales</t>
  </si>
  <si>
    <t>Cn (mT)</t>
  </si>
  <si>
    <t>Angle(Horiz,Cn)</t>
  </si>
  <si>
    <t>b1</t>
  </si>
  <si>
    <t>b2</t>
  </si>
  <si>
    <t>a1</t>
  </si>
  <si>
    <t>a2</t>
  </si>
  <si>
    <t>a13*</t>
  </si>
  <si>
    <t>Temp taupe(deg)</t>
  </si>
  <si>
    <t>Niv init(mrad)</t>
  </si>
  <si>
    <t>Dx moy (mm)</t>
  </si>
  <si>
    <t>Dy moy (mm)</t>
  </si>
  <si>
    <t>C2 centre (mT)</t>
  </si>
  <si>
    <t>Long. Mag. (m)</t>
  </si>
  <si>
    <t>* = error on            Conclusion : CONTACT CEA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</si>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</sst>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d/mm/yy\ h:mm:ss"/>
    <numFmt numFmtId="173" formatCode="0.0##"/>
    <numFmt numFmtId="174" formatCode="0.00E+0"/>
    <numFmt numFmtId="175" formatCode="0.0###"/>
    <numFmt numFmtId="176" formatCode="dd/mm/yy\ h:mm"/>
    <numFmt numFmtId="177" formatCode="0.0#"/>
    <numFmt numFmtId="178" formatCode="0.#"/>
    <numFmt numFmtId="179" formatCode="0.000"/>
    <numFmt numFmtId="180" formatCode="dd/mm/yy"/>
  </numFmts>
  <fonts count="14">
    <font>
      <sz val="10"/>
      <name val="Times New Roman"/>
      <family val="1"/>
    </font>
    <font>
      <sz val="10"/>
      <name val="Arial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Symbol"/>
      <family val="1"/>
    </font>
    <font>
      <b/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vertAlign val="subscript"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1.5"/>
      <name val="Arial"/>
      <family val="0"/>
    </font>
    <font>
      <sz val="11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medium">
        <color indexed="8"/>
      </top>
      <bottom style="thin"/>
    </border>
    <border>
      <left style="thin"/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>
        <color indexed="8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double">
        <color indexed="10"/>
      </left>
      <right>
        <color indexed="63"/>
      </right>
      <top style="double">
        <color indexed="10"/>
      </top>
      <bottom style="medium"/>
    </border>
    <border>
      <left>
        <color indexed="63"/>
      </left>
      <right>
        <color indexed="63"/>
      </right>
      <top style="double">
        <color indexed="10"/>
      </top>
      <bottom style="medium"/>
    </border>
    <border>
      <left>
        <color indexed="63"/>
      </left>
      <right style="double">
        <color indexed="10"/>
      </right>
      <top style="double">
        <color indexed="10"/>
      </top>
      <bottom style="medium"/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medium"/>
      <top>
        <color indexed="63"/>
      </top>
      <bottom style="double">
        <color indexed="10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 style="double"/>
      <top style="double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medium">
        <color indexed="8"/>
      </right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173" fontId="3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top"/>
    </xf>
    <xf numFmtId="173" fontId="3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right" vertical="top" wrapText="1"/>
    </xf>
    <xf numFmtId="173" fontId="3" fillId="0" borderId="2" xfId="0" applyNumberFormat="1" applyFont="1" applyFill="1" applyBorder="1" applyAlignment="1">
      <alignment horizontal="left" vertical="top" wrapText="1"/>
    </xf>
    <xf numFmtId="173" fontId="3" fillId="0" borderId="3" xfId="0" applyNumberFormat="1" applyFont="1" applyFill="1" applyBorder="1" applyAlignment="1">
      <alignment horizontal="left"/>
    </xf>
    <xf numFmtId="173" fontId="3" fillId="0" borderId="3" xfId="0" applyNumberFormat="1" applyFont="1" applyFill="1" applyBorder="1" applyAlignment="1">
      <alignment horizontal="center"/>
    </xf>
    <xf numFmtId="173" fontId="3" fillId="0" borderId="3" xfId="0" applyNumberFormat="1" applyFont="1" applyFill="1" applyBorder="1" applyAlignment="1">
      <alignment horizontal="right"/>
    </xf>
    <xf numFmtId="173" fontId="3" fillId="0" borderId="4" xfId="0" applyNumberFormat="1" applyFont="1" applyFill="1" applyBorder="1" applyAlignment="1">
      <alignment horizontal="left" vertical="top" wrapText="1"/>
    </xf>
    <xf numFmtId="1" fontId="3" fillId="0" borderId="3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 vertical="top" wrapText="1"/>
    </xf>
    <xf numFmtId="1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right" vertical="top" wrapText="1"/>
    </xf>
    <xf numFmtId="173" fontId="2" fillId="0" borderId="3" xfId="0" applyNumberFormat="1" applyFont="1" applyFill="1" applyBorder="1" applyAlignment="1">
      <alignment horizontal="right" vertical="center"/>
    </xf>
    <xf numFmtId="178" fontId="3" fillId="0" borderId="2" xfId="0" applyNumberFormat="1" applyFont="1" applyFill="1" applyBorder="1" applyAlignment="1">
      <alignment horizontal="center" vertical="top" wrapText="1"/>
    </xf>
    <xf numFmtId="178" fontId="3" fillId="0" borderId="3" xfId="0" applyNumberFormat="1" applyFont="1" applyFill="1" applyBorder="1" applyAlignment="1">
      <alignment horizontal="center"/>
    </xf>
    <xf numFmtId="178" fontId="2" fillId="0" borderId="3" xfId="0" applyNumberFormat="1" applyFont="1" applyFill="1" applyBorder="1" applyAlignment="1">
      <alignment horizontal="center" vertical="center"/>
    </xf>
    <xf numFmtId="173" fontId="3" fillId="0" borderId="2" xfId="0" applyNumberFormat="1" applyFont="1" applyFill="1" applyBorder="1" applyAlignment="1">
      <alignment horizontal="center" vertical="top" wrapText="1"/>
    </xf>
    <xf numFmtId="173" fontId="2" fillId="0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78" fontId="3" fillId="2" borderId="3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center"/>
    </xf>
    <xf numFmtId="173" fontId="3" fillId="2" borderId="3" xfId="0" applyNumberFormat="1" applyFont="1" applyFill="1" applyBorder="1" applyAlignment="1">
      <alignment horizontal="left"/>
    </xf>
    <xf numFmtId="173" fontId="3" fillId="2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173" fontId="3" fillId="2" borderId="3" xfId="0" applyNumberFormat="1" applyFont="1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0" borderId="0" xfId="0" applyAlignment="1">
      <alignment horizontal="right"/>
    </xf>
    <xf numFmtId="1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center"/>
    </xf>
    <xf numFmtId="173" fontId="2" fillId="2" borderId="3" xfId="0" applyNumberFormat="1" applyFont="1" applyFill="1" applyBorder="1" applyAlignment="1">
      <alignment horizontal="left"/>
    </xf>
    <xf numFmtId="173" fontId="2" fillId="2" borderId="3" xfId="0" applyNumberFormat="1" applyFont="1" applyFill="1" applyBorder="1" applyAlignment="1">
      <alignment horizontal="right"/>
    </xf>
    <xf numFmtId="173" fontId="2" fillId="2" borderId="0" xfId="0" applyNumberFormat="1" applyFont="1" applyFill="1" applyBorder="1" applyAlignment="1">
      <alignment horizontal="left"/>
    </xf>
    <xf numFmtId="1" fontId="0" fillId="2" borderId="0" xfId="0" applyNumberFormat="1" applyFill="1" applyAlignment="1">
      <alignment horizontal="center"/>
    </xf>
    <xf numFmtId="180" fontId="3" fillId="0" borderId="2" xfId="0" applyNumberFormat="1" applyFont="1" applyFill="1" applyBorder="1" applyAlignment="1">
      <alignment horizontal="left" vertical="top"/>
    </xf>
    <xf numFmtId="180" fontId="3" fillId="2" borderId="3" xfId="0" applyNumberFormat="1" applyFont="1" applyFill="1" applyBorder="1" applyAlignment="1">
      <alignment horizontal="left"/>
    </xf>
    <xf numFmtId="180" fontId="4" fillId="2" borderId="3" xfId="0" applyNumberFormat="1" applyFont="1" applyFill="1" applyBorder="1" applyAlignment="1">
      <alignment horizontal="left"/>
    </xf>
    <xf numFmtId="180" fontId="2" fillId="0" borderId="3" xfId="0" applyNumberFormat="1" applyFont="1" applyFill="1" applyBorder="1" applyAlignment="1">
      <alignment horizontal="left" vertical="center"/>
    </xf>
    <xf numFmtId="180" fontId="3" fillId="0" borderId="3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5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 horizontal="left"/>
    </xf>
    <xf numFmtId="173" fontId="3" fillId="0" borderId="7" xfId="0" applyNumberFormat="1" applyFont="1" applyFill="1" applyBorder="1" applyAlignment="1">
      <alignment horizontal="left"/>
    </xf>
    <xf numFmtId="173" fontId="3" fillId="0" borderId="8" xfId="0" applyNumberFormat="1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right"/>
    </xf>
    <xf numFmtId="173" fontId="3" fillId="0" borderId="12" xfId="0" applyNumberFormat="1" applyFont="1" applyFill="1" applyBorder="1" applyAlignment="1">
      <alignment horizontal="left"/>
    </xf>
    <xf numFmtId="173" fontId="3" fillId="0" borderId="13" xfId="0" applyNumberFormat="1" applyFont="1" applyFill="1" applyBorder="1" applyAlignment="1">
      <alignment horizontal="center"/>
    </xf>
    <xf numFmtId="173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1" fontId="3" fillId="0" borderId="11" xfId="0" applyNumberFormat="1" applyFont="1" applyFill="1" applyBorder="1" applyAlignment="1">
      <alignment horizontal="left"/>
    </xf>
    <xf numFmtId="176" fontId="3" fillId="0" borderId="11" xfId="0" applyNumberFormat="1" applyFont="1" applyFill="1" applyBorder="1" applyAlignment="1">
      <alignment horizontal="left"/>
    </xf>
    <xf numFmtId="173" fontId="3" fillId="0" borderId="16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left"/>
    </xf>
    <xf numFmtId="173" fontId="3" fillId="0" borderId="17" xfId="0" applyNumberFormat="1" applyFont="1" applyFill="1" applyBorder="1" applyAlignment="1">
      <alignment horizontal="center"/>
    </xf>
    <xf numFmtId="173" fontId="3" fillId="0" borderId="18" xfId="0" applyNumberFormat="1" applyFont="1" applyFill="1" applyBorder="1" applyAlignment="1">
      <alignment horizontal="center"/>
    </xf>
    <xf numFmtId="173" fontId="3" fillId="0" borderId="12" xfId="0" applyNumberFormat="1" applyFont="1" applyFill="1" applyBorder="1" applyAlignment="1">
      <alignment horizontal="center"/>
    </xf>
    <xf numFmtId="173" fontId="5" fillId="0" borderId="13" xfId="0" applyNumberFormat="1" applyFont="1" applyFill="1" applyBorder="1" applyAlignment="1">
      <alignment horizontal="left"/>
    </xf>
    <xf numFmtId="173" fontId="5" fillId="0" borderId="13" xfId="0" applyNumberFormat="1" applyFont="1" applyFill="1" applyBorder="1" applyAlignment="1">
      <alignment horizontal="center"/>
    </xf>
    <xf numFmtId="173" fontId="5" fillId="0" borderId="14" xfId="0" applyNumberFormat="1" applyFont="1" applyFill="1" applyBorder="1" applyAlignment="1">
      <alignment horizontal="center"/>
    </xf>
    <xf numFmtId="173" fontId="5" fillId="0" borderId="19" xfId="0" applyNumberFormat="1" applyFont="1" applyFill="1" applyBorder="1" applyAlignment="1">
      <alignment horizontal="center"/>
    </xf>
    <xf numFmtId="173" fontId="5" fillId="0" borderId="20" xfId="0" applyNumberFormat="1" applyFont="1" applyFill="1" applyBorder="1" applyAlignment="1">
      <alignment horizontal="center"/>
    </xf>
    <xf numFmtId="173" fontId="3" fillId="0" borderId="13" xfId="0" applyNumberFormat="1" applyFont="1" applyFill="1" applyBorder="1" applyAlignment="1">
      <alignment horizontal="left"/>
    </xf>
    <xf numFmtId="173" fontId="3" fillId="0" borderId="2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173" fontId="3" fillId="0" borderId="22" xfId="0" applyNumberFormat="1" applyFont="1" applyFill="1" applyBorder="1" applyAlignment="1">
      <alignment horizontal="center"/>
    </xf>
    <xf numFmtId="173" fontId="4" fillId="0" borderId="23" xfId="0" applyNumberFormat="1" applyFont="1" applyFill="1" applyBorder="1" applyAlignment="1">
      <alignment horizontal="center"/>
    </xf>
    <xf numFmtId="173" fontId="3" fillId="0" borderId="23" xfId="0" applyNumberFormat="1" applyFont="1" applyFill="1" applyBorder="1" applyAlignment="1">
      <alignment horizontal="center"/>
    </xf>
    <xf numFmtId="173" fontId="3" fillId="0" borderId="24" xfId="0" applyNumberFormat="1" applyFont="1" applyFill="1" applyBorder="1" applyAlignment="1">
      <alignment horizontal="center"/>
    </xf>
    <xf numFmtId="173" fontId="5" fillId="0" borderId="10" xfId="0" applyNumberFormat="1" applyFont="1" applyFill="1" applyBorder="1" applyAlignment="1">
      <alignment horizontal="center"/>
    </xf>
    <xf numFmtId="173" fontId="5" fillId="0" borderId="15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73" fontId="3" fillId="0" borderId="15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center"/>
    </xf>
    <xf numFmtId="173" fontId="3" fillId="0" borderId="11" xfId="0" applyNumberFormat="1" applyFont="1" applyFill="1" applyBorder="1" applyAlignment="1">
      <alignment horizontal="left"/>
    </xf>
    <xf numFmtId="173" fontId="3" fillId="0" borderId="10" xfId="0" applyNumberFormat="1" applyFont="1" applyFill="1" applyBorder="1" applyAlignment="1">
      <alignment horizontal="center"/>
    </xf>
    <xf numFmtId="175" fontId="3" fillId="0" borderId="11" xfId="0" applyNumberFormat="1" applyFont="1" applyFill="1" applyBorder="1" applyAlignment="1">
      <alignment horizontal="left"/>
    </xf>
    <xf numFmtId="173" fontId="5" fillId="0" borderId="11" xfId="0" applyNumberFormat="1" applyFont="1" applyFill="1" applyBorder="1" applyAlignment="1">
      <alignment horizontal="left"/>
    </xf>
    <xf numFmtId="173" fontId="3" fillId="3" borderId="10" xfId="0" applyNumberFormat="1" applyFont="1" applyFill="1" applyBorder="1" applyAlignment="1">
      <alignment horizontal="center"/>
    </xf>
    <xf numFmtId="177" fontId="3" fillId="0" borderId="11" xfId="0" applyNumberFormat="1" applyFont="1" applyFill="1" applyBorder="1" applyAlignment="1">
      <alignment horizontal="left"/>
    </xf>
    <xf numFmtId="173" fontId="3" fillId="0" borderId="25" xfId="0" applyNumberFormat="1" applyFont="1" applyFill="1" applyBorder="1" applyAlignment="1">
      <alignment horizontal="center"/>
    </xf>
    <xf numFmtId="173" fontId="3" fillId="0" borderId="26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73" fontId="3" fillId="0" borderId="27" xfId="0" applyNumberFormat="1" applyFont="1" applyFill="1" applyBorder="1" applyAlignment="1">
      <alignment horizontal="center"/>
    </xf>
    <xf numFmtId="0" fontId="3" fillId="0" borderId="25" xfId="0" applyFont="1" applyFill="1" applyBorder="1" applyAlignment="1">
      <alignment horizontal="left"/>
    </xf>
    <xf numFmtId="1" fontId="3" fillId="0" borderId="27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7" fontId="3" fillId="0" borderId="0" xfId="0" applyNumberFormat="1" applyFont="1" applyFill="1" applyBorder="1" applyAlignment="1">
      <alignment horizontal="left"/>
    </xf>
    <xf numFmtId="173" fontId="2" fillId="0" borderId="28" xfId="0" applyNumberFormat="1" applyFont="1" applyFill="1" applyBorder="1" applyAlignment="1">
      <alignment horizontal="left"/>
    </xf>
    <xf numFmtId="173" fontId="2" fillId="0" borderId="29" xfId="0" applyNumberFormat="1" applyFont="1" applyFill="1" applyBorder="1" applyAlignment="1">
      <alignment horizontal="left"/>
    </xf>
    <xf numFmtId="173" fontId="7" fillId="0" borderId="29" xfId="0" applyNumberFormat="1" applyFont="1" applyFill="1" applyBorder="1" applyAlignment="1">
      <alignment horizontal="left"/>
    </xf>
    <xf numFmtId="173" fontId="2" fillId="0" borderId="30" xfId="0" applyNumberFormat="1" applyFont="1" applyFill="1" applyBorder="1" applyAlignment="1">
      <alignment horizontal="left"/>
    </xf>
    <xf numFmtId="173" fontId="2" fillId="0" borderId="31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left"/>
    </xf>
    <xf numFmtId="173" fontId="2" fillId="0" borderId="32" xfId="0" applyNumberFormat="1" applyFont="1" applyFill="1" applyBorder="1" applyAlignment="1">
      <alignment horizontal="center"/>
    </xf>
    <xf numFmtId="173" fontId="2" fillId="0" borderId="33" xfId="0" applyNumberFormat="1" applyFont="1" applyFill="1" applyBorder="1" applyAlignment="1">
      <alignment horizontal="left"/>
    </xf>
    <xf numFmtId="173" fontId="2" fillId="0" borderId="34" xfId="0" applyNumberFormat="1" applyFont="1" applyFill="1" applyBorder="1" applyAlignment="1">
      <alignment horizontal="left"/>
    </xf>
    <xf numFmtId="173" fontId="2" fillId="0" borderId="35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left"/>
    </xf>
    <xf numFmtId="173" fontId="2" fillId="0" borderId="36" xfId="0" applyNumberFormat="1" applyFont="1" applyFill="1" applyBorder="1" applyAlignment="1">
      <alignment horizontal="center"/>
    </xf>
    <xf numFmtId="173" fontId="2" fillId="0" borderId="37" xfId="0" applyNumberFormat="1" applyFont="1" applyFill="1" applyBorder="1" applyAlignment="1">
      <alignment horizontal="left"/>
    </xf>
    <xf numFmtId="173" fontId="2" fillId="0" borderId="38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173" fontId="2" fillId="0" borderId="40" xfId="0" applyNumberFormat="1" applyFont="1" applyFill="1" applyBorder="1" applyAlignment="1">
      <alignment horizontal="left" vertical="center"/>
    </xf>
    <xf numFmtId="173" fontId="2" fillId="0" borderId="41" xfId="0" applyNumberFormat="1" applyFont="1" applyFill="1" applyBorder="1" applyAlignment="1">
      <alignment horizontal="left" vertical="center"/>
    </xf>
    <xf numFmtId="173" fontId="3" fillId="3" borderId="15" xfId="0" applyNumberFormat="1" applyFont="1" applyFill="1" applyBorder="1" applyAlignment="1">
      <alignment horizontal="center"/>
    </xf>
    <xf numFmtId="173" fontId="5" fillId="3" borderId="15" xfId="0" applyNumberFormat="1" applyFont="1" applyFill="1" applyBorder="1" applyAlignment="1">
      <alignment horizontal="center"/>
    </xf>
    <xf numFmtId="173" fontId="3" fillId="4" borderId="15" xfId="0" applyNumberFormat="1" applyFont="1" applyFill="1" applyBorder="1" applyAlignment="1">
      <alignment horizontal="center"/>
    </xf>
    <xf numFmtId="173" fontId="5" fillId="3" borderId="10" xfId="0" applyNumberFormat="1" applyFont="1" applyFill="1" applyBorder="1" applyAlignment="1">
      <alignment horizontal="center"/>
    </xf>
    <xf numFmtId="179" fontId="5" fillId="0" borderId="15" xfId="0" applyNumberFormat="1" applyFont="1" applyFill="1" applyBorder="1" applyAlignment="1">
      <alignment horizontal="center"/>
    </xf>
    <xf numFmtId="179" fontId="3" fillId="0" borderId="15" xfId="0" applyNumberFormat="1" applyFont="1" applyFill="1" applyBorder="1" applyAlignment="1">
      <alignment horizontal="center"/>
    </xf>
    <xf numFmtId="179" fontId="3" fillId="3" borderId="15" xfId="0" applyNumberFormat="1" applyFont="1" applyFill="1" applyBorder="1" applyAlignment="1">
      <alignment horizontal="center"/>
    </xf>
    <xf numFmtId="179" fontId="3" fillId="0" borderId="42" xfId="0" applyNumberFormat="1" applyFont="1" applyFill="1" applyBorder="1" applyAlignment="1">
      <alignment horizontal="center"/>
    </xf>
    <xf numFmtId="179" fontId="0" fillId="0" borderId="43" xfId="0" applyNumberFormat="1" applyBorder="1" applyAlignment="1">
      <alignment horizontal="left"/>
    </xf>
    <xf numFmtId="179" fontId="0" fillId="0" borderId="44" xfId="0" applyNumberFormat="1" applyBorder="1" applyAlignment="1">
      <alignment horizontal="center"/>
    </xf>
    <xf numFmtId="179" fontId="0" fillId="0" borderId="15" xfId="0" applyNumberFormat="1" applyBorder="1" applyAlignment="1">
      <alignment horizontal="center"/>
    </xf>
    <xf numFmtId="179" fontId="0" fillId="0" borderId="45" xfId="0" applyNumberFormat="1" applyBorder="1" applyAlignment="1">
      <alignment horizontal="center"/>
    </xf>
    <xf numFmtId="179" fontId="0" fillId="0" borderId="46" xfId="0" applyNumberFormat="1" applyBorder="1" applyAlignment="1">
      <alignment horizontal="center"/>
    </xf>
    <xf numFmtId="179" fontId="0" fillId="0" borderId="43" xfId="0" applyNumberFormat="1" applyBorder="1" applyAlignment="1">
      <alignment horizontal="center"/>
    </xf>
    <xf numFmtId="179" fontId="0" fillId="0" borderId="42" xfId="0" applyNumberFormat="1" applyBorder="1" applyAlignment="1">
      <alignment horizontal="center"/>
    </xf>
    <xf numFmtId="179" fontId="0" fillId="0" borderId="47" xfId="0" applyNumberFormat="1" applyBorder="1" applyAlignment="1">
      <alignment horizontal="left"/>
    </xf>
    <xf numFmtId="179" fontId="0" fillId="0" borderId="20" xfId="0" applyNumberFormat="1" applyBorder="1" applyAlignment="1">
      <alignment horizontal="center"/>
    </xf>
    <xf numFmtId="179" fontId="0" fillId="0" borderId="48" xfId="0" applyNumberFormat="1" applyBorder="1" applyAlignment="1">
      <alignment horizontal="center"/>
    </xf>
    <xf numFmtId="179" fontId="0" fillId="0" borderId="49" xfId="0" applyNumberFormat="1" applyBorder="1" applyAlignment="1">
      <alignment horizontal="left"/>
    </xf>
    <xf numFmtId="179" fontId="0" fillId="0" borderId="14" xfId="0" applyNumberFormat="1" applyBorder="1" applyAlignment="1">
      <alignment horizontal="center"/>
    </xf>
    <xf numFmtId="179" fontId="5" fillId="0" borderId="14" xfId="0" applyNumberFormat="1" applyFont="1" applyFill="1" applyBorder="1" applyAlignment="1">
      <alignment horizontal="center"/>
    </xf>
    <xf numFmtId="179" fontId="3" fillId="0" borderId="14" xfId="0" applyNumberFormat="1" applyFont="1" applyFill="1" applyBorder="1" applyAlignment="1">
      <alignment horizontal="center"/>
    </xf>
    <xf numFmtId="179" fontId="3" fillId="3" borderId="14" xfId="0" applyNumberFormat="1" applyFont="1" applyFill="1" applyBorder="1" applyAlignment="1">
      <alignment horizontal="center"/>
    </xf>
    <xf numFmtId="179" fontId="3" fillId="0" borderId="50" xfId="0" applyNumberFormat="1" applyFont="1" applyFill="1" applyBorder="1" applyAlignment="1">
      <alignment horizontal="center"/>
    </xf>
    <xf numFmtId="179" fontId="0" fillId="0" borderId="49" xfId="0" applyNumberFormat="1" applyBorder="1" applyAlignment="1">
      <alignment horizontal="center"/>
    </xf>
    <xf numFmtId="179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179" fontId="5" fillId="0" borderId="55" xfId="0" applyNumberFormat="1" applyFont="1" applyFill="1" applyBorder="1" applyAlignment="1">
      <alignment horizontal="center"/>
    </xf>
    <xf numFmtId="179" fontId="5" fillId="0" borderId="56" xfId="0" applyNumberFormat="1" applyFont="1" applyFill="1" applyBorder="1" applyAlignment="1">
      <alignment horizontal="center"/>
    </xf>
    <xf numFmtId="0" fontId="0" fillId="0" borderId="57" xfId="0" applyBorder="1" applyAlignment="1">
      <alignment horizontal="center"/>
    </xf>
    <xf numFmtId="179" fontId="0" fillId="0" borderId="58" xfId="0" applyNumberFormat="1" applyBorder="1" applyAlignment="1">
      <alignment horizontal="center"/>
    </xf>
    <xf numFmtId="179" fontId="0" fillId="0" borderId="23" xfId="0" applyNumberFormat="1" applyBorder="1" applyAlignment="1">
      <alignment horizontal="center"/>
    </xf>
    <xf numFmtId="179" fontId="0" fillId="0" borderId="59" xfId="0" applyNumberFormat="1" applyBorder="1" applyAlignment="1">
      <alignment horizontal="center"/>
    </xf>
    <xf numFmtId="179" fontId="5" fillId="0" borderId="60" xfId="0" applyNumberFormat="1" applyFont="1" applyFill="1" applyBorder="1" applyAlignment="1">
      <alignment horizontal="center"/>
    </xf>
    <xf numFmtId="179" fontId="3" fillId="0" borderId="20" xfId="0" applyNumberFormat="1" applyFont="1" applyFill="1" applyBorder="1" applyAlignment="1">
      <alignment horizontal="center"/>
    </xf>
    <xf numFmtId="179" fontId="5" fillId="3" borderId="20" xfId="0" applyNumberFormat="1" applyFont="1" applyFill="1" applyBorder="1" applyAlignment="1">
      <alignment horizontal="center"/>
    </xf>
    <xf numFmtId="179" fontId="5" fillId="0" borderId="20" xfId="0" applyNumberFormat="1" applyFont="1" applyFill="1" applyBorder="1" applyAlignment="1">
      <alignment horizontal="center"/>
    </xf>
    <xf numFmtId="179" fontId="3" fillId="4" borderId="20" xfId="0" applyNumberFormat="1" applyFont="1" applyFill="1" applyBorder="1" applyAlignment="1">
      <alignment horizontal="center"/>
    </xf>
    <xf numFmtId="179" fontId="3" fillId="0" borderId="61" xfId="0" applyNumberFormat="1" applyFont="1" applyFill="1" applyBorder="1" applyAlignment="1">
      <alignment horizontal="center"/>
    </xf>
    <xf numFmtId="179" fontId="0" fillId="0" borderId="62" xfId="0" applyNumberFormat="1" applyBorder="1" applyAlignment="1">
      <alignment horizontal="center"/>
    </xf>
    <xf numFmtId="179" fontId="0" fillId="0" borderId="63" xfId="0" applyNumberFormat="1" applyBorder="1" applyAlignment="1">
      <alignment horizontal="center"/>
    </xf>
    <xf numFmtId="179" fontId="0" fillId="0" borderId="64" xfId="0" applyNumberFormat="1" applyBorder="1" applyAlignment="1">
      <alignment horizontal="center"/>
    </xf>
    <xf numFmtId="179" fontId="10" fillId="0" borderId="64" xfId="0" applyNumberFormat="1" applyFont="1" applyBorder="1" applyAlignment="1">
      <alignment horizontal="center"/>
    </xf>
    <xf numFmtId="179" fontId="0" fillId="0" borderId="65" xfId="0" applyNumberFormat="1" applyBorder="1" applyAlignment="1">
      <alignment horizontal="center"/>
    </xf>
    <xf numFmtId="179" fontId="11" fillId="0" borderId="66" xfId="0" applyNumberFormat="1" applyFont="1" applyBorder="1" applyAlignment="1">
      <alignment horizontal="center"/>
    </xf>
    <xf numFmtId="179" fontId="11" fillId="0" borderId="67" xfId="0" applyNumberFormat="1" applyFont="1" applyBorder="1" applyAlignment="1">
      <alignment horizontal="center"/>
    </xf>
    <xf numFmtId="2" fontId="11" fillId="0" borderId="67" xfId="0" applyNumberFormat="1" applyFont="1" applyBorder="1" applyAlignment="1">
      <alignment horizontal="center"/>
    </xf>
    <xf numFmtId="0" fontId="1" fillId="0" borderId="0" xfId="19">
      <alignment/>
      <protection/>
    </xf>
    <xf numFmtId="11" fontId="1" fillId="0" borderId="0" xfId="19" applyNumberFormat="1">
      <alignment/>
      <protection/>
    </xf>
    <xf numFmtId="173" fontId="3" fillId="0" borderId="59" xfId="0" applyNumberFormat="1" applyFont="1" applyFill="1" applyBorder="1" applyAlignment="1">
      <alignment horizontal="center"/>
    </xf>
    <xf numFmtId="173" fontId="3" fillId="0" borderId="58" xfId="0" applyNumberFormat="1" applyFont="1" applyFill="1" applyBorder="1" applyAlignment="1">
      <alignment horizontal="center"/>
    </xf>
    <xf numFmtId="173" fontId="3" fillId="0" borderId="68" xfId="0" applyNumberFormat="1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sult_HCMQAP124_aper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Lmag_hcmqap!$A$4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Lmag_hcmqap!$B$4:$F$4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Lmag_hcmqap!$A$17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Lmag_hcmqap!$B$17:$F$17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Lmag_hcmqap!$A$7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Lmag_hcmqap!$B$7:$F$7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Lmag_hcmqap!$A$20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Lmag_hcmqap!$B$20:$F$20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Lmag_hcmqap!$A$11</c:f>
              <c:strCache>
                <c:ptCount val="1"/>
                <c:pt idx="0">
                  <c:v>b10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Lmag_hcmqap!$B$11:$F$11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Lmag_hcmqap!$A$24</c:f>
              <c:strCache>
                <c:ptCount val="1"/>
                <c:pt idx="0">
                  <c:v>a10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Lmag_hcmqap!$B$24:$F$24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Lmag_hcmqap!$A$6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Lmag_hcmqap!$B$6:$F$6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Lmag_hcmqap!$A$19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Lmag_hcmqap!$B$3:$F$3</c:f>
              <c:strCache/>
            </c:strRef>
          </c:cat>
          <c:val>
            <c:numRef>
              <c:f>Lmag_hcmqap!$B$19:$F$19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6570976"/>
        <c:axId val="16485601"/>
      </c:lineChart>
      <c:catAx>
        <c:axId val="4657097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16485601"/>
        <c:crosses val="autoZero"/>
        <c:auto val="1"/>
        <c:lblOffset val="100"/>
        <c:noMultiLvlLbl val="0"/>
      </c:catAx>
      <c:valAx>
        <c:axId val="164856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/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657097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36</xdr:row>
      <xdr:rowOff>28575</xdr:rowOff>
    </xdr:from>
    <xdr:to>
      <xdr:col>7</xdr:col>
      <xdr:colOff>19050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171450" y="6010275"/>
        <a:ext cx="53816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N17"/>
  <sheetViews>
    <sheetView workbookViewId="0" topLeftCell="A1">
      <selection activeCell="A6" sqref="A6:IV6"/>
    </sheetView>
  </sheetViews>
  <sheetFormatPr defaultColWidth="9.33203125" defaultRowHeight="15" customHeight="1"/>
  <cols>
    <col min="1" max="1" width="8.33203125" style="43" customWidth="1"/>
    <col min="2" max="2" width="5.5" style="19" customWidth="1"/>
    <col min="3" max="3" width="5.66015625" style="19" customWidth="1"/>
    <col min="4" max="4" width="8.16015625" style="13" customWidth="1"/>
    <col min="5" max="5" width="4.66015625" style="13" customWidth="1"/>
    <col min="6" max="6" width="8.33203125" style="10" customWidth="1"/>
    <col min="7" max="7" width="8" style="10" customWidth="1"/>
    <col min="8" max="8" width="6.16015625" style="13" customWidth="1"/>
    <col min="9" max="9" width="10.83203125" style="9" customWidth="1"/>
    <col min="10" max="10" width="11" style="11" customWidth="1"/>
    <col min="11" max="11" width="35.5" style="3" customWidth="1"/>
    <col min="12" max="13" width="8.83203125" style="3" customWidth="1"/>
    <col min="14" max="14" width="5" style="3" customWidth="1"/>
    <col min="15" max="16384" width="12" style="1" customWidth="1"/>
  </cols>
  <sheetData>
    <row r="1" spans="1:14" s="5" customFormat="1" ht="29.25" customHeight="1" thickBot="1">
      <c r="A1" s="39" t="s">
        <v>0</v>
      </c>
      <c r="B1" s="18" t="s">
        <v>1</v>
      </c>
      <c r="C1" s="18" t="s">
        <v>2</v>
      </c>
      <c r="D1" s="14" t="s">
        <v>3</v>
      </c>
      <c r="E1" s="14" t="s">
        <v>4</v>
      </c>
      <c r="F1" s="21" t="s">
        <v>10</v>
      </c>
      <c r="G1" s="21" t="s">
        <v>11</v>
      </c>
      <c r="H1" s="14" t="s">
        <v>5</v>
      </c>
      <c r="I1" s="8" t="s">
        <v>6</v>
      </c>
      <c r="J1" s="16" t="s">
        <v>7</v>
      </c>
      <c r="K1" s="6" t="s">
        <v>8</v>
      </c>
      <c r="L1" s="6"/>
      <c r="M1" s="12" t="s">
        <v>9</v>
      </c>
      <c r="N1" s="7">
        <v>6</v>
      </c>
    </row>
    <row r="2" spans="1:14" s="29" customFormat="1" ht="15" customHeight="1" thickTop="1">
      <c r="A2" s="40">
        <v>37691</v>
      </c>
      <c r="B2" s="24">
        <v>80</v>
      </c>
      <c r="C2" s="24" t="s">
        <v>69</v>
      </c>
      <c r="D2" s="25">
        <v>5</v>
      </c>
      <c r="E2" s="25">
        <v>1</v>
      </c>
      <c r="F2" s="26"/>
      <c r="G2" s="26" t="s">
        <v>68</v>
      </c>
      <c r="H2" s="25">
        <v>2535</v>
      </c>
      <c r="I2" s="27" t="s">
        <v>70</v>
      </c>
      <c r="J2" s="30"/>
      <c r="K2" s="28"/>
      <c r="L2" s="28"/>
      <c r="M2" s="28"/>
      <c r="N2" s="28"/>
    </row>
    <row r="3" spans="1:14" s="29" customFormat="1" ht="15" customHeight="1">
      <c r="A3" s="40">
        <v>37691</v>
      </c>
      <c r="B3" s="24">
        <v>80</v>
      </c>
      <c r="C3" s="24" t="s">
        <v>69</v>
      </c>
      <c r="D3" s="25">
        <v>5</v>
      </c>
      <c r="E3" s="25">
        <v>2</v>
      </c>
      <c r="F3" s="26"/>
      <c r="G3" s="26" t="s">
        <v>72</v>
      </c>
      <c r="H3" s="25">
        <v>2535</v>
      </c>
      <c r="I3" s="27" t="s">
        <v>73</v>
      </c>
      <c r="J3" s="30"/>
      <c r="K3" s="28"/>
      <c r="L3" s="28"/>
      <c r="M3" s="28"/>
      <c r="N3" s="28"/>
    </row>
    <row r="4" spans="1:14" s="29" customFormat="1" ht="15" customHeight="1">
      <c r="A4" s="40">
        <v>37691</v>
      </c>
      <c r="B4" s="24">
        <v>80</v>
      </c>
      <c r="C4" s="24" t="s">
        <v>69</v>
      </c>
      <c r="D4" s="25">
        <v>5</v>
      </c>
      <c r="E4" s="25">
        <v>3</v>
      </c>
      <c r="F4" s="26"/>
      <c r="G4" s="26" t="s">
        <v>75</v>
      </c>
      <c r="H4" s="25">
        <v>2535</v>
      </c>
      <c r="I4" s="27" t="s">
        <v>76</v>
      </c>
      <c r="J4" s="30"/>
      <c r="K4" s="31"/>
      <c r="L4" s="31"/>
      <c r="M4" s="31"/>
      <c r="N4" s="28"/>
    </row>
    <row r="5" spans="1:14" s="29" customFormat="1" ht="15" customHeight="1">
      <c r="A5" s="40">
        <v>37691</v>
      </c>
      <c r="B5" s="24">
        <v>80</v>
      </c>
      <c r="C5" s="24" t="s">
        <v>69</v>
      </c>
      <c r="D5" s="25">
        <v>5</v>
      </c>
      <c r="E5" s="25">
        <v>4</v>
      </c>
      <c r="F5" s="26"/>
      <c r="G5" s="26" t="s">
        <v>78</v>
      </c>
      <c r="H5" s="25">
        <v>2535</v>
      </c>
      <c r="I5" s="27" t="s">
        <v>79</v>
      </c>
      <c r="J5" s="30"/>
      <c r="K5" s="28"/>
      <c r="L5" s="28"/>
      <c r="M5" s="28"/>
      <c r="N5" s="28"/>
    </row>
    <row r="6" spans="1:14" s="29" customFormat="1" ht="15" customHeight="1">
      <c r="A6" s="40">
        <v>37691</v>
      </c>
      <c r="B6" s="24">
        <v>80</v>
      </c>
      <c r="C6" s="24" t="s">
        <v>69</v>
      </c>
      <c r="D6" s="25">
        <v>5</v>
      </c>
      <c r="E6" s="25">
        <v>5</v>
      </c>
      <c r="F6" s="26"/>
      <c r="G6" s="26" t="s">
        <v>81</v>
      </c>
      <c r="H6" s="25">
        <v>2535</v>
      </c>
      <c r="I6" s="27" t="s">
        <v>82</v>
      </c>
      <c r="J6" s="30"/>
      <c r="K6" s="28"/>
      <c r="L6" s="28"/>
      <c r="M6" s="28"/>
      <c r="N6" s="28"/>
    </row>
    <row r="7" spans="1:14" s="29" customFormat="1" ht="15" customHeight="1">
      <c r="A7" s="40" t="s">
        <v>83</v>
      </c>
      <c r="B7" s="24"/>
      <c r="C7" s="24"/>
      <c r="D7" s="25"/>
      <c r="E7" s="25"/>
      <c r="F7" s="26"/>
      <c r="G7" s="26"/>
      <c r="H7" s="25"/>
      <c r="I7" s="27"/>
      <c r="J7" s="30"/>
      <c r="K7" s="28"/>
      <c r="L7" s="28"/>
      <c r="M7" s="28"/>
      <c r="N7" s="28"/>
    </row>
    <row r="8" spans="1:14" s="29" customFormat="1" ht="15" customHeight="1">
      <c r="A8" s="40"/>
      <c r="B8" s="24"/>
      <c r="C8" s="24"/>
      <c r="D8" s="25"/>
      <c r="E8" s="25"/>
      <c r="F8" s="26"/>
      <c r="G8" s="26"/>
      <c r="H8" s="25"/>
      <c r="I8" s="27"/>
      <c r="J8" s="30"/>
      <c r="K8" s="28"/>
      <c r="L8" s="28"/>
      <c r="M8" s="28"/>
      <c r="N8" s="28"/>
    </row>
    <row r="9" spans="1:14" s="29" customFormat="1" ht="15" customHeight="1">
      <c r="A9" s="40"/>
      <c r="B9" s="24"/>
      <c r="C9" s="24"/>
      <c r="D9" s="25"/>
      <c r="E9" s="25"/>
      <c r="F9" s="26"/>
      <c r="G9" s="26"/>
      <c r="H9" s="25"/>
      <c r="I9" s="27"/>
      <c r="J9" s="30"/>
      <c r="K9" s="28"/>
      <c r="L9" s="28"/>
      <c r="M9" s="28"/>
      <c r="N9" s="28"/>
    </row>
    <row r="10" spans="1:14" s="29" customFormat="1" ht="15" customHeight="1">
      <c r="A10" s="40"/>
      <c r="B10" s="24"/>
      <c r="C10" s="24"/>
      <c r="D10" s="25"/>
      <c r="E10" s="25"/>
      <c r="F10" s="26"/>
      <c r="G10" s="26"/>
      <c r="H10" s="25"/>
      <c r="I10" s="27"/>
      <c r="J10" s="30"/>
      <c r="K10" s="28"/>
      <c r="L10" s="28"/>
      <c r="M10" s="28"/>
      <c r="N10" s="28"/>
    </row>
    <row r="11" spans="1:14" s="29" customFormat="1" ht="18" customHeight="1">
      <c r="A11" s="41"/>
      <c r="B11" s="24"/>
      <c r="C11" s="24"/>
      <c r="D11" s="25"/>
      <c r="E11" s="33"/>
      <c r="F11" s="34"/>
      <c r="G11" s="44"/>
      <c r="H11" s="33"/>
      <c r="I11" s="35"/>
      <c r="J11" s="36"/>
      <c r="K11" s="37"/>
      <c r="L11" s="37"/>
      <c r="M11" s="28"/>
      <c r="N11" s="28"/>
    </row>
    <row r="12" spans="1:14" s="29" customFormat="1" ht="18" customHeight="1">
      <c r="A12" s="40"/>
      <c r="B12" s="24"/>
      <c r="C12" s="24"/>
      <c r="D12" s="38"/>
      <c r="E12" s="33"/>
      <c r="F12" s="34"/>
      <c r="G12" s="34"/>
      <c r="H12" s="33"/>
      <c r="I12" s="35"/>
      <c r="J12" s="36"/>
      <c r="K12" s="37"/>
      <c r="L12" s="37"/>
      <c r="M12" s="28"/>
      <c r="N12" s="28"/>
    </row>
    <row r="13" spans="1:14" s="29" customFormat="1" ht="18" customHeight="1">
      <c r="A13" s="40"/>
      <c r="B13" s="24"/>
      <c r="C13" s="24"/>
      <c r="D13" s="25"/>
      <c r="E13" s="33"/>
      <c r="F13" s="34"/>
      <c r="G13" s="34"/>
      <c r="H13" s="33"/>
      <c r="I13" s="35"/>
      <c r="J13" s="36"/>
      <c r="K13" s="37"/>
      <c r="L13" s="37"/>
      <c r="M13" s="28"/>
      <c r="N13" s="28"/>
    </row>
    <row r="14" spans="1:14" s="29" customFormat="1" ht="15" customHeight="1">
      <c r="A14" s="40"/>
      <c r="B14" s="24"/>
      <c r="C14" s="24"/>
      <c r="D14" s="25"/>
      <c r="E14" s="25"/>
      <c r="F14" s="26"/>
      <c r="G14" s="26"/>
      <c r="H14" s="25"/>
      <c r="I14" s="27"/>
      <c r="J14" s="30"/>
      <c r="K14" s="31"/>
      <c r="L14" s="28"/>
      <c r="M14" s="28"/>
      <c r="N14" s="28"/>
    </row>
    <row r="15" spans="1:14" s="29" customFormat="1" ht="15" customHeight="1">
      <c r="A15" s="40"/>
      <c r="B15" s="24"/>
      <c r="C15" s="24"/>
      <c r="D15" s="25"/>
      <c r="E15" s="25"/>
      <c r="F15" s="26"/>
      <c r="G15" s="26"/>
      <c r="H15" s="25"/>
      <c r="I15" s="28"/>
      <c r="J15" s="30"/>
      <c r="K15" s="31"/>
      <c r="L15" s="28"/>
      <c r="M15" s="28"/>
      <c r="N15" s="28"/>
    </row>
    <row r="16" spans="1:14" s="2" customFormat="1" ht="18" customHeight="1">
      <c r="A16" s="42"/>
      <c r="B16" s="20"/>
      <c r="C16" s="20"/>
      <c r="D16" s="15"/>
      <c r="E16" s="15"/>
      <c r="F16" s="22"/>
      <c r="G16" s="22"/>
      <c r="H16" s="15"/>
      <c r="I16" s="23"/>
      <c r="J16" s="17"/>
      <c r="K16"/>
      <c r="L16" s="4"/>
      <c r="M16" s="4"/>
      <c r="N16" s="4"/>
    </row>
    <row r="17" spans="10:14" ht="15" customHeight="1">
      <c r="J17" s="32"/>
      <c r="M17"/>
      <c r="N17"/>
    </row>
  </sheetData>
  <printOptions/>
  <pageMargins left="0.7086614173228347" right="0.70866141732283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&amp;C&amp;F : &amp;A&amp;RFichier d'origine: 43271612res</oddHeader>
    <oddFooter>&amp;L&amp;"Times New Roman,bold"CEA/DSM/DAPNIA/STCM &amp;C&amp;D&amp;RLHCQ2 - Mesures Magnétiques à Chaud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5.2974101E-05</v>
      </c>
      <c r="L2" s="55">
        <v>1.2888641760981603E-07</v>
      </c>
      <c r="M2" s="55">
        <v>6.9214177E-05</v>
      </c>
      <c r="N2" s="56">
        <v>1.3964010110112511E-07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-3.1880794999999994E-05</v>
      </c>
      <c r="L3" s="55">
        <v>1.5959930676538683E-07</v>
      </c>
      <c r="M3" s="55">
        <v>1.3815692999999998E-05</v>
      </c>
      <c r="N3" s="56">
        <v>8.456777114246513E-08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-0.002251564496546041</v>
      </c>
      <c r="L4" s="55">
        <v>2.7522175471113546E-05</v>
      </c>
      <c r="M4" s="55">
        <v>6.407386788835905E-08</v>
      </c>
      <c r="N4" s="56">
        <v>-6.1114849</v>
      </c>
    </row>
    <row r="5" spans="1:14" ht="15" customHeight="1" thickBot="1">
      <c r="A5" t="s">
        <v>18</v>
      </c>
      <c r="B5" s="59">
        <v>37928.550775462965</v>
      </c>
      <c r="D5" s="60"/>
      <c r="E5" s="61" t="s">
        <v>59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2535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0.5726235399999999</v>
      </c>
      <c r="E8" s="78">
        <v>0.011942868742242553</v>
      </c>
      <c r="F8" s="78">
        <v>-0.81697045</v>
      </c>
      <c r="G8" s="78">
        <v>0.018394850413312347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-0.03238968</v>
      </c>
      <c r="E9" s="80">
        <v>0.015846297641076916</v>
      </c>
      <c r="F9" s="80">
        <v>2.1819223</v>
      </c>
      <c r="G9" s="80">
        <v>0.00842552204080563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0.378279731</v>
      </c>
      <c r="E10" s="80">
        <v>0.0062432201951112265</v>
      </c>
      <c r="F10" s="80">
        <v>-0.002558390000000005</v>
      </c>
      <c r="G10" s="80">
        <v>0.008258787613651288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1</v>
      </c>
      <c r="D11" s="77">
        <v>4.2897459</v>
      </c>
      <c r="E11" s="78">
        <v>0.0042502328690213025</v>
      </c>
      <c r="F11" s="78">
        <v>0.44312166</v>
      </c>
      <c r="G11" s="78">
        <v>0.007023757349838709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-0.091912076</v>
      </c>
      <c r="E12" s="80">
        <v>0.006407880573177424</v>
      </c>
      <c r="F12" s="80">
        <v>0.109912279</v>
      </c>
      <c r="G12" s="80">
        <v>0.006014504688311682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20.407105</v>
      </c>
      <c r="D13" s="83">
        <v>-0.019777806800000002</v>
      </c>
      <c r="E13" s="80">
        <v>0.003247765749801376</v>
      </c>
      <c r="F13" s="80">
        <v>-0.034015090000000005</v>
      </c>
      <c r="G13" s="80">
        <v>0.003959195394571948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-0.003909435</v>
      </c>
      <c r="E14" s="80">
        <v>0.004814492422996426</v>
      </c>
      <c r="F14" s="80">
        <v>0.08853840099999999</v>
      </c>
      <c r="G14" s="80">
        <v>0.004653677719320289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-0.32120228</v>
      </c>
      <c r="E15" s="78">
        <v>0.0038586080072468853</v>
      </c>
      <c r="F15" s="78">
        <v>0.014635336599999998</v>
      </c>
      <c r="G15" s="78">
        <v>0.004757643182022454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0.0057200684</v>
      </c>
      <c r="E16" s="80">
        <v>0.004910513676426636</v>
      </c>
      <c r="F16" s="80">
        <v>0.0027121686599999996</v>
      </c>
      <c r="G16" s="80">
        <v>0.003334063009659587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0.4269999861717224</v>
      </c>
      <c r="D17" s="83">
        <v>-0.009734323999999999</v>
      </c>
      <c r="E17" s="80">
        <v>0.0015660665801727563</v>
      </c>
      <c r="F17" s="80">
        <v>-0.026642033199999998</v>
      </c>
      <c r="G17" s="80">
        <v>0.0025062089243394815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3.559999942779541</v>
      </c>
      <c r="D18" s="83">
        <v>0.044913835</v>
      </c>
      <c r="E18" s="80">
        <v>0.0015328837116198916</v>
      </c>
      <c r="F18" s="80">
        <v>0.060921986000000004</v>
      </c>
      <c r="G18" s="80">
        <v>0.0016066858094579048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0.36000001430511475</v>
      </c>
      <c r="D19" s="86">
        <v>-0.19300912999999997</v>
      </c>
      <c r="E19" s="80">
        <v>0.0011802235540844246</v>
      </c>
      <c r="F19" s="80">
        <v>0.0097612797</v>
      </c>
      <c r="G19" s="80">
        <v>0.0005142403130695347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0.4062975</v>
      </c>
      <c r="D20" s="88">
        <v>-0.0059019769</v>
      </c>
      <c r="E20" s="89">
        <v>0.0011273055404406314</v>
      </c>
      <c r="F20" s="89">
        <v>0.00243790949</v>
      </c>
      <c r="G20" s="89">
        <v>0.0007053647453020451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0.517613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-0.35016258709761616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-2.2517327</v>
      </c>
      <c r="I25" s="101" t="s">
        <v>49</v>
      </c>
      <c r="J25" s="102"/>
      <c r="K25" s="101"/>
      <c r="L25" s="104">
        <v>4.31257193471923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0.9976664947442777</v>
      </c>
      <c r="I26" s="106" t="s">
        <v>53</v>
      </c>
      <c r="J26" s="107"/>
      <c r="K26" s="106"/>
      <c r="L26" s="109">
        <v>0.32153553109196764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HCMQAP124_pos1ap2res</oddHeader>
    <oddFooter>&amp;L&amp;"Times New Roman,bold"CEA/DSM/DAPNIA/STCM &amp;C&amp;D&amp;RLHCQ2 - Mesures Magnétiques à Chaud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9.495824699999998E-05</v>
      </c>
      <c r="L2" s="55">
        <v>7.7398552621769E-08</v>
      </c>
      <c r="M2" s="55">
        <v>3.4556824E-05</v>
      </c>
      <c r="N2" s="56">
        <v>2.3138272464468771E-07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-2.9433173E-05</v>
      </c>
      <c r="L3" s="55">
        <v>7.403592523827732E-08</v>
      </c>
      <c r="M3" s="55">
        <v>1.2481054E-05</v>
      </c>
      <c r="N3" s="56">
        <v>5.780971548106736E-08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-0.0037498490512126764</v>
      </c>
      <c r="L4" s="55">
        <v>2.0630123437134843E-05</v>
      </c>
      <c r="M4" s="55">
        <v>2.3671858448864196E-08</v>
      </c>
      <c r="N4" s="56">
        <v>-2.7507661</v>
      </c>
    </row>
    <row r="5" spans="1:14" ht="15" customHeight="1" thickBot="1">
      <c r="A5" t="s">
        <v>18</v>
      </c>
      <c r="B5" s="59">
        <v>37928.55537037037</v>
      </c>
      <c r="D5" s="60"/>
      <c r="E5" s="61" t="s">
        <v>71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2535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-1.0639216999999999</v>
      </c>
      <c r="E8" s="78">
        <v>0.006851473875032469</v>
      </c>
      <c r="F8" s="78">
        <v>0.19503264999999997</v>
      </c>
      <c r="G8" s="78">
        <v>0.014307239596686578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0.65070545</v>
      </c>
      <c r="E9" s="80">
        <v>0.0062003420027442364</v>
      </c>
      <c r="F9" s="80">
        <v>1.41844963</v>
      </c>
      <c r="G9" s="80">
        <v>0.013998236128474263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0.20374169699999997</v>
      </c>
      <c r="E10" s="80">
        <v>0.006891378240515849</v>
      </c>
      <c r="F10" s="80">
        <v>0.31808469</v>
      </c>
      <c r="G10" s="80">
        <v>0.005357918666926865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2</v>
      </c>
      <c r="D11" s="77">
        <v>3.3866813000000002</v>
      </c>
      <c r="E11" s="78">
        <v>0.0031060334283038475</v>
      </c>
      <c r="F11" s="78">
        <v>0.18077277000000003</v>
      </c>
      <c r="G11" s="78">
        <v>0.007712801018604987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-0.08902056500000001</v>
      </c>
      <c r="E12" s="80">
        <v>0.003946656809324691</v>
      </c>
      <c r="F12" s="80">
        <v>0.21889954</v>
      </c>
      <c r="G12" s="80">
        <v>0.0048820250197433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20.263672</v>
      </c>
      <c r="D13" s="83">
        <v>0.05425011</v>
      </c>
      <c r="E13" s="80">
        <v>0.0029918047723623284</v>
      </c>
      <c r="F13" s="80">
        <v>0.37029945</v>
      </c>
      <c r="G13" s="80">
        <v>0.003706247210857249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-0.039074659</v>
      </c>
      <c r="E14" s="80">
        <v>0.002529528435093011</v>
      </c>
      <c r="F14" s="80">
        <v>0.09213587100000001</v>
      </c>
      <c r="G14" s="80">
        <v>0.003027050369158512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-0.075569281</v>
      </c>
      <c r="E15" s="78">
        <v>0.0019300410992138656</v>
      </c>
      <c r="F15" s="78">
        <v>0.027311823000000002</v>
      </c>
      <c r="G15" s="78">
        <v>0.0030109968450939832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-0.0175132646</v>
      </c>
      <c r="E16" s="80">
        <v>0.0010318415363041757</v>
      </c>
      <c r="F16" s="80">
        <v>0.033926438</v>
      </c>
      <c r="G16" s="80">
        <v>0.0013132681559970898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-0.3659999966621399</v>
      </c>
      <c r="D17" s="83">
        <v>0.015206899000000001</v>
      </c>
      <c r="E17" s="80">
        <v>0.0011440138689430123</v>
      </c>
      <c r="F17" s="80">
        <v>0.060937383653</v>
      </c>
      <c r="G17" s="80">
        <v>0.002046696563532546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37.63800048828125</v>
      </c>
      <c r="D18" s="83">
        <v>0.03695810000000001</v>
      </c>
      <c r="E18" s="80">
        <v>0.0007874425287154233</v>
      </c>
      <c r="F18" s="80">
        <v>0.023408012</v>
      </c>
      <c r="G18" s="80">
        <v>0.001598560392326801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-0.44699999690055847</v>
      </c>
      <c r="D19" s="86">
        <v>-0.1659179</v>
      </c>
      <c r="E19" s="80">
        <v>0.0007494454956848897</v>
      </c>
      <c r="F19" s="80">
        <v>0.01512386</v>
      </c>
      <c r="G19" s="80">
        <v>0.001025958786121536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0.43134439999999996</v>
      </c>
      <c r="D20" s="88">
        <v>-0.0029770202000000004</v>
      </c>
      <c r="E20" s="89">
        <v>0.0004517458481441283</v>
      </c>
      <c r="F20" s="89">
        <v>-0.00168211365</v>
      </c>
      <c r="G20" s="89">
        <v>0.001076877369516506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0.1542907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-0.1576074210829548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-3.7499058</v>
      </c>
      <c r="I25" s="101" t="s">
        <v>49</v>
      </c>
      <c r="J25" s="102"/>
      <c r="K25" s="101"/>
      <c r="L25" s="104">
        <v>3.391502472672424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1.0816501829597738</v>
      </c>
      <c r="I26" s="106" t="s">
        <v>53</v>
      </c>
      <c r="J26" s="107"/>
      <c r="K26" s="106"/>
      <c r="L26" s="109">
        <v>0.08035329430981838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HCMQAP124_pos2ap2res</oddHeader>
    <oddFooter>&amp;L&amp;"Times New Roman,bold"CEA/DSM/DAPNIA/STCM &amp;C&amp;D&amp;RLHCQ2 - Mesures Magnétiques à Chaud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8.4279949E-05</v>
      </c>
      <c r="L2" s="55">
        <v>1.55274276377308E-07</v>
      </c>
      <c r="M2" s="55">
        <v>8.3733103E-06</v>
      </c>
      <c r="N2" s="56">
        <v>3.262133721381619E-07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-2.7552931E-05</v>
      </c>
      <c r="L3" s="55">
        <v>4.846161928730231E-08</v>
      </c>
      <c r="M3" s="55">
        <v>1.09204517E-05</v>
      </c>
      <c r="N3" s="56">
        <v>1.5301245495370486E-07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-0.0037488560091276445</v>
      </c>
      <c r="L4" s="55">
        <v>-2.3103543611054912E-05</v>
      </c>
      <c r="M4" s="55">
        <v>4.490170202024573E-08</v>
      </c>
      <c r="N4" s="56">
        <v>3.0813735</v>
      </c>
    </row>
    <row r="5" spans="1:14" ht="15" customHeight="1" thickBot="1">
      <c r="A5" t="s">
        <v>18</v>
      </c>
      <c r="B5" s="59">
        <v>37928.559641203705</v>
      </c>
      <c r="D5" s="60"/>
      <c r="E5" s="61" t="s">
        <v>74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2535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-0.3509785099999999</v>
      </c>
      <c r="E8" s="78">
        <v>0.01679884382005057</v>
      </c>
      <c r="F8" s="78">
        <v>-0.17711078700000002</v>
      </c>
      <c r="G8" s="78">
        <v>0.0069372381163229704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0.11121812410000001</v>
      </c>
      <c r="E9" s="80">
        <v>0.0049437241314966235</v>
      </c>
      <c r="F9" s="80">
        <v>1.5997869000000002</v>
      </c>
      <c r="G9" s="80">
        <v>0.015103518349701084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-0.162549465</v>
      </c>
      <c r="E10" s="80">
        <v>0.00529795283597836</v>
      </c>
      <c r="F10" s="80">
        <v>-0.21578499</v>
      </c>
      <c r="G10" s="80">
        <v>0.007986481863837156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3</v>
      </c>
      <c r="D11" s="77">
        <v>3.8063625</v>
      </c>
      <c r="E11" s="78">
        <v>0.004854268338235347</v>
      </c>
      <c r="F11" s="78">
        <v>-0.90865796</v>
      </c>
      <c r="G11" s="78">
        <v>0.007816551874155432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-0.13772291</v>
      </c>
      <c r="E12" s="80">
        <v>0.0013707639823831515</v>
      </c>
      <c r="F12" s="80">
        <v>0.20005713000000003</v>
      </c>
      <c r="G12" s="80">
        <v>0.002753288229479041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20.123292</v>
      </c>
      <c r="D13" s="83">
        <v>0.0048593818</v>
      </c>
      <c r="E13" s="80">
        <v>0.0027170138906142845</v>
      </c>
      <c r="F13" s="80">
        <v>0.323818145</v>
      </c>
      <c r="G13" s="80">
        <v>0.00192843741169419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0.039135462</v>
      </c>
      <c r="E14" s="80">
        <v>0.002177408480773832</v>
      </c>
      <c r="F14" s="80">
        <v>0.015009795109999998</v>
      </c>
      <c r="G14" s="80">
        <v>0.0012802248786249598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-0.029074922999999996</v>
      </c>
      <c r="E15" s="78">
        <v>0.0014088511367231584</v>
      </c>
      <c r="F15" s="78">
        <v>-0.06261041199999999</v>
      </c>
      <c r="G15" s="78">
        <v>0.0012088162669474426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-0.025258298000000002</v>
      </c>
      <c r="E16" s="80">
        <v>0.0013656836327151467</v>
      </c>
      <c r="F16" s="80">
        <v>0.021158885</v>
      </c>
      <c r="G16" s="80">
        <v>0.0004568873920233611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0.3840000033378601</v>
      </c>
      <c r="D17" s="83">
        <v>0.0076498463999999985</v>
      </c>
      <c r="E17" s="80">
        <v>0.0012557005385836035</v>
      </c>
      <c r="F17" s="80">
        <v>0.047421202</v>
      </c>
      <c r="G17" s="80">
        <v>0.0017077906501781128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1.0169999599456787</v>
      </c>
      <c r="D18" s="83">
        <v>0.049531610999999996</v>
      </c>
      <c r="E18" s="80">
        <v>0.0009562006133359679</v>
      </c>
      <c r="F18" s="80">
        <v>0.0140542078</v>
      </c>
      <c r="G18" s="80">
        <v>0.0013014984129722977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0.3109999895095825</v>
      </c>
      <c r="D19" s="86">
        <v>-0.17544927000000002</v>
      </c>
      <c r="E19" s="80">
        <v>0.0007555319957486641</v>
      </c>
      <c r="F19" s="80">
        <v>0.0080971395</v>
      </c>
      <c r="G19" s="80">
        <v>0.0008249008601445328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0.3819361</v>
      </c>
      <c r="D20" s="88">
        <v>-0.0024764238400000003</v>
      </c>
      <c r="E20" s="89">
        <v>0.0005311032125343365</v>
      </c>
      <c r="F20" s="89">
        <v>-0.0016298657600000003</v>
      </c>
      <c r="G20" s="89">
        <v>0.0005235074797990626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0.0403212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0.1765498457787299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-3.7489272</v>
      </c>
      <c r="I25" s="101" t="s">
        <v>49</v>
      </c>
      <c r="J25" s="102"/>
      <c r="K25" s="101"/>
      <c r="L25" s="104">
        <v>3.9133176167642736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0.3931337499548715</v>
      </c>
      <c r="I26" s="106" t="s">
        <v>53</v>
      </c>
      <c r="J26" s="107"/>
      <c r="K26" s="106"/>
      <c r="L26" s="109">
        <v>0.06903198416868568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HCMQAP124_pos3ap2res</oddHeader>
    <oddFooter>&amp;L&amp;"Times New Roman,bold"CEA/DSM/DAPNIA/STCM &amp;C&amp;D&amp;RLHCQ2 - Mesures Magnétiques à Chaud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6.6233242E-05</v>
      </c>
      <c r="L2" s="55">
        <v>8.95465790928499E-08</v>
      </c>
      <c r="M2" s="55">
        <v>7.3693773E-05</v>
      </c>
      <c r="N2" s="56">
        <v>2.088367026787801E-07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-2.8332927999999998E-05</v>
      </c>
      <c r="L3" s="55">
        <v>1.3120396482536872E-07</v>
      </c>
      <c r="M3" s="55">
        <v>1.0090023E-05</v>
      </c>
      <c r="N3" s="56">
        <v>1.4023954808110586E-07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-0.0037483148059167626</v>
      </c>
      <c r="L4" s="55">
        <v>-3.387791427465448E-05</v>
      </c>
      <c r="M4" s="55">
        <v>8.12805874507323E-08</v>
      </c>
      <c r="N4" s="56">
        <v>4.518962999999999</v>
      </c>
    </row>
    <row r="5" spans="1:14" ht="15" customHeight="1" thickBot="1">
      <c r="A5" t="s">
        <v>18</v>
      </c>
      <c r="B5" s="59">
        <v>37928.56412037037</v>
      </c>
      <c r="D5" s="60"/>
      <c r="E5" s="61" t="s">
        <v>77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2535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-0.9506438099999999</v>
      </c>
      <c r="E8" s="78">
        <v>0.009337585777195165</v>
      </c>
      <c r="F8" s="78">
        <v>0.9970593400000001</v>
      </c>
      <c r="G8" s="78">
        <v>0.008642175827784182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0.38606038</v>
      </c>
      <c r="E9" s="80">
        <v>0.006193342296257903</v>
      </c>
      <c r="F9" s="80">
        <v>2.2306048</v>
      </c>
      <c r="G9" s="80">
        <v>0.012205873350947222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0.032408285999999994</v>
      </c>
      <c r="E10" s="80">
        <v>0.007580728070379126</v>
      </c>
      <c r="F10" s="80">
        <v>0.35987974</v>
      </c>
      <c r="G10" s="80">
        <v>0.004240655951781571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4</v>
      </c>
      <c r="D11" s="77">
        <v>3.6120918000000004</v>
      </c>
      <c r="E11" s="78">
        <v>0.006157563329622019</v>
      </c>
      <c r="F11" s="78">
        <v>-0.35453295</v>
      </c>
      <c r="G11" s="78">
        <v>0.005385839367913973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-0.2701946</v>
      </c>
      <c r="E12" s="80">
        <v>0.0010413402781976654</v>
      </c>
      <c r="F12" s="80">
        <v>0.061195479</v>
      </c>
      <c r="G12" s="80">
        <v>0.00344845207344456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19.985962</v>
      </c>
      <c r="D13" s="83">
        <v>0.0365187</v>
      </c>
      <c r="E13" s="80">
        <v>0.0033362185936116453</v>
      </c>
      <c r="F13" s="114">
        <v>0.46405339999999995</v>
      </c>
      <c r="G13" s="80">
        <v>0.0014080168571347553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0.013869480100000001</v>
      </c>
      <c r="E14" s="80">
        <v>0.0018213425924734033</v>
      </c>
      <c r="F14" s="80">
        <v>0.11362049999999999</v>
      </c>
      <c r="G14" s="80">
        <v>0.003957092473648275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-0.050275839999999995</v>
      </c>
      <c r="E15" s="78">
        <v>0.003307356351367495</v>
      </c>
      <c r="F15" s="78">
        <v>-0.08472733499999999</v>
      </c>
      <c r="G15" s="78">
        <v>0.0022876447567574654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-0.023514287999999998</v>
      </c>
      <c r="E16" s="80">
        <v>0.0013406314848295091</v>
      </c>
      <c r="F16" s="80">
        <v>0.017288618600000003</v>
      </c>
      <c r="G16" s="80">
        <v>0.0006798136403410348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-0.22100000083446503</v>
      </c>
      <c r="D17" s="83">
        <v>0.00077384471</v>
      </c>
      <c r="E17" s="80">
        <v>0.001949674331096547</v>
      </c>
      <c r="F17" s="80">
        <v>0.062433139539999995</v>
      </c>
      <c r="G17" s="80">
        <v>0.0006581906690945169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20.854000091552734</v>
      </c>
      <c r="D18" s="83">
        <v>0.045892625</v>
      </c>
      <c r="E18" s="80">
        <v>0.0011138319451919918</v>
      </c>
      <c r="F18" s="80">
        <v>0.038518702</v>
      </c>
      <c r="G18" s="80">
        <v>0.0010335813944804411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-0.27399998903274536</v>
      </c>
      <c r="D19" s="86">
        <v>-0.17643261000000005</v>
      </c>
      <c r="E19" s="80">
        <v>0.0009085501424762161</v>
      </c>
      <c r="F19" s="80">
        <v>0.0037586621799999996</v>
      </c>
      <c r="G19" s="80">
        <v>0.0010181111306711028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0.2973446</v>
      </c>
      <c r="D20" s="88">
        <v>0.0033391098700000003</v>
      </c>
      <c r="E20" s="89">
        <v>0.0009665613300978008</v>
      </c>
      <c r="F20" s="89">
        <v>0.00336456398</v>
      </c>
      <c r="G20" s="89">
        <v>0.0009816095154211782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0.33691309999999997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0.2589177263742245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-3.748467900000001</v>
      </c>
      <c r="I25" s="101" t="s">
        <v>49</v>
      </c>
      <c r="J25" s="102"/>
      <c r="K25" s="101"/>
      <c r="L25" s="104">
        <v>3.6294491020350383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1.3776251235269164</v>
      </c>
      <c r="I26" s="106" t="s">
        <v>53</v>
      </c>
      <c r="J26" s="107"/>
      <c r="K26" s="106"/>
      <c r="L26" s="109">
        <v>0.09852096925988814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HCMQAP124_pos4ap2res</oddHeader>
    <oddFooter>&amp;L&amp;"Times New Roman,bold"CEA/DSM/DAPNIA/STCM &amp;C&amp;D&amp;RLHCQ2 - Mesures Magnétiques à Chaud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N28"/>
  <sheetViews>
    <sheetView workbookViewId="0" topLeftCell="A5">
      <selection activeCell="A5" sqref="A5"/>
    </sheetView>
  </sheetViews>
  <sheetFormatPr defaultColWidth="9.33203125" defaultRowHeight="15" customHeight="1"/>
  <cols>
    <col min="1" max="1" width="26.33203125" style="1" customWidth="1"/>
    <col min="2" max="2" width="13.33203125" style="1" customWidth="1"/>
    <col min="3" max="3" width="1.83203125" style="1" customWidth="1"/>
    <col min="4" max="4" width="10.83203125" style="3" customWidth="1"/>
    <col min="5" max="7" width="9.33203125" style="3" customWidth="1"/>
    <col min="8" max="8" width="10.83203125" style="3" customWidth="1"/>
    <col min="9" max="14" width="8.83203125" style="3" customWidth="1"/>
    <col min="15" max="16384" width="12" style="1" customWidth="1"/>
  </cols>
  <sheetData>
    <row r="1" spans="1:14" ht="15" customHeight="1">
      <c r="A1" s="45" t="s">
        <v>12</v>
      </c>
      <c r="B1" s="46">
        <v>91</v>
      </c>
      <c r="D1" s="47" t="s">
        <v>13</v>
      </c>
      <c r="E1" s="48"/>
      <c r="F1" s="48"/>
      <c r="G1" s="48"/>
      <c r="H1" s="48"/>
      <c r="I1" s="48"/>
      <c r="J1" s="48"/>
      <c r="K1" s="48"/>
      <c r="L1" s="48"/>
      <c r="M1" s="48"/>
      <c r="N1" s="49"/>
    </row>
    <row r="2" spans="1:14" ht="15" customHeight="1">
      <c r="A2" s="50" t="s">
        <v>14</v>
      </c>
      <c r="B2" s="51" t="s">
        <v>15</v>
      </c>
      <c r="D2" s="52" t="s">
        <v>56</v>
      </c>
      <c r="E2" s="53"/>
      <c r="F2" s="53"/>
      <c r="G2" s="53"/>
      <c r="H2" s="53"/>
      <c r="I2" s="53"/>
      <c r="J2" s="54"/>
      <c r="K2" s="55">
        <v>1.7777799000000002E-05</v>
      </c>
      <c r="L2" s="55">
        <v>9.955249742719657E-08</v>
      </c>
      <c r="M2" s="55">
        <v>6.861505000000001E-05</v>
      </c>
      <c r="N2" s="56">
        <v>1.6725102973853403E-07</v>
      </c>
    </row>
    <row r="3" spans="1:14" ht="15" customHeight="1">
      <c r="A3" s="57" t="s">
        <v>16</v>
      </c>
      <c r="B3" s="58">
        <v>2</v>
      </c>
      <c r="D3" s="52" t="s">
        <v>57</v>
      </c>
      <c r="E3" s="53"/>
      <c r="F3" s="53"/>
      <c r="G3" s="53"/>
      <c r="H3" s="53"/>
      <c r="I3" s="53"/>
      <c r="J3" s="54"/>
      <c r="K3" s="55">
        <v>-3.0582251E-05</v>
      </c>
      <c r="L3" s="55">
        <v>1.2352550677519907E-07</v>
      </c>
      <c r="M3" s="55">
        <v>9.672488000000002E-06</v>
      </c>
      <c r="N3" s="56">
        <v>1.3917055308511507E-07</v>
      </c>
    </row>
    <row r="4" spans="1:14" ht="15" customHeight="1">
      <c r="A4" s="57" t="s">
        <v>17</v>
      </c>
      <c r="B4" s="58">
        <v>2</v>
      </c>
      <c r="D4" s="52" t="s">
        <v>58</v>
      </c>
      <c r="E4" s="53"/>
      <c r="F4" s="53"/>
      <c r="G4" s="53"/>
      <c r="H4" s="53"/>
      <c r="I4" s="53"/>
      <c r="J4" s="54"/>
      <c r="K4" s="55">
        <v>-0.002082652551095624</v>
      </c>
      <c r="L4" s="55">
        <v>-2.178634749421506E-05</v>
      </c>
      <c r="M4" s="55">
        <v>3.352313363084055E-08</v>
      </c>
      <c r="N4" s="56">
        <v>5.2302418</v>
      </c>
    </row>
    <row r="5" spans="1:14" ht="15" customHeight="1" thickBot="1">
      <c r="A5" t="s">
        <v>18</v>
      </c>
      <c r="B5" s="59">
        <v>37928.56862268518</v>
      </c>
      <c r="D5" s="60"/>
      <c r="E5" s="61" t="s">
        <v>80</v>
      </c>
      <c r="F5" s="62"/>
      <c r="G5" s="62"/>
      <c r="H5" s="62"/>
      <c r="I5" s="62"/>
      <c r="J5" s="62"/>
      <c r="K5" s="62"/>
      <c r="L5" s="62"/>
      <c r="M5" s="62"/>
      <c r="N5" s="63"/>
    </row>
    <row r="6" spans="1:14" ht="15" customHeight="1" thickTop="1">
      <c r="A6" s="57" t="s">
        <v>19</v>
      </c>
      <c r="B6" s="58">
        <v>2535</v>
      </c>
      <c r="D6" s="64"/>
      <c r="E6" s="65" t="s">
        <v>20</v>
      </c>
      <c r="F6" s="66"/>
      <c r="G6" s="67"/>
      <c r="H6" s="68" t="s">
        <v>21</v>
      </c>
      <c r="I6" s="69"/>
      <c r="J6" s="66"/>
      <c r="K6" s="70" t="s">
        <v>60</v>
      </c>
      <c r="L6" s="53"/>
      <c r="M6" s="53"/>
      <c r="N6" s="71"/>
    </row>
    <row r="7" spans="1:14" ht="15" customHeight="1" thickBot="1">
      <c r="A7" s="57" t="s">
        <v>22</v>
      </c>
      <c r="B7" s="72" t="s">
        <v>23</v>
      </c>
      <c r="D7" s="73" t="s">
        <v>61</v>
      </c>
      <c r="E7" s="74" t="s">
        <v>62</v>
      </c>
      <c r="F7" s="75" t="s">
        <v>63</v>
      </c>
      <c r="G7" s="74" t="s">
        <v>64</v>
      </c>
      <c r="H7" s="76"/>
      <c r="I7" s="169" t="s">
        <v>24</v>
      </c>
      <c r="J7" s="170"/>
      <c r="K7" s="169" t="s">
        <v>25</v>
      </c>
      <c r="L7" s="170"/>
      <c r="M7" s="169" t="s">
        <v>26</v>
      </c>
      <c r="N7" s="171"/>
    </row>
    <row r="8" spans="1:14" ht="15" customHeight="1">
      <c r="A8" s="57" t="s">
        <v>27</v>
      </c>
      <c r="B8" s="72" t="s">
        <v>28</v>
      </c>
      <c r="D8" s="77">
        <v>-3.6175331</v>
      </c>
      <c r="E8" s="78">
        <v>0.018285266143585426</v>
      </c>
      <c r="F8" s="115">
        <v>8.8181186</v>
      </c>
      <c r="G8" s="78">
        <v>0.018834886425207836</v>
      </c>
      <c r="H8" s="79">
        <v>3</v>
      </c>
      <c r="I8" s="80">
        <v>0</v>
      </c>
      <c r="J8" s="80">
        <v>0</v>
      </c>
      <c r="K8" s="80">
        <v>2</v>
      </c>
      <c r="L8" s="80">
        <v>2</v>
      </c>
      <c r="M8" s="80">
        <v>1</v>
      </c>
      <c r="N8" s="81">
        <v>1</v>
      </c>
    </row>
    <row r="9" spans="1:14" ht="15" customHeight="1">
      <c r="A9" s="57" t="s">
        <v>29</v>
      </c>
      <c r="B9" s="82">
        <v>0.017</v>
      </c>
      <c r="D9" s="83">
        <v>-1.5236138000000001</v>
      </c>
      <c r="E9" s="80">
        <v>0.013887092678450933</v>
      </c>
      <c r="F9" s="116">
        <v>2.5963924</v>
      </c>
      <c r="G9" s="80">
        <v>0.023096834773227992</v>
      </c>
      <c r="H9" s="79">
        <v>4</v>
      </c>
      <c r="I9" s="80">
        <v>0</v>
      </c>
      <c r="J9" s="80">
        <v>0</v>
      </c>
      <c r="K9" s="80">
        <v>0.5</v>
      </c>
      <c r="L9" s="80">
        <v>0.5</v>
      </c>
      <c r="M9" s="80">
        <v>0.7</v>
      </c>
      <c r="N9" s="81">
        <v>0.7</v>
      </c>
    </row>
    <row r="10" spans="1:14" ht="15" customHeight="1">
      <c r="A10" s="57" t="s">
        <v>30</v>
      </c>
      <c r="B10" s="72" t="s">
        <v>31</v>
      </c>
      <c r="D10" s="83">
        <v>0.02533120000000002</v>
      </c>
      <c r="E10" s="80">
        <v>0.017893174742342415</v>
      </c>
      <c r="F10" s="80">
        <v>-0.5282915499999999</v>
      </c>
      <c r="G10" s="80">
        <v>0.0118442416407727</v>
      </c>
      <c r="H10" s="79">
        <v>5</v>
      </c>
      <c r="I10" s="80">
        <v>0</v>
      </c>
      <c r="J10" s="80">
        <v>0</v>
      </c>
      <c r="K10" s="80">
        <v>0.5</v>
      </c>
      <c r="L10" s="80">
        <v>0.5</v>
      </c>
      <c r="M10" s="80">
        <v>0.6</v>
      </c>
      <c r="N10" s="81">
        <v>0.6</v>
      </c>
    </row>
    <row r="11" spans="1:14" ht="15" customHeight="1">
      <c r="A11" s="57" t="s">
        <v>32</v>
      </c>
      <c r="B11" s="58">
        <v>5</v>
      </c>
      <c r="D11" s="117">
        <v>14.396319999999998</v>
      </c>
      <c r="E11" s="78">
        <v>0.008084324961222265</v>
      </c>
      <c r="F11" s="78">
        <v>1.6903618999999999</v>
      </c>
      <c r="G11" s="78">
        <v>0.011633099562918765</v>
      </c>
      <c r="H11" s="79">
        <v>6</v>
      </c>
      <c r="I11" s="80">
        <v>3.925</v>
      </c>
      <c r="J11" s="80">
        <v>0</v>
      </c>
      <c r="K11" s="80">
        <v>1</v>
      </c>
      <c r="L11" s="80">
        <v>0.3</v>
      </c>
      <c r="M11" s="80">
        <v>0.5</v>
      </c>
      <c r="N11" s="81">
        <v>0.5</v>
      </c>
    </row>
    <row r="12" spans="1:14" ht="15" customHeight="1">
      <c r="A12" s="57" t="s">
        <v>33</v>
      </c>
      <c r="B12" s="84">
        <v>0.7499</v>
      </c>
      <c r="D12" s="83">
        <v>-0.17889002</v>
      </c>
      <c r="E12" s="80">
        <v>0.00746040146892885</v>
      </c>
      <c r="F12" s="80">
        <v>0.41967194</v>
      </c>
      <c r="G12" s="80">
        <v>0.008691941382763132</v>
      </c>
      <c r="H12" s="79">
        <v>7</v>
      </c>
      <c r="I12" s="80">
        <v>0</v>
      </c>
      <c r="J12" s="80">
        <v>0</v>
      </c>
      <c r="K12" s="80">
        <v>0.15</v>
      </c>
      <c r="L12" s="80">
        <v>0.15</v>
      </c>
      <c r="M12" s="80">
        <v>0.15</v>
      </c>
      <c r="N12" s="81">
        <v>0.15</v>
      </c>
    </row>
    <row r="13" spans="1:14" ht="15" customHeight="1">
      <c r="A13" s="57" t="s">
        <v>34</v>
      </c>
      <c r="B13" s="82">
        <v>19.909669</v>
      </c>
      <c r="D13" s="83">
        <v>-0.028934217800000002</v>
      </c>
      <c r="E13" s="80">
        <v>0.0034131716749002555</v>
      </c>
      <c r="F13" s="80">
        <v>0.28752491</v>
      </c>
      <c r="G13" s="80">
        <v>0.005409339855229952</v>
      </c>
      <c r="H13" s="79">
        <v>8</v>
      </c>
      <c r="I13" s="80">
        <v>0</v>
      </c>
      <c r="J13" s="80">
        <v>0</v>
      </c>
      <c r="K13" s="80">
        <v>0.1</v>
      </c>
      <c r="L13" s="80">
        <v>0.1</v>
      </c>
      <c r="M13" s="80">
        <v>0.1</v>
      </c>
      <c r="N13" s="81">
        <v>0.1</v>
      </c>
    </row>
    <row r="14" spans="1:14" ht="15" customHeight="1">
      <c r="A14" s="50" t="s">
        <v>35</v>
      </c>
      <c r="B14" s="85">
        <v>12.5</v>
      </c>
      <c r="D14" s="83">
        <v>0.07783005800000001</v>
      </c>
      <c r="E14" s="80">
        <v>0.0043857281100332214</v>
      </c>
      <c r="F14" s="80">
        <v>0.09345335399999999</v>
      </c>
      <c r="G14" s="80">
        <v>0.003573003488105909</v>
      </c>
      <c r="H14" s="79">
        <v>9</v>
      </c>
      <c r="I14" s="80">
        <v>0</v>
      </c>
      <c r="J14" s="80">
        <v>0</v>
      </c>
      <c r="K14" s="80">
        <v>0.1</v>
      </c>
      <c r="L14" s="80">
        <v>0.1</v>
      </c>
      <c r="M14" s="80">
        <v>0.1</v>
      </c>
      <c r="N14" s="81">
        <v>0.1</v>
      </c>
    </row>
    <row r="15" spans="1:14" ht="15" customHeight="1">
      <c r="A15" s="57" t="s">
        <v>36</v>
      </c>
      <c r="B15" s="82">
        <v>0</v>
      </c>
      <c r="D15" s="77">
        <v>-0.32534962</v>
      </c>
      <c r="E15" s="78">
        <v>0.003367695441780497</v>
      </c>
      <c r="F15" s="78">
        <v>0.14515975</v>
      </c>
      <c r="G15" s="78">
        <v>0.0044698989653016215</v>
      </c>
      <c r="H15" s="79">
        <v>10</v>
      </c>
      <c r="I15" s="80">
        <v>-0.26</v>
      </c>
      <c r="J15" s="80">
        <v>0</v>
      </c>
      <c r="K15" s="80">
        <v>0.2</v>
      </c>
      <c r="L15" s="80">
        <v>0.1</v>
      </c>
      <c r="M15" s="80">
        <v>0.3</v>
      </c>
      <c r="N15" s="81">
        <v>0.3</v>
      </c>
    </row>
    <row r="16" spans="1:14" ht="15" customHeight="1">
      <c r="A16" s="57" t="s">
        <v>37</v>
      </c>
      <c r="B16" s="82">
        <v>12.506</v>
      </c>
      <c r="D16" s="83">
        <v>-0.016902136199999997</v>
      </c>
      <c r="E16" s="80">
        <v>0.003339387027336871</v>
      </c>
      <c r="F16" s="80">
        <v>0.0198269355</v>
      </c>
      <c r="G16" s="80">
        <v>0.005319728832711197</v>
      </c>
      <c r="H16" s="79">
        <v>11</v>
      </c>
      <c r="I16" s="80">
        <v>0</v>
      </c>
      <c r="J16" s="80">
        <v>0</v>
      </c>
      <c r="K16" s="80">
        <v>0</v>
      </c>
      <c r="L16" s="80">
        <v>0</v>
      </c>
      <c r="M16" s="80">
        <v>0.05</v>
      </c>
      <c r="N16" s="81">
        <v>0.05</v>
      </c>
    </row>
    <row r="17" spans="1:14" ht="15" customHeight="1">
      <c r="A17" s="57" t="s">
        <v>38</v>
      </c>
      <c r="B17" s="82">
        <v>0.453000009059906</v>
      </c>
      <c r="D17" s="83">
        <v>-0.024418462999999998</v>
      </c>
      <c r="E17" s="80">
        <v>0.0024824159495692943</v>
      </c>
      <c r="F17" s="80">
        <v>0.0340444124</v>
      </c>
      <c r="G17" s="80">
        <v>0.0020820518978611016</v>
      </c>
      <c r="H17" s="79">
        <v>12</v>
      </c>
      <c r="I17" s="80">
        <v>0</v>
      </c>
      <c r="J17" s="80">
        <v>0</v>
      </c>
      <c r="K17" s="80">
        <v>0</v>
      </c>
      <c r="L17" s="80">
        <v>0</v>
      </c>
      <c r="M17" s="80">
        <v>0.05</v>
      </c>
      <c r="N17" s="81">
        <v>0.05</v>
      </c>
    </row>
    <row r="18" spans="1:14" ht="15" customHeight="1">
      <c r="A18" s="57" t="s">
        <v>39</v>
      </c>
      <c r="B18" s="82">
        <v>1.5260000228881836</v>
      </c>
      <c r="D18" s="83">
        <v>-0.002789265</v>
      </c>
      <c r="E18" s="80">
        <v>0.0011853258447544707</v>
      </c>
      <c r="F18" s="80">
        <v>0.03420001899999999</v>
      </c>
      <c r="G18" s="80">
        <v>0.002842975436099377</v>
      </c>
      <c r="H18" s="79">
        <v>13</v>
      </c>
      <c r="I18" s="80">
        <v>0</v>
      </c>
      <c r="J18" s="80">
        <v>0</v>
      </c>
      <c r="K18" s="80">
        <v>0</v>
      </c>
      <c r="L18" s="80">
        <v>0</v>
      </c>
      <c r="M18" s="80">
        <v>0.05</v>
      </c>
      <c r="N18" s="81">
        <v>0.05</v>
      </c>
    </row>
    <row r="19" spans="1:14" ht="15" customHeight="1">
      <c r="A19" s="57" t="s">
        <v>40</v>
      </c>
      <c r="B19" s="82">
        <v>0.3569999933242798</v>
      </c>
      <c r="D19" s="83">
        <v>-0.13396887</v>
      </c>
      <c r="E19" s="80">
        <v>0.0011501709497307169</v>
      </c>
      <c r="F19" s="80">
        <v>-0.028986047999999997</v>
      </c>
      <c r="G19" s="80">
        <v>0.0013001412501210427</v>
      </c>
      <c r="H19" s="79">
        <v>14</v>
      </c>
      <c r="I19" s="80">
        <v>0</v>
      </c>
      <c r="J19" s="80">
        <v>0</v>
      </c>
      <c r="K19" s="80">
        <v>0</v>
      </c>
      <c r="L19" s="80">
        <v>0</v>
      </c>
      <c r="M19" s="80">
        <v>0.05</v>
      </c>
      <c r="N19" s="81">
        <v>0.05</v>
      </c>
    </row>
    <row r="20" spans="1:14" ht="15" customHeight="1" thickBot="1">
      <c r="A20" s="57" t="s">
        <v>41</v>
      </c>
      <c r="B20" s="87">
        <v>0.13923579999999997</v>
      </c>
      <c r="D20" s="88">
        <v>-0.0048772853</v>
      </c>
      <c r="E20" s="89">
        <v>0.0011853300228641208</v>
      </c>
      <c r="F20" s="89">
        <v>0.0062434666</v>
      </c>
      <c r="G20" s="89">
        <v>0.0010306082445642145</v>
      </c>
      <c r="H20" s="90">
        <v>15</v>
      </c>
      <c r="I20" s="89">
        <v>0</v>
      </c>
      <c r="J20" s="89">
        <v>0</v>
      </c>
      <c r="K20" s="89">
        <v>0</v>
      </c>
      <c r="L20" s="89">
        <v>0</v>
      </c>
      <c r="M20" s="89">
        <v>0.05</v>
      </c>
      <c r="N20" s="91">
        <v>0.05</v>
      </c>
    </row>
    <row r="21" spans="1:6" ht="15" customHeight="1">
      <c r="A21" s="57" t="s">
        <v>42</v>
      </c>
      <c r="B21" s="87">
        <v>0.5615304</v>
      </c>
      <c r="F21" s="3" t="s">
        <v>65</v>
      </c>
    </row>
    <row r="22" spans="1:6" ht="15" customHeight="1">
      <c r="A22" s="57" t="s">
        <v>43</v>
      </c>
      <c r="B22" s="72" t="s">
        <v>44</v>
      </c>
      <c r="F22" s="3" t="s">
        <v>66</v>
      </c>
    </row>
    <row r="23" spans="1:2" ht="15" customHeight="1" thickBot="1">
      <c r="A23" s="92" t="s">
        <v>45</v>
      </c>
      <c r="B23" s="93">
        <v>15</v>
      </c>
    </row>
    <row r="24" spans="1:12" ht="18" customHeight="1" thickBot="1" thickTop="1">
      <c r="A24" s="94" t="s">
        <v>67</v>
      </c>
      <c r="B24" s="95">
        <v>0.2996710340942007</v>
      </c>
      <c r="E24" s="96"/>
      <c r="F24" s="97"/>
      <c r="G24" s="98" t="s">
        <v>46</v>
      </c>
      <c r="H24" s="97"/>
      <c r="I24" s="97"/>
      <c r="J24" s="97"/>
      <c r="K24" s="97"/>
      <c r="L24" s="99"/>
    </row>
    <row r="25" spans="1:12" ht="18" customHeight="1">
      <c r="A25" s="45" t="s">
        <v>47</v>
      </c>
      <c r="B25" s="46">
        <v>10</v>
      </c>
      <c r="E25" s="100" t="s">
        <v>48</v>
      </c>
      <c r="F25" s="101"/>
      <c r="G25" s="102"/>
      <c r="H25" s="103">
        <v>-2.0827665</v>
      </c>
      <c r="I25" s="101" t="s">
        <v>49</v>
      </c>
      <c r="J25" s="102"/>
      <c r="K25" s="101"/>
      <c r="L25" s="104">
        <v>14.49521827691365</v>
      </c>
    </row>
    <row r="26" spans="1:12" ht="18" customHeight="1" thickBot="1">
      <c r="A26" s="57" t="s">
        <v>50</v>
      </c>
      <c r="B26" s="58" t="s">
        <v>51</v>
      </c>
      <c r="E26" s="105" t="s">
        <v>52</v>
      </c>
      <c r="F26" s="106"/>
      <c r="G26" s="107"/>
      <c r="H26" s="108">
        <v>9.531304285000116</v>
      </c>
      <c r="I26" s="106" t="s">
        <v>53</v>
      </c>
      <c r="J26" s="107"/>
      <c r="K26" s="106"/>
      <c r="L26" s="109">
        <v>0.35626356571253104</v>
      </c>
    </row>
    <row r="27" spans="1:2" ht="15" customHeight="1" thickBot="1" thickTop="1">
      <c r="A27" s="92" t="s">
        <v>54</v>
      </c>
      <c r="B27" s="93">
        <v>80</v>
      </c>
    </row>
    <row r="28" spans="1:14" s="2" customFormat="1" ht="18" customHeight="1" thickBot="1">
      <c r="A28" s="110" t="s">
        <v>55</v>
      </c>
      <c r="B28" s="111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</sheetData>
  <mergeCells count="3">
    <mergeCell ref="I7:J7"/>
    <mergeCell ref="K7:L7"/>
    <mergeCell ref="M7:N7"/>
  </mergeCells>
  <printOptions/>
  <pageMargins left="0.708661417322835" right="0.708661417322835" top="0.78740157480315" bottom="0.78740157480315" header="0.511811023622047" footer="0.511811023622047"/>
  <pageSetup horizontalDpi="600" verticalDpi="600" orientation="landscape" paperSize="9" r:id="rId1"/>
  <headerFooter alignWithMargins="0">
    <oddHeader>&amp;C&amp;F : &amp;A&amp;RFichier d'origine: HCMQAP124_pos5ap2res</oddHeader>
    <oddFooter>&amp;L&amp;"Times New Roman,bold"CEA/DSM/DAPNIA/STCM &amp;C&amp;D&amp;RLHCQ2 - Mesures Magnétiques à Chaud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G35"/>
  <sheetViews>
    <sheetView workbookViewId="0" topLeftCell="A1">
      <selection activeCell="A1" sqref="A1"/>
    </sheetView>
  </sheetViews>
  <sheetFormatPr defaultColWidth="9.33203125" defaultRowHeight="12.75"/>
  <cols>
    <col min="1" max="1" width="17.83203125" style="0" customWidth="1"/>
    <col min="2" max="6" width="12.83203125" style="0" customWidth="1"/>
    <col min="7" max="7" width="14.83203125" style="0" customWidth="1"/>
    <col min="8" max="16384" width="12" style="0" customWidth="1"/>
  </cols>
  <sheetData>
    <row r="1" spans="1:7" ht="13.5" thickTop="1">
      <c r="A1" s="140" t="s">
        <v>120</v>
      </c>
      <c r="B1" s="132" t="s">
        <v>68</v>
      </c>
      <c r="C1" s="122" t="s">
        <v>72</v>
      </c>
      <c r="D1" s="122" t="s">
        <v>75</v>
      </c>
      <c r="E1" s="122" t="s">
        <v>78</v>
      </c>
      <c r="F1" s="129" t="s">
        <v>81</v>
      </c>
      <c r="G1" s="164" t="s">
        <v>121</v>
      </c>
    </row>
    <row r="2" spans="1:7" ht="13.5" thickBot="1">
      <c r="A2" s="141" t="s">
        <v>90</v>
      </c>
      <c r="B2" s="133">
        <v>-2.2517327</v>
      </c>
      <c r="C2" s="124">
        <v>-3.7499058</v>
      </c>
      <c r="D2" s="124">
        <v>-3.7489272</v>
      </c>
      <c r="E2" s="124">
        <v>-3.748467900000001</v>
      </c>
      <c r="F2" s="130">
        <v>-2.0827665</v>
      </c>
      <c r="G2" s="165">
        <v>3.1166922621381987</v>
      </c>
    </row>
    <row r="3" spans="1:7" ht="14.25" thickBot="1" thickTop="1">
      <c r="A3" s="149" t="s">
        <v>89</v>
      </c>
      <c r="B3" s="150" t="s">
        <v>84</v>
      </c>
      <c r="C3" s="151" t="s">
        <v>85</v>
      </c>
      <c r="D3" s="151" t="s">
        <v>86</v>
      </c>
      <c r="E3" s="151" t="s">
        <v>87</v>
      </c>
      <c r="F3" s="152" t="s">
        <v>88</v>
      </c>
      <c r="G3" s="159" t="s">
        <v>122</v>
      </c>
    </row>
    <row r="4" spans="1:7" ht="12.75">
      <c r="A4" s="146" t="s">
        <v>91</v>
      </c>
      <c r="B4" s="147">
        <v>0.5726235399999999</v>
      </c>
      <c r="C4" s="148">
        <v>-1.0639216999999999</v>
      </c>
      <c r="D4" s="148">
        <v>-0.3509785099999999</v>
      </c>
      <c r="E4" s="148">
        <v>-0.9506438099999999</v>
      </c>
      <c r="F4" s="153">
        <v>-3.6175331</v>
      </c>
      <c r="G4" s="160">
        <v>-0.9699738380010677</v>
      </c>
    </row>
    <row r="5" spans="1:7" ht="12.75">
      <c r="A5" s="141" t="s">
        <v>93</v>
      </c>
      <c r="B5" s="135">
        <v>-0.03238968</v>
      </c>
      <c r="C5" s="119">
        <v>0.65070545</v>
      </c>
      <c r="D5" s="119">
        <v>0.11121812410000001</v>
      </c>
      <c r="E5" s="119">
        <v>0.38606038</v>
      </c>
      <c r="F5" s="154">
        <v>-1.5236138000000001</v>
      </c>
      <c r="G5" s="161">
        <v>0.06789350675430897</v>
      </c>
    </row>
    <row r="6" spans="1:7" ht="12.75">
      <c r="A6" s="141" t="s">
        <v>95</v>
      </c>
      <c r="B6" s="135">
        <v>0.378279731</v>
      </c>
      <c r="C6" s="119">
        <v>0.20374169699999997</v>
      </c>
      <c r="D6" s="119">
        <v>-0.162549465</v>
      </c>
      <c r="E6" s="119">
        <v>0.032408285999999994</v>
      </c>
      <c r="F6" s="154">
        <v>0.02533120000000002</v>
      </c>
      <c r="G6" s="161">
        <v>0.07577117454920484</v>
      </c>
    </row>
    <row r="7" spans="1:7" ht="12.75">
      <c r="A7" s="141" t="s">
        <v>97</v>
      </c>
      <c r="B7" s="134">
        <v>4.2897459</v>
      </c>
      <c r="C7" s="118">
        <v>3.3866813000000002</v>
      </c>
      <c r="D7" s="118">
        <v>3.8063625</v>
      </c>
      <c r="E7" s="118">
        <v>3.6120918000000004</v>
      </c>
      <c r="F7" s="155">
        <v>14.396319999999998</v>
      </c>
      <c r="G7" s="161">
        <v>5.144004899670461</v>
      </c>
    </row>
    <row r="8" spans="1:7" ht="12.75">
      <c r="A8" s="141" t="s">
        <v>99</v>
      </c>
      <c r="B8" s="135">
        <v>-0.091912076</v>
      </c>
      <c r="C8" s="119">
        <v>-0.08902056500000001</v>
      </c>
      <c r="D8" s="119">
        <v>-0.13772291</v>
      </c>
      <c r="E8" s="119">
        <v>-0.2701946</v>
      </c>
      <c r="F8" s="154">
        <v>-0.17889002</v>
      </c>
      <c r="G8" s="161">
        <v>-0.15675308587245224</v>
      </c>
    </row>
    <row r="9" spans="1:7" ht="12.75">
      <c r="A9" s="141" t="s">
        <v>101</v>
      </c>
      <c r="B9" s="135">
        <v>-0.019777806800000002</v>
      </c>
      <c r="C9" s="119">
        <v>0.05425011</v>
      </c>
      <c r="D9" s="119">
        <v>0.0048593818</v>
      </c>
      <c r="E9" s="119">
        <v>0.0365187</v>
      </c>
      <c r="F9" s="154">
        <v>-0.028934217800000002</v>
      </c>
      <c r="G9" s="161">
        <v>0.016284504355898323</v>
      </c>
    </row>
    <row r="10" spans="1:7" ht="12.75">
      <c r="A10" s="141" t="s">
        <v>103</v>
      </c>
      <c r="B10" s="135">
        <v>-0.003909435</v>
      </c>
      <c r="C10" s="119">
        <v>-0.039074659</v>
      </c>
      <c r="D10" s="119">
        <v>0.039135462</v>
      </c>
      <c r="E10" s="119">
        <v>0.013869480100000001</v>
      </c>
      <c r="F10" s="154">
        <v>0.07783005800000001</v>
      </c>
      <c r="G10" s="161">
        <v>0.013187041423488387</v>
      </c>
    </row>
    <row r="11" spans="1:7" ht="12.75">
      <c r="A11" s="141" t="s">
        <v>105</v>
      </c>
      <c r="B11" s="134">
        <v>-0.32120228</v>
      </c>
      <c r="C11" s="118">
        <v>-0.075569281</v>
      </c>
      <c r="D11" s="118">
        <v>-0.029074922999999996</v>
      </c>
      <c r="E11" s="118">
        <v>-0.050275839999999995</v>
      </c>
      <c r="F11" s="156">
        <v>-0.32534962</v>
      </c>
      <c r="G11" s="161">
        <v>-0.12718195465080812</v>
      </c>
    </row>
    <row r="12" spans="1:7" ht="12.75">
      <c r="A12" s="141" t="s">
        <v>107</v>
      </c>
      <c r="B12" s="135">
        <v>0.0057200684</v>
      </c>
      <c r="C12" s="119">
        <v>-0.0175132646</v>
      </c>
      <c r="D12" s="119">
        <v>-0.025258298000000002</v>
      </c>
      <c r="E12" s="119">
        <v>-0.023514287999999998</v>
      </c>
      <c r="F12" s="154">
        <v>-0.016902136199999997</v>
      </c>
      <c r="G12" s="161">
        <v>-0.017381194914123953</v>
      </c>
    </row>
    <row r="13" spans="1:7" ht="12.75">
      <c r="A13" s="141" t="s">
        <v>109</v>
      </c>
      <c r="B13" s="135">
        <v>-0.009734323999999999</v>
      </c>
      <c r="C13" s="119">
        <v>0.015206899000000001</v>
      </c>
      <c r="D13" s="119">
        <v>0.0076498463999999985</v>
      </c>
      <c r="E13" s="119">
        <v>0.00077384471</v>
      </c>
      <c r="F13" s="154">
        <v>-0.024418462999999998</v>
      </c>
      <c r="G13" s="161">
        <v>0.0010157257555134334</v>
      </c>
    </row>
    <row r="14" spans="1:7" ht="12.75">
      <c r="A14" s="141" t="s">
        <v>111</v>
      </c>
      <c r="B14" s="135">
        <v>0.044913835</v>
      </c>
      <c r="C14" s="119">
        <v>0.03695810000000001</v>
      </c>
      <c r="D14" s="119">
        <v>0.049531610999999996</v>
      </c>
      <c r="E14" s="119">
        <v>0.045892625</v>
      </c>
      <c r="F14" s="154">
        <v>-0.002789265</v>
      </c>
      <c r="G14" s="161">
        <v>0.03796938661754611</v>
      </c>
    </row>
    <row r="15" spans="1:7" ht="12.75">
      <c r="A15" s="141" t="s">
        <v>113</v>
      </c>
      <c r="B15" s="136">
        <v>-0.19300912999999997</v>
      </c>
      <c r="C15" s="120">
        <v>-0.1659179</v>
      </c>
      <c r="D15" s="120">
        <v>-0.17544927000000002</v>
      </c>
      <c r="E15" s="120">
        <v>-0.17643261000000005</v>
      </c>
      <c r="F15" s="154">
        <v>-0.13396887</v>
      </c>
      <c r="G15" s="161">
        <v>-0.17038505423090294</v>
      </c>
    </row>
    <row r="16" spans="1:7" ht="12.75">
      <c r="A16" s="141" t="s">
        <v>115</v>
      </c>
      <c r="B16" s="135">
        <v>-0.0059019769</v>
      </c>
      <c r="C16" s="119">
        <v>-0.0029770202000000004</v>
      </c>
      <c r="D16" s="119">
        <v>-0.0024764238400000003</v>
      </c>
      <c r="E16" s="119">
        <v>0.0033391098700000003</v>
      </c>
      <c r="F16" s="154">
        <v>-0.0048772853</v>
      </c>
      <c r="G16" s="161">
        <v>-0.002013814351211611</v>
      </c>
    </row>
    <row r="17" spans="1:7" ht="12.75">
      <c r="A17" s="141" t="s">
        <v>92</v>
      </c>
      <c r="B17" s="134">
        <v>-0.81697045</v>
      </c>
      <c r="C17" s="118">
        <v>0.19503264999999997</v>
      </c>
      <c r="D17" s="118">
        <v>-0.17711078700000002</v>
      </c>
      <c r="E17" s="118">
        <v>0.9970593400000001</v>
      </c>
      <c r="F17" s="155">
        <v>8.8181186</v>
      </c>
      <c r="G17" s="161">
        <v>1.3048111485475953</v>
      </c>
    </row>
    <row r="18" spans="1:7" ht="12.75">
      <c r="A18" s="141" t="s">
        <v>94</v>
      </c>
      <c r="B18" s="135">
        <v>2.1819223</v>
      </c>
      <c r="C18" s="119">
        <v>1.41844963</v>
      </c>
      <c r="D18" s="119">
        <v>1.5997869000000002</v>
      </c>
      <c r="E18" s="119">
        <v>2.2306048</v>
      </c>
      <c r="F18" s="157">
        <v>2.5963924</v>
      </c>
      <c r="G18" s="162">
        <v>1.9252379262578438</v>
      </c>
    </row>
    <row r="19" spans="1:7" ht="12.75">
      <c r="A19" s="141" t="s">
        <v>96</v>
      </c>
      <c r="B19" s="135">
        <v>-0.002558390000000005</v>
      </c>
      <c r="C19" s="119">
        <v>0.31808469</v>
      </c>
      <c r="D19" s="119">
        <v>-0.21578499</v>
      </c>
      <c r="E19" s="119">
        <v>0.35987974</v>
      </c>
      <c r="F19" s="154">
        <v>-0.5282915499999999</v>
      </c>
      <c r="G19" s="161">
        <v>0.04022348520658998</v>
      </c>
    </row>
    <row r="20" spans="1:7" ht="12.75">
      <c r="A20" s="141" t="s">
        <v>98</v>
      </c>
      <c r="B20" s="134">
        <v>0.44312166</v>
      </c>
      <c r="C20" s="118">
        <v>0.18077277000000003</v>
      </c>
      <c r="D20" s="118">
        <v>-0.90865796</v>
      </c>
      <c r="E20" s="118">
        <v>-0.35453295</v>
      </c>
      <c r="F20" s="156">
        <v>1.6903618999999999</v>
      </c>
      <c r="G20" s="161">
        <v>0.029576403338269015</v>
      </c>
    </row>
    <row r="21" spans="1:7" ht="12.75">
      <c r="A21" s="141" t="s">
        <v>100</v>
      </c>
      <c r="B21" s="135">
        <v>0.109912279</v>
      </c>
      <c r="C21" s="119">
        <v>0.21889954</v>
      </c>
      <c r="D21" s="119">
        <v>0.20005713000000003</v>
      </c>
      <c r="E21" s="119">
        <v>0.061195479</v>
      </c>
      <c r="F21" s="154">
        <v>0.41967194</v>
      </c>
      <c r="G21" s="161">
        <v>0.18751448941439863</v>
      </c>
    </row>
    <row r="22" spans="1:7" ht="12.75">
      <c r="A22" s="141" t="s">
        <v>102</v>
      </c>
      <c r="B22" s="135">
        <v>-0.034015090000000005</v>
      </c>
      <c r="C22" s="119">
        <v>0.37029945</v>
      </c>
      <c r="D22" s="119">
        <v>0.323818145</v>
      </c>
      <c r="E22" s="120">
        <v>0.46405339999999995</v>
      </c>
      <c r="F22" s="154">
        <v>0.28752491</v>
      </c>
      <c r="G22" s="162">
        <v>0.3121784588122643</v>
      </c>
    </row>
    <row r="23" spans="1:7" ht="12.75">
      <c r="A23" s="141" t="s">
        <v>104</v>
      </c>
      <c r="B23" s="135">
        <v>0.08853840099999999</v>
      </c>
      <c r="C23" s="119">
        <v>0.09213587100000001</v>
      </c>
      <c r="D23" s="119">
        <v>0.015009795109999998</v>
      </c>
      <c r="E23" s="119">
        <v>0.11362049999999999</v>
      </c>
      <c r="F23" s="154">
        <v>0.09345335399999999</v>
      </c>
      <c r="G23" s="161">
        <v>0.07840432961262682</v>
      </c>
    </row>
    <row r="24" spans="1:7" ht="12.75">
      <c r="A24" s="141" t="s">
        <v>106</v>
      </c>
      <c r="B24" s="134">
        <v>0.014635336599999998</v>
      </c>
      <c r="C24" s="118">
        <v>0.027311823000000002</v>
      </c>
      <c r="D24" s="118">
        <v>-0.06261041199999999</v>
      </c>
      <c r="E24" s="118">
        <v>-0.08472733499999999</v>
      </c>
      <c r="F24" s="156">
        <v>0.14515975</v>
      </c>
      <c r="G24" s="161">
        <v>-0.0073556378205415175</v>
      </c>
    </row>
    <row r="25" spans="1:7" ht="12.75">
      <c r="A25" s="141" t="s">
        <v>108</v>
      </c>
      <c r="B25" s="135">
        <v>0.0027121686599999996</v>
      </c>
      <c r="C25" s="119">
        <v>0.033926438</v>
      </c>
      <c r="D25" s="119">
        <v>0.021158885</v>
      </c>
      <c r="E25" s="119">
        <v>0.017288618600000003</v>
      </c>
      <c r="F25" s="154">
        <v>0.0198269355</v>
      </c>
      <c r="G25" s="161">
        <v>0.020456677139751866</v>
      </c>
    </row>
    <row r="26" spans="1:7" ht="12.75">
      <c r="A26" s="141" t="s">
        <v>110</v>
      </c>
      <c r="B26" s="135">
        <v>-0.026642033199999998</v>
      </c>
      <c r="C26" s="119">
        <v>0.060937383653</v>
      </c>
      <c r="D26" s="119">
        <v>0.047421202</v>
      </c>
      <c r="E26" s="119">
        <v>0.062433139539999995</v>
      </c>
      <c r="F26" s="154">
        <v>0.0340444124</v>
      </c>
      <c r="G26" s="161">
        <v>0.04179443466237217</v>
      </c>
    </row>
    <row r="27" spans="1:7" ht="12.75">
      <c r="A27" s="141" t="s">
        <v>112</v>
      </c>
      <c r="B27" s="135">
        <v>0.060921986000000004</v>
      </c>
      <c r="C27" s="119">
        <v>0.023408012</v>
      </c>
      <c r="D27" s="119">
        <v>0.0140542078</v>
      </c>
      <c r="E27" s="119">
        <v>0.038518702</v>
      </c>
      <c r="F27" s="154">
        <v>0.03420001899999999</v>
      </c>
      <c r="G27" s="161">
        <v>0.031656345132775335</v>
      </c>
    </row>
    <row r="28" spans="1:7" ht="12.75">
      <c r="A28" s="141" t="s">
        <v>114</v>
      </c>
      <c r="B28" s="135">
        <v>0.0097612797</v>
      </c>
      <c r="C28" s="119">
        <v>0.01512386</v>
      </c>
      <c r="D28" s="119">
        <v>0.0080971395</v>
      </c>
      <c r="E28" s="119">
        <v>0.0037586621799999996</v>
      </c>
      <c r="F28" s="154">
        <v>-0.028986047999999997</v>
      </c>
      <c r="G28" s="161">
        <v>0.004028192116734357</v>
      </c>
    </row>
    <row r="29" spans="1:7" ht="13.5" thickBot="1">
      <c r="A29" s="142" t="s">
        <v>116</v>
      </c>
      <c r="B29" s="137">
        <v>0.00243790949</v>
      </c>
      <c r="C29" s="121">
        <v>-0.00168211365</v>
      </c>
      <c r="D29" s="121">
        <v>-0.0016298657600000003</v>
      </c>
      <c r="E29" s="121">
        <v>0.00336456398</v>
      </c>
      <c r="F29" s="158">
        <v>0.0062434666</v>
      </c>
      <c r="G29" s="163">
        <v>0.0011992932614211644</v>
      </c>
    </row>
    <row r="30" spans="1:7" ht="13.5" thickTop="1">
      <c r="A30" s="143" t="s">
        <v>117</v>
      </c>
      <c r="B30" s="138">
        <v>-0.35016258709761616</v>
      </c>
      <c r="C30" s="127">
        <v>-0.1576074210829548</v>
      </c>
      <c r="D30" s="127">
        <v>0.1765498457787299</v>
      </c>
      <c r="E30" s="127">
        <v>0.2589177263742245</v>
      </c>
      <c r="F30" s="123">
        <v>0.2996710340942007</v>
      </c>
      <c r="G30" s="164" t="s">
        <v>128</v>
      </c>
    </row>
    <row r="31" spans="1:7" ht="13.5" thickBot="1">
      <c r="A31" s="144" t="s">
        <v>118</v>
      </c>
      <c r="B31" s="133">
        <v>20.407105</v>
      </c>
      <c r="C31" s="124">
        <v>20.263672</v>
      </c>
      <c r="D31" s="124">
        <v>20.123292</v>
      </c>
      <c r="E31" s="124">
        <v>19.985962</v>
      </c>
      <c r="F31" s="125">
        <v>19.909669</v>
      </c>
      <c r="G31" s="166">
        <v>-209.42</v>
      </c>
    </row>
    <row r="32" spans="1:7" ht="15.75" thickBot="1" thickTop="1">
      <c r="A32" s="145" t="s">
        <v>119</v>
      </c>
      <c r="B32" s="139">
        <v>0.3935000002384186</v>
      </c>
      <c r="C32" s="128">
        <v>-0.4064999967813492</v>
      </c>
      <c r="D32" s="128">
        <v>0.3474999964237213</v>
      </c>
      <c r="E32" s="128">
        <v>-0.2474999949336052</v>
      </c>
      <c r="F32" s="126">
        <v>0.4050000011920929</v>
      </c>
      <c r="G32" s="131" t="s">
        <v>127</v>
      </c>
    </row>
    <row r="33" spans="1:7" ht="15" thickTop="1">
      <c r="A33" t="s">
        <v>123</v>
      </c>
      <c r="G33" s="32" t="s">
        <v>124</v>
      </c>
    </row>
    <row r="34" ht="14.25">
      <c r="A34" t="s">
        <v>125</v>
      </c>
    </row>
    <row r="35" spans="1:2" ht="12.75">
      <c r="A35" t="s">
        <v>126</v>
      </c>
      <c r="B35" t="s">
        <v>28</v>
      </c>
    </row>
  </sheetData>
  <printOptions/>
  <pageMargins left="0.708661417322835" right="0.708661417322835" top="0.78740157480315" bottom="0.78740157480315" header="0.511811023622047" footer="0.511811023622047"/>
  <pageSetup horizontalDpi="600" verticalDpi="600" orientation="portrait" paperSize="9" r:id="rId2"/>
  <headerFooter alignWithMargins="0">
    <oddHeader>&amp;C&amp;F : &amp;A</oddHeader>
    <oddFooter>&amp;LCEA/DSM/DAPNIA/STCM&amp;C&amp;D&amp;RLHCQ2 - Mesures Magnétiques à Chaud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K135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49.33203125" style="167" bestFit="1" customWidth="1"/>
    <col min="2" max="2" width="15.66015625" style="167" bestFit="1" customWidth="1"/>
    <col min="3" max="3" width="14.83203125" style="167" bestFit="1" customWidth="1"/>
    <col min="4" max="4" width="16" style="167" bestFit="1" customWidth="1"/>
    <col min="5" max="5" width="22.16015625" style="167" bestFit="1" customWidth="1"/>
    <col min="6" max="6" width="14.83203125" style="167" bestFit="1" customWidth="1"/>
    <col min="7" max="7" width="15.33203125" style="167" bestFit="1" customWidth="1"/>
    <col min="8" max="8" width="14.16015625" style="167" bestFit="1" customWidth="1"/>
    <col min="9" max="9" width="14.83203125" style="167" bestFit="1" customWidth="1"/>
    <col min="10" max="10" width="6.33203125" style="167" bestFit="1" customWidth="1"/>
    <col min="11" max="11" width="15" style="167" bestFit="1" customWidth="1"/>
    <col min="12" max="16384" width="10.66015625" style="167" customWidth="1"/>
  </cols>
  <sheetData>
    <row r="1" spans="1:5" ht="12.75">
      <c r="A1" s="167" t="s">
        <v>129</v>
      </c>
      <c r="B1" s="167" t="s">
        <v>130</v>
      </c>
      <c r="C1" s="167" t="s">
        <v>131</v>
      </c>
      <c r="D1" s="167" t="s">
        <v>132</v>
      </c>
      <c r="E1" s="167" t="s">
        <v>28</v>
      </c>
    </row>
    <row r="3" spans="1:7" ht="12.75">
      <c r="A3" s="167" t="s">
        <v>133</v>
      </c>
      <c r="B3" s="167" t="s">
        <v>84</v>
      </c>
      <c r="C3" s="167" t="s">
        <v>85</v>
      </c>
      <c r="D3" s="167" t="s">
        <v>86</v>
      </c>
      <c r="E3" s="167" t="s">
        <v>87</v>
      </c>
      <c r="F3" s="167" t="s">
        <v>88</v>
      </c>
      <c r="G3" s="167" t="s">
        <v>134</v>
      </c>
    </row>
    <row r="4" spans="1:7" ht="12.75">
      <c r="A4" s="167" t="s">
        <v>135</v>
      </c>
      <c r="B4" s="167">
        <f>0.002251*1.0033</f>
        <v>0.0022584283000000004</v>
      </c>
      <c r="C4" s="167">
        <f>0.003748*1.0033</f>
        <v>0.0037603684</v>
      </c>
      <c r="D4" s="167">
        <f>0.003747*1.0033</f>
        <v>0.0037593651000000002</v>
      </c>
      <c r="E4" s="167">
        <f>0.003747*1.0033</f>
        <v>0.0037593651000000002</v>
      </c>
      <c r="F4" s="167">
        <f>0.002082*1.0033</f>
        <v>0.0020888706000000003</v>
      </c>
      <c r="G4" s="167">
        <f>0.011678*1.0033</f>
        <v>0.0117165374</v>
      </c>
    </row>
    <row r="5" spans="1:7" ht="12.75">
      <c r="A5" s="167" t="s">
        <v>136</v>
      </c>
      <c r="B5" s="167">
        <v>6.81562</v>
      </c>
      <c r="C5" s="167">
        <v>3.451744</v>
      </c>
      <c r="D5" s="167">
        <v>-1.613462</v>
      </c>
      <c r="E5" s="167">
        <v>-3.762243</v>
      </c>
      <c r="F5" s="167">
        <v>-3.892148</v>
      </c>
      <c r="G5" s="167">
        <v>1.0864</v>
      </c>
    </row>
    <row r="6" spans="1:7" ht="12.75">
      <c r="A6" s="167" t="s">
        <v>137</v>
      </c>
      <c r="B6" s="168">
        <v>-34.49483</v>
      </c>
      <c r="C6" s="168">
        <v>-51.49638</v>
      </c>
      <c r="D6" s="168">
        <v>-21.4483</v>
      </c>
      <c r="E6" s="168">
        <v>27.48267</v>
      </c>
      <c r="F6" s="168">
        <v>119.1496</v>
      </c>
      <c r="G6" s="168">
        <v>-0.001166613</v>
      </c>
    </row>
    <row r="7" spans="1:7" ht="12.75">
      <c r="A7" s="167" t="s">
        <v>138</v>
      </c>
      <c r="B7" s="168">
        <v>10000</v>
      </c>
      <c r="C7" s="168">
        <v>10000</v>
      </c>
      <c r="D7" s="168">
        <v>10000</v>
      </c>
      <c r="E7" s="168">
        <v>10000</v>
      </c>
      <c r="F7" s="168">
        <v>10000</v>
      </c>
      <c r="G7" s="168">
        <v>10000</v>
      </c>
    </row>
    <row r="8" spans="1:7" ht="12.75">
      <c r="A8" s="167" t="s">
        <v>91</v>
      </c>
      <c r="B8" s="168">
        <v>0.678611</v>
      </c>
      <c r="C8" s="168">
        <v>-1.105474</v>
      </c>
      <c r="D8" s="168">
        <v>-0.4181441</v>
      </c>
      <c r="E8" s="168">
        <v>-0.911816</v>
      </c>
      <c r="F8" s="168">
        <v>-3.441619</v>
      </c>
      <c r="G8" s="168">
        <v>-0.9479501</v>
      </c>
    </row>
    <row r="9" spans="1:7" ht="12.75">
      <c r="A9" s="167" t="s">
        <v>93</v>
      </c>
      <c r="B9" s="168">
        <v>-0.1122749</v>
      </c>
      <c r="C9" s="168">
        <v>0.6154294</v>
      </c>
      <c r="D9" s="168">
        <v>0.1260631</v>
      </c>
      <c r="E9" s="168">
        <v>0.423277</v>
      </c>
      <c r="F9" s="168">
        <v>-1.560804</v>
      </c>
      <c r="G9" s="168">
        <v>0.05544039</v>
      </c>
    </row>
    <row r="10" spans="1:7" ht="12.75">
      <c r="A10" s="167" t="s">
        <v>95</v>
      </c>
      <c r="B10" s="168">
        <v>0.3475896</v>
      </c>
      <c r="C10" s="168">
        <v>0.1041938</v>
      </c>
      <c r="D10" s="168">
        <v>-0.1381584</v>
      </c>
      <c r="E10" s="168">
        <v>0.08289139</v>
      </c>
      <c r="F10" s="168">
        <v>1.001579</v>
      </c>
      <c r="G10" s="168">
        <v>0.1958753</v>
      </c>
    </row>
    <row r="11" spans="1:7" ht="12.75">
      <c r="A11" s="167" t="s">
        <v>97</v>
      </c>
      <c r="B11" s="168">
        <v>4.277672</v>
      </c>
      <c r="C11" s="168">
        <v>3.376439</v>
      </c>
      <c r="D11" s="168">
        <v>3.783306</v>
      </c>
      <c r="E11" s="168">
        <v>3.599711</v>
      </c>
      <c r="F11" s="168">
        <v>14.46364</v>
      </c>
      <c r="G11" s="168">
        <v>5.140215</v>
      </c>
    </row>
    <row r="12" spans="1:7" ht="12.75">
      <c r="A12" s="167" t="s">
        <v>99</v>
      </c>
      <c r="B12" s="168">
        <v>-0.1105564</v>
      </c>
      <c r="C12" s="168">
        <v>-0.1206799</v>
      </c>
      <c r="D12" s="168">
        <v>-0.1735313</v>
      </c>
      <c r="E12" s="168">
        <v>-0.2620485</v>
      </c>
      <c r="F12" s="168">
        <v>-0.1414723</v>
      </c>
      <c r="G12" s="168">
        <v>-0.1687186</v>
      </c>
    </row>
    <row r="13" spans="1:7" ht="12.75">
      <c r="A13" s="167" t="s">
        <v>101</v>
      </c>
      <c r="B13" s="168">
        <v>-0.002221196</v>
      </c>
      <c r="C13" s="168">
        <v>0.04104639</v>
      </c>
      <c r="D13" s="168">
        <v>0.007084452</v>
      </c>
      <c r="E13" s="168">
        <v>0.05436927</v>
      </c>
      <c r="F13" s="168">
        <v>0.005881636</v>
      </c>
      <c r="G13" s="168">
        <v>0.02513282</v>
      </c>
    </row>
    <row r="14" spans="1:7" ht="12.75">
      <c r="A14" s="167" t="s">
        <v>103</v>
      </c>
      <c r="B14" s="168">
        <v>0.002289102</v>
      </c>
      <c r="C14" s="168">
        <v>-0.03951394</v>
      </c>
      <c r="D14" s="168">
        <v>0.04876215</v>
      </c>
      <c r="E14" s="168">
        <v>0.01410088</v>
      </c>
      <c r="F14" s="168">
        <v>0.07181244</v>
      </c>
      <c r="G14" s="168">
        <v>0.0155462</v>
      </c>
    </row>
    <row r="15" spans="1:7" ht="12.75">
      <c r="A15" s="167" t="s">
        <v>105</v>
      </c>
      <c r="B15" s="168">
        <v>-0.3213411</v>
      </c>
      <c r="C15" s="168">
        <v>-0.07881975</v>
      </c>
      <c r="D15" s="168">
        <v>-0.03361493</v>
      </c>
      <c r="E15" s="168">
        <v>-0.05347322</v>
      </c>
      <c r="F15" s="168">
        <v>-0.3165846</v>
      </c>
      <c r="G15" s="168">
        <v>-0.1286713</v>
      </c>
    </row>
    <row r="16" spans="1:7" ht="12.75">
      <c r="A16" s="167" t="s">
        <v>107</v>
      </c>
      <c r="B16" s="168">
        <v>0.000710305</v>
      </c>
      <c r="C16" s="168">
        <v>-0.02233435</v>
      </c>
      <c r="D16" s="168">
        <v>-0.03086268</v>
      </c>
      <c r="E16" s="168">
        <v>-0.01831158</v>
      </c>
      <c r="F16" s="168">
        <v>-0.01076233</v>
      </c>
      <c r="G16" s="168">
        <v>-0.01854114</v>
      </c>
    </row>
    <row r="17" spans="1:7" ht="12.75">
      <c r="A17" s="167" t="s">
        <v>109</v>
      </c>
      <c r="B17" s="168">
        <v>0.003597515</v>
      </c>
      <c r="C17" s="168">
        <v>0.008651565</v>
      </c>
      <c r="D17" s="168">
        <v>0.006243502</v>
      </c>
      <c r="E17" s="168">
        <v>0.007055536</v>
      </c>
      <c r="F17" s="168">
        <v>-0.01502617</v>
      </c>
      <c r="G17" s="168">
        <v>0.003794185</v>
      </c>
    </row>
    <row r="18" spans="1:7" ht="12.75">
      <c r="A18" s="167" t="s">
        <v>111</v>
      </c>
      <c r="B18" s="168">
        <v>0.04190383</v>
      </c>
      <c r="C18" s="168">
        <v>0.03917924</v>
      </c>
      <c r="D18" s="168">
        <v>0.0507212</v>
      </c>
      <c r="E18" s="168">
        <v>0.04601655</v>
      </c>
      <c r="F18" s="168">
        <v>-0.008981446</v>
      </c>
      <c r="G18" s="168">
        <v>0.03755844</v>
      </c>
    </row>
    <row r="19" spans="1:7" ht="12.75">
      <c r="A19" s="167" t="s">
        <v>113</v>
      </c>
      <c r="B19" s="168">
        <v>-0.1930498</v>
      </c>
      <c r="C19" s="168">
        <v>-0.1664239</v>
      </c>
      <c r="D19" s="168">
        <v>-0.1751883</v>
      </c>
      <c r="E19" s="168">
        <v>-0.1759753</v>
      </c>
      <c r="F19" s="168">
        <v>-0.1353202</v>
      </c>
      <c r="G19" s="168">
        <v>-0.1705205</v>
      </c>
    </row>
    <row r="20" spans="1:7" ht="12.75">
      <c r="A20" s="167" t="s">
        <v>115</v>
      </c>
      <c r="B20" s="168">
        <v>-0.006115194</v>
      </c>
      <c r="C20" s="168">
        <v>-0.002893172</v>
      </c>
      <c r="D20" s="168">
        <v>-0.00251396</v>
      </c>
      <c r="E20" s="168">
        <v>0.003530773</v>
      </c>
      <c r="F20" s="168">
        <v>-0.004499841</v>
      </c>
      <c r="G20" s="168">
        <v>-0.001936847</v>
      </c>
    </row>
    <row r="21" spans="1:7" ht="12.75">
      <c r="A21" s="167" t="s">
        <v>139</v>
      </c>
      <c r="B21" s="168">
        <v>-141.3084</v>
      </c>
      <c r="C21" s="168">
        <v>72.56587</v>
      </c>
      <c r="D21" s="168">
        <v>140.1799</v>
      </c>
      <c r="E21" s="168">
        <v>-34.76427</v>
      </c>
      <c r="F21" s="168">
        <v>-167.6558</v>
      </c>
      <c r="G21" s="168">
        <v>-0.0002341046</v>
      </c>
    </row>
    <row r="22" spans="1:7" ht="12.75">
      <c r="A22" s="167" t="s">
        <v>140</v>
      </c>
      <c r="B22" s="168">
        <v>136.3208</v>
      </c>
      <c r="C22" s="168">
        <v>69.03597</v>
      </c>
      <c r="D22" s="168">
        <v>-32.26936</v>
      </c>
      <c r="E22" s="168">
        <v>-75.24627</v>
      </c>
      <c r="F22" s="168">
        <v>-77.84453</v>
      </c>
      <c r="G22" s="168">
        <v>0</v>
      </c>
    </row>
    <row r="23" spans="1:7" ht="12.75">
      <c r="A23" s="167" t="s">
        <v>92</v>
      </c>
      <c r="B23" s="168">
        <v>-0.8052986</v>
      </c>
      <c r="C23" s="168">
        <v>0.1890304</v>
      </c>
      <c r="D23" s="168">
        <v>-0.1684689</v>
      </c>
      <c r="E23" s="168">
        <v>1.033924</v>
      </c>
      <c r="F23" s="168">
        <v>9.043073</v>
      </c>
      <c r="G23" s="168">
        <v>1.34604</v>
      </c>
    </row>
    <row r="24" spans="1:7" ht="12.75">
      <c r="A24" s="167" t="s">
        <v>94</v>
      </c>
      <c r="B24" s="168">
        <v>2.170911</v>
      </c>
      <c r="C24" s="168">
        <v>1.426222</v>
      </c>
      <c r="D24" s="168">
        <v>1.593643</v>
      </c>
      <c r="E24" s="168">
        <v>2.229503</v>
      </c>
      <c r="F24" s="168">
        <v>2.550418</v>
      </c>
      <c r="G24" s="168">
        <v>1.91762</v>
      </c>
    </row>
    <row r="25" spans="1:7" ht="12.75">
      <c r="A25" s="167" t="s">
        <v>96</v>
      </c>
      <c r="B25" s="168">
        <v>-0.3047626</v>
      </c>
      <c r="C25" s="168">
        <v>0.4378291</v>
      </c>
      <c r="D25" s="168">
        <v>0.06126603</v>
      </c>
      <c r="E25" s="168">
        <v>0.2906285</v>
      </c>
      <c r="F25" s="168">
        <v>-1.651103</v>
      </c>
      <c r="G25" s="168">
        <v>-0.07470573</v>
      </c>
    </row>
    <row r="26" spans="1:7" ht="12.75">
      <c r="A26" s="167" t="s">
        <v>98</v>
      </c>
      <c r="B26" s="168">
        <v>0.6240306</v>
      </c>
      <c r="C26" s="168">
        <v>0.239522</v>
      </c>
      <c r="D26" s="168">
        <v>-0.9615956</v>
      </c>
      <c r="E26" s="168">
        <v>-0.4303867</v>
      </c>
      <c r="F26" s="168">
        <v>1.396528</v>
      </c>
      <c r="G26" s="168">
        <v>-0.0004854287</v>
      </c>
    </row>
    <row r="27" spans="1:7" ht="12.75">
      <c r="A27" s="167" t="s">
        <v>100</v>
      </c>
      <c r="B27" s="168">
        <v>0.08923595</v>
      </c>
      <c r="C27" s="168">
        <v>0.1922114</v>
      </c>
      <c r="D27" s="168">
        <v>0.1849575</v>
      </c>
      <c r="E27" s="168">
        <v>0.06344628</v>
      </c>
      <c r="F27" s="168">
        <v>0.4400832</v>
      </c>
      <c r="G27" s="168">
        <v>0.1777425</v>
      </c>
    </row>
    <row r="28" spans="1:7" ht="12.75">
      <c r="A28" s="167" t="s">
        <v>102</v>
      </c>
      <c r="B28" s="168">
        <v>-0.03877224</v>
      </c>
      <c r="C28" s="168">
        <v>0.3660075</v>
      </c>
      <c r="D28" s="168">
        <v>0.3287921</v>
      </c>
      <c r="E28" s="168">
        <v>0.4650051</v>
      </c>
      <c r="F28" s="168">
        <v>0.2886005</v>
      </c>
      <c r="G28" s="168">
        <v>0.31203</v>
      </c>
    </row>
    <row r="29" spans="1:7" ht="12.75">
      <c r="A29" s="167" t="s">
        <v>104</v>
      </c>
      <c r="B29" s="168">
        <v>0.1281415</v>
      </c>
      <c r="C29" s="168">
        <v>0.08438306</v>
      </c>
      <c r="D29" s="168">
        <v>0.0113768</v>
      </c>
      <c r="E29" s="168">
        <v>0.1124716</v>
      </c>
      <c r="F29" s="168">
        <v>0.1551379</v>
      </c>
      <c r="G29" s="168">
        <v>0.08935482</v>
      </c>
    </row>
    <row r="30" spans="1:7" ht="12.75">
      <c r="A30" s="167" t="s">
        <v>106</v>
      </c>
      <c r="B30" s="168">
        <v>-0.009841034</v>
      </c>
      <c r="C30" s="168">
        <v>0.02092398</v>
      </c>
      <c r="D30" s="168">
        <v>-0.06651548</v>
      </c>
      <c r="E30" s="168">
        <v>-0.08165231</v>
      </c>
      <c r="F30" s="168">
        <v>0.1622158</v>
      </c>
      <c r="G30" s="168">
        <v>-0.0103485</v>
      </c>
    </row>
    <row r="31" spans="1:7" ht="12.75">
      <c r="A31" s="167" t="s">
        <v>108</v>
      </c>
      <c r="B31" s="168">
        <v>0.012732</v>
      </c>
      <c r="C31" s="168">
        <v>0.03617901</v>
      </c>
      <c r="D31" s="168">
        <v>0.02677877</v>
      </c>
      <c r="E31" s="168">
        <v>0.02498547</v>
      </c>
      <c r="F31" s="168">
        <v>0.03339743</v>
      </c>
      <c r="G31" s="168">
        <v>0.02746492</v>
      </c>
    </row>
    <row r="32" spans="1:7" ht="12.75">
      <c r="A32" s="167" t="s">
        <v>110</v>
      </c>
      <c r="B32" s="168">
        <v>-0.03695986</v>
      </c>
      <c r="C32" s="168">
        <v>0.06346671</v>
      </c>
      <c r="D32" s="168">
        <v>0.05564576</v>
      </c>
      <c r="E32" s="168">
        <v>0.0616217</v>
      </c>
      <c r="F32" s="168">
        <v>0.04127211</v>
      </c>
      <c r="G32" s="168">
        <v>0.04366242</v>
      </c>
    </row>
    <row r="33" spans="1:7" ht="12.75">
      <c r="A33" s="167" t="s">
        <v>141</v>
      </c>
      <c r="B33" s="168">
        <v>0.07554947</v>
      </c>
      <c r="C33" s="168">
        <v>0.01993159</v>
      </c>
      <c r="D33" s="168">
        <v>0.002959805</v>
      </c>
      <c r="E33" s="168">
        <v>0.03878431</v>
      </c>
      <c r="F33" s="168">
        <v>0.04229382</v>
      </c>
      <c r="G33" s="168">
        <v>0.0314084</v>
      </c>
    </row>
    <row r="34" spans="1:7" ht="12.75">
      <c r="A34" s="167" t="s">
        <v>114</v>
      </c>
      <c r="B34" s="168">
        <v>-0.008594781</v>
      </c>
      <c r="C34" s="168">
        <v>0.007105667</v>
      </c>
      <c r="D34" s="168">
        <v>0.01204854</v>
      </c>
      <c r="E34" s="168">
        <v>0.0130564</v>
      </c>
      <c r="F34" s="168">
        <v>-0.02150874</v>
      </c>
      <c r="G34" s="168">
        <v>0.003638118</v>
      </c>
    </row>
    <row r="35" spans="1:7" ht="12.75">
      <c r="A35" s="167" t="s">
        <v>116</v>
      </c>
      <c r="B35" s="168">
        <v>0.001823183</v>
      </c>
      <c r="C35" s="168">
        <v>-0.001834431</v>
      </c>
      <c r="D35" s="168">
        <v>-0.001569941</v>
      </c>
      <c r="E35" s="168">
        <v>0.003171274</v>
      </c>
      <c r="F35" s="168">
        <v>0.006519099</v>
      </c>
      <c r="G35" s="168">
        <v>0.001078569</v>
      </c>
    </row>
    <row r="36" spans="1:6" ht="12.75">
      <c r="A36" s="167" t="s">
        <v>142</v>
      </c>
      <c r="B36" s="168">
        <v>19.90967</v>
      </c>
      <c r="C36" s="168">
        <v>19.91272</v>
      </c>
      <c r="D36" s="168">
        <v>19.92188</v>
      </c>
      <c r="E36" s="168">
        <v>19.91882</v>
      </c>
      <c r="F36" s="168">
        <v>19.93103</v>
      </c>
    </row>
    <row r="37" spans="1:6" ht="12.75">
      <c r="A37" s="167" t="s">
        <v>143</v>
      </c>
      <c r="B37" s="168">
        <v>0.4170736</v>
      </c>
      <c r="C37" s="168">
        <v>0.4038493</v>
      </c>
      <c r="D37" s="168">
        <v>0.3957113</v>
      </c>
      <c r="E37" s="168">
        <v>0.3880819</v>
      </c>
      <c r="F37" s="168">
        <v>0.3809611</v>
      </c>
    </row>
    <row r="38" spans="1:7" ht="12.75">
      <c r="A38" s="167" t="s">
        <v>144</v>
      </c>
      <c r="B38" s="168">
        <v>6.190447E-05</v>
      </c>
      <c r="C38" s="168">
        <v>8.668808E-05</v>
      </c>
      <c r="D38" s="168">
        <v>3.723071E-05</v>
      </c>
      <c r="E38" s="168">
        <v>-4.716256E-05</v>
      </c>
      <c r="F38" s="168">
        <v>-0.0002047605</v>
      </c>
      <c r="G38" s="168">
        <v>0.0003444724</v>
      </c>
    </row>
    <row r="39" spans="1:7" ht="12.75">
      <c r="A39" s="167" t="s">
        <v>145</v>
      </c>
      <c r="B39" s="168">
        <v>0.0002393804</v>
      </c>
      <c r="C39" s="168">
        <v>-0.0001239604</v>
      </c>
      <c r="D39" s="168">
        <v>-0.0002381857</v>
      </c>
      <c r="E39" s="168">
        <v>5.874437E-05</v>
      </c>
      <c r="F39" s="168">
        <v>0.0002834209</v>
      </c>
      <c r="G39" s="168">
        <v>0.0002783199</v>
      </c>
    </row>
    <row r="40" spans="2:5" ht="12.75">
      <c r="B40" s="167" t="s">
        <v>146</v>
      </c>
      <c r="C40" s="167">
        <v>0.003747</v>
      </c>
      <c r="D40" s="167" t="s">
        <v>147</v>
      </c>
      <c r="E40" s="167">
        <v>3.116692</v>
      </c>
    </row>
    <row r="42" ht="12.75">
      <c r="A42" s="167" t="s">
        <v>148</v>
      </c>
    </row>
    <row r="50" spans="1:7" ht="12.75">
      <c r="A50" s="167" t="s">
        <v>149</v>
      </c>
      <c r="B50" s="167">
        <f>-0.017/(B7*B7+B22*B22)*(B21*B22+B6*B7)</f>
        <v>6.190446367324458E-05</v>
      </c>
      <c r="C50" s="167">
        <f>-0.017/(C7*C7+C22*C22)*(C21*C22+C6*C7)</f>
        <v>8.668807308850562E-05</v>
      </c>
      <c r="D50" s="167">
        <f>-0.017/(D7*D7+D22*D22)*(D21*D22+D6*D7)</f>
        <v>3.7230719974032955E-05</v>
      </c>
      <c r="E50" s="167">
        <f>-0.017/(E7*E7+E22*E22)*(E21*E22+E6*E7)</f>
        <v>-4.7162568534779104E-05</v>
      </c>
      <c r="F50" s="167">
        <f>-0.017/(F7*F7+F22*F22)*(F21*F22+F6*F7)</f>
        <v>-0.00020476059675901502</v>
      </c>
      <c r="G50" s="167">
        <f>(B50*B$4+C50*C$4+D50*D$4+E50*E$4+F50*F$4)/SUM(B$4:F$4)</f>
        <v>4.671888634398111E-08</v>
      </c>
    </row>
    <row r="51" spans="1:7" ht="12.75">
      <c r="A51" s="167" t="s">
        <v>150</v>
      </c>
      <c r="B51" s="167">
        <f>-0.017/(B7*B7+B22*B22)*(B21*B7-B6*B22)</f>
        <v>0.00023938039339884925</v>
      </c>
      <c r="C51" s="167">
        <f>-0.017/(C7*C7+C22*C22)*(C21*C7-C6*C22)</f>
        <v>-0.00012396043852130962</v>
      </c>
      <c r="D51" s="167">
        <f>-0.017/(D7*D7+D22*D22)*(D21*D7-D6*D22)</f>
        <v>-0.00023818568884940988</v>
      </c>
      <c r="E51" s="167">
        <f>-0.017/(E7*E7+E22*E22)*(E21*E7-E6*E22)</f>
        <v>5.8744378263413856E-05</v>
      </c>
      <c r="F51" s="167">
        <f>-0.017/(F7*F7+F22*F22)*(F21*F7-F6*F22)</f>
        <v>0.0002834209107582775</v>
      </c>
      <c r="G51" s="167">
        <f>(B51*B$4+C51*C$4+D51*D$4+E51*E$4+F51*F$4)/SUM(B$4:F$4)</f>
        <v>-5.163860419937158E-07</v>
      </c>
    </row>
    <row r="58" ht="12.75">
      <c r="A58" s="167" t="s">
        <v>152</v>
      </c>
    </row>
    <row r="60" spans="2:6" ht="12.75">
      <c r="B60" s="167" t="s">
        <v>84</v>
      </c>
      <c r="C60" s="167" t="s">
        <v>85</v>
      </c>
      <c r="D60" s="167" t="s">
        <v>86</v>
      </c>
      <c r="E60" s="167" t="s">
        <v>87</v>
      </c>
      <c r="F60" s="167" t="s">
        <v>88</v>
      </c>
    </row>
    <row r="61" spans="1:6" ht="12.75">
      <c r="A61" s="167" t="s">
        <v>154</v>
      </c>
      <c r="B61" s="167">
        <f>B6+(1/0.017)*(B7*B50-B22*B51)</f>
        <v>0</v>
      </c>
      <c r="C61" s="167">
        <f>C6+(1/0.017)*(C7*C50-C22*C51)</f>
        <v>0</v>
      </c>
      <c r="D61" s="167">
        <f>D6+(1/0.017)*(D7*D50-D22*D51)</f>
        <v>0</v>
      </c>
      <c r="E61" s="167">
        <f>E6+(1/0.017)*(E7*E50-E22*E51)</f>
        <v>0</v>
      </c>
      <c r="F61" s="167">
        <f>F6+(1/0.017)*(F7*F50-F22*F51)</f>
        <v>0</v>
      </c>
    </row>
    <row r="62" spans="1:6" ht="12.75">
      <c r="A62" s="167" t="s">
        <v>157</v>
      </c>
      <c r="B62" s="167">
        <f>B7+(2/0.017)*(B8*B50-B23*B51)</f>
        <v>10000.027621381843</v>
      </c>
      <c r="C62" s="167">
        <f>C7+(2/0.017)*(C8*C50-C23*C51)</f>
        <v>9999.991482456513</v>
      </c>
      <c r="D62" s="167">
        <f>D7+(2/0.017)*(D8*D50-D23*D51)</f>
        <v>9999.993447683895</v>
      </c>
      <c r="E62" s="167">
        <f>E7+(2/0.017)*(E8*E50-E23*E51)</f>
        <v>9999.99791368965</v>
      </c>
      <c r="F62" s="167">
        <f>F7+(2/0.017)*(F8*F50-F23*F51)</f>
        <v>9999.781377879359</v>
      </c>
    </row>
    <row r="63" spans="1:6" ht="12.75">
      <c r="A63" s="167" t="s">
        <v>158</v>
      </c>
      <c r="B63" s="167">
        <f>B8+(3/0.017)*(B9*B50-B24*B51)</f>
        <v>0.5856773799972312</v>
      </c>
      <c r="C63" s="167">
        <f>C8+(3/0.017)*(C9*C50-C24*C51)</f>
        <v>-1.0648600894076317</v>
      </c>
      <c r="D63" s="167">
        <f>D8+(3/0.017)*(D9*D50-D24*D51)</f>
        <v>-0.3503306219334944</v>
      </c>
      <c r="E63" s="167">
        <f>E8+(3/0.017)*(E9*E50-E24*E51)</f>
        <v>-0.9384513408399608</v>
      </c>
      <c r="F63" s="167">
        <f>F8+(3/0.017)*(F9*F50-F24*F51)</f>
        <v>-3.512780876572432</v>
      </c>
    </row>
    <row r="64" spans="1:6" ht="12.75">
      <c r="A64" s="167" t="s">
        <v>159</v>
      </c>
      <c r="B64" s="167">
        <f>B9+(4/0.017)*(B10*B50-B25*B51)</f>
        <v>-0.09004630262408148</v>
      </c>
      <c r="C64" s="167">
        <f>C9+(4/0.017)*(C10*C50-C25*C51)</f>
        <v>0.6303248934078023</v>
      </c>
      <c r="D64" s="167">
        <f>D9+(4/0.017)*(D10*D50-D25*D51)</f>
        <v>0.12828638349556665</v>
      </c>
      <c r="E64" s="167">
        <f>E9+(4/0.017)*(E10*E50-E25*E51)</f>
        <v>0.4183400208470714</v>
      </c>
      <c r="F64" s="167">
        <f>F9+(4/0.017)*(F10*F50-F25*F51)</f>
        <v>-1.498951481817782</v>
      </c>
    </row>
    <row r="65" spans="1:6" ht="12.75">
      <c r="A65" s="167" t="s">
        <v>160</v>
      </c>
      <c r="B65" s="167">
        <f>B10+(5/0.017)*(B11*B50-B26*B51)</f>
        <v>0.38153851188503984</v>
      </c>
      <c r="C65" s="167">
        <f>C10+(5/0.017)*(C11*C50-C26*C51)</f>
        <v>0.19901387146070057</v>
      </c>
      <c r="D65" s="167">
        <f>D10+(5/0.017)*(D11*D50-D26*D51)</f>
        <v>-0.1640946070936714</v>
      </c>
      <c r="E65" s="167">
        <f>E10+(5/0.017)*(E11*E50-E26*E51)</f>
        <v>0.040394678929836524</v>
      </c>
      <c r="F65" s="167">
        <f>F10+(5/0.017)*(F11*F50-F26*F51)</f>
        <v>0.014111707245001104</v>
      </c>
    </row>
    <row r="66" spans="1:6" ht="12.75">
      <c r="A66" s="167" t="s">
        <v>161</v>
      </c>
      <c r="B66" s="167">
        <f>B11+(6/0.017)*(B12*B50-B27*B51)</f>
        <v>4.267717198306836</v>
      </c>
      <c r="C66" s="167">
        <f>C11+(6/0.017)*(C12*C50-C27*C51)</f>
        <v>3.3811560946263346</v>
      </c>
      <c r="D66" s="167">
        <f>D11+(6/0.017)*(D12*D50-D27*D51)</f>
        <v>3.796574306226471</v>
      </c>
      <c r="E66" s="167">
        <f>E11+(6/0.017)*(E12*E50-E27*E51)</f>
        <v>3.60275750637728</v>
      </c>
      <c r="F66" s="167">
        <f>F11+(6/0.017)*(F12*F50-F27*F51)</f>
        <v>14.429842060430396</v>
      </c>
    </row>
    <row r="67" spans="1:6" ht="12.75">
      <c r="A67" s="167" t="s">
        <v>162</v>
      </c>
      <c r="B67" s="167">
        <f>B12+(7/0.017)*(B13*B50-B28*B51)</f>
        <v>-0.1067913008929747</v>
      </c>
      <c r="C67" s="167">
        <f>C12+(7/0.017)*(C13*C50-C28*C51)</f>
        <v>-0.1005327953759416</v>
      </c>
      <c r="D67" s="167">
        <f>D12+(7/0.017)*(D13*D50-D28*D51)</f>
        <v>-0.1411759279689836</v>
      </c>
      <c r="E67" s="167">
        <f>E12+(7/0.017)*(E13*E50-E28*E51)</f>
        <v>-0.2743522887870378</v>
      </c>
      <c r="F67" s="167">
        <f>F12+(7/0.017)*(F13*F50-F28*F51)</f>
        <v>-0.17564866511576557</v>
      </c>
    </row>
    <row r="68" spans="1:6" ht="12.75">
      <c r="A68" s="167" t="s">
        <v>163</v>
      </c>
      <c r="B68" s="167">
        <f>B13+(8/0.017)*(B14*B50-B29*B51)</f>
        <v>-0.016589599317230724</v>
      </c>
      <c r="C68" s="167">
        <f>C13+(8/0.017)*(C14*C50-C29*C51)</f>
        <v>0.044356871789475366</v>
      </c>
      <c r="D68" s="167">
        <f>D13+(8/0.017)*(D14*D50-D29*D51)</f>
        <v>0.009213977127945297</v>
      </c>
      <c r="E68" s="167">
        <f>E13+(8/0.017)*(E14*E50-E29*E51)</f>
        <v>0.05094710156061549</v>
      </c>
      <c r="F68" s="167">
        <f>F13+(8/0.017)*(F14*F50-F29*F51)</f>
        <v>-0.021729508931881195</v>
      </c>
    </row>
    <row r="69" spans="1:6" ht="12.75">
      <c r="A69" s="167" t="s">
        <v>164</v>
      </c>
      <c r="B69" s="167">
        <f>B14+(9/0.017)*(B15*B50-B30*B51)</f>
        <v>-0.006995032161864178</v>
      </c>
      <c r="C69" s="167">
        <f>C14+(9/0.017)*(C15*C50-C30*C51)</f>
        <v>-0.041758109330097624</v>
      </c>
      <c r="D69" s="167">
        <f>D14+(9/0.017)*(D15*D50-D30*D51)</f>
        <v>0.039712097575380426</v>
      </c>
      <c r="E69" s="167">
        <f>E14+(9/0.017)*(E15*E50-E30*E51)</f>
        <v>0.017975405722924803</v>
      </c>
      <c r="F69" s="167">
        <f>F14+(9/0.017)*(F15*F50-F30*F51)</f>
        <v>0.08179116450635196</v>
      </c>
    </row>
    <row r="70" spans="1:6" ht="12.75">
      <c r="A70" s="167" t="s">
        <v>165</v>
      </c>
      <c r="B70" s="167">
        <f>B15+(10/0.017)*(B16*B50-B31*B51)</f>
        <v>-0.323108053010991</v>
      </c>
      <c r="C70" s="167">
        <f>C15+(10/0.017)*(C16*C50-C31*C51)</f>
        <v>-0.07732054754136318</v>
      </c>
      <c r="D70" s="167">
        <f>D15+(10/0.017)*(D16*D50-D31*D51)</f>
        <v>-0.030538882951610752</v>
      </c>
      <c r="E70" s="167">
        <f>E15+(10/0.017)*(E16*E50-E31*E51)</f>
        <v>-0.053828593384728875</v>
      </c>
      <c r="F70" s="167">
        <f>F15+(10/0.017)*(F16*F50-F31*F51)</f>
        <v>-0.3208562640672167</v>
      </c>
    </row>
    <row r="71" spans="1:6" ht="12.75">
      <c r="A71" s="167" t="s">
        <v>166</v>
      </c>
      <c r="B71" s="167">
        <f>B16+(11/0.017)*(B17*B50-B32*B51)</f>
        <v>0.006579237276316251</v>
      </c>
      <c r="C71" s="167">
        <f>C16+(11/0.017)*(C17*C50-C32*C51)</f>
        <v>-0.01675841848684105</v>
      </c>
      <c r="D71" s="167">
        <f>D16+(11/0.017)*(D17*D50-D32*D51)</f>
        <v>-0.022136138160620544</v>
      </c>
      <c r="E71" s="167">
        <f>E16+(11/0.017)*(E17*E50-E32*E51)</f>
        <v>-0.02086920012917802</v>
      </c>
      <c r="F71" s="167">
        <f>F16+(11/0.017)*(F17*F50-F32*F51)</f>
        <v>-0.016340372715179262</v>
      </c>
    </row>
    <row r="72" spans="1:6" ht="12.75">
      <c r="A72" s="167" t="s">
        <v>167</v>
      </c>
      <c r="B72" s="167">
        <f>B17+(12/0.017)*(B18*B50-B33*B51)</f>
        <v>-0.007337328101884525</v>
      </c>
      <c r="C72" s="167">
        <f>C17+(12/0.017)*(C18*C50-C33*C51)</f>
        <v>0.012793048381764037</v>
      </c>
      <c r="D72" s="167">
        <f>D17+(12/0.017)*(D18*D50-D33*D51)</f>
        <v>0.008074116108281303</v>
      </c>
      <c r="E72" s="167">
        <f>E17+(12/0.017)*(E18*E50-E33*E51)</f>
        <v>0.00391533444439911</v>
      </c>
      <c r="F72" s="167">
        <f>F17+(12/0.017)*(F18*F50-F33*F51)</f>
        <v>-0.022189398287854906</v>
      </c>
    </row>
    <row r="73" spans="1:6" ht="12.75">
      <c r="A73" s="167" t="s">
        <v>168</v>
      </c>
      <c r="B73" s="167">
        <f>B18+(13/0.017)*(B19*B50-B34*B51)</f>
        <v>0.034338424731440456</v>
      </c>
      <c r="C73" s="167">
        <f>C18+(13/0.017)*(C19*C50-C34*C51)</f>
        <v>0.02882042276915407</v>
      </c>
      <c r="D73" s="167">
        <f>D18+(13/0.017)*(D19*D50-D34*D51)</f>
        <v>0.047928037786678604</v>
      </c>
      <c r="E73" s="167">
        <f>E18+(13/0.017)*(E19*E50-E34*E51)</f>
        <v>0.05177666421189167</v>
      </c>
      <c r="F73" s="167">
        <f>F18+(13/0.017)*(F19*F50-F34*F51)</f>
        <v>0.01686887933017408</v>
      </c>
    </row>
    <row r="74" spans="1:6" ht="12.75">
      <c r="A74" s="167" t="s">
        <v>169</v>
      </c>
      <c r="B74" s="167">
        <f>B19+(14/0.017)*(B20*B50-B35*B51)</f>
        <v>-0.19372096993885193</v>
      </c>
      <c r="C74" s="167">
        <f>C19+(14/0.017)*(C20*C50-C35*C51)</f>
        <v>-0.16681771207516882</v>
      </c>
      <c r="D74" s="167">
        <f>D19+(14/0.017)*(D20*D50-D35*D51)</f>
        <v>-0.17557332801591374</v>
      </c>
      <c r="E74" s="167">
        <f>E19+(14/0.017)*(E20*E50-E35*E51)</f>
        <v>-0.1762658534001392</v>
      </c>
      <c r="F74" s="167">
        <f>F19+(14/0.017)*(F20*F50-F35*F51)</f>
        <v>-0.13608300140375987</v>
      </c>
    </row>
    <row r="75" spans="1:6" ht="12.75">
      <c r="A75" s="167" t="s">
        <v>170</v>
      </c>
      <c r="B75" s="168">
        <f>B20</f>
        <v>-0.006115194</v>
      </c>
      <c r="C75" s="168">
        <f>C20</f>
        <v>-0.002893172</v>
      </c>
      <c r="D75" s="168">
        <f>D20</f>
        <v>-0.00251396</v>
      </c>
      <c r="E75" s="168">
        <f>E20</f>
        <v>0.003530773</v>
      </c>
      <c r="F75" s="168">
        <f>F20</f>
        <v>-0.004499841</v>
      </c>
    </row>
    <row r="78" ht="12.75">
      <c r="A78" s="167" t="s">
        <v>152</v>
      </c>
    </row>
    <row r="80" spans="2:6" ht="12.75">
      <c r="B80" s="167" t="s">
        <v>84</v>
      </c>
      <c r="C80" s="167" t="s">
        <v>85</v>
      </c>
      <c r="D80" s="167" t="s">
        <v>86</v>
      </c>
      <c r="E80" s="167" t="s">
        <v>87</v>
      </c>
      <c r="F80" s="167" t="s">
        <v>88</v>
      </c>
    </row>
    <row r="81" spans="1:6" ht="12.75">
      <c r="A81" s="167" t="s">
        <v>171</v>
      </c>
      <c r="B81" s="167">
        <f>B21+(1/0.017)*(B7*B51+B22*B50)</f>
        <v>0</v>
      </c>
      <c r="C81" s="167">
        <f>C21+(1/0.017)*(C7*C51+C22*C50)</f>
        <v>0</v>
      </c>
      <c r="D81" s="167">
        <f>D21+(1/0.017)*(D7*D51+D22*D50)</f>
        <v>0</v>
      </c>
      <c r="E81" s="167">
        <f>E21+(1/0.017)*(E7*E51+E22*E50)</f>
        <v>0</v>
      </c>
      <c r="F81" s="167">
        <f>F21+(1/0.017)*(F7*F51+F22*F50)</f>
        <v>0</v>
      </c>
    </row>
    <row r="82" spans="1:6" ht="12.75">
      <c r="A82" s="167" t="s">
        <v>172</v>
      </c>
      <c r="B82" s="167">
        <f>B22+(2/0.017)*(B8*B51+B23*B50)</f>
        <v>136.33404642237824</v>
      </c>
      <c r="C82" s="167">
        <f>C22+(2/0.017)*(C8*C51+C23*C50)</f>
        <v>69.05401961446412</v>
      </c>
      <c r="D82" s="167">
        <f>D22+(2/0.017)*(D8*D51+D23*D50)</f>
        <v>-32.25838073858158</v>
      </c>
      <c r="E82" s="167">
        <f>E22+(2/0.017)*(E8*E51+E23*E50)</f>
        <v>-75.25830842064946</v>
      </c>
      <c r="F82" s="167">
        <f>F22+(2/0.017)*(F8*F51+F23*F50)</f>
        <v>-78.17712903711511</v>
      </c>
    </row>
    <row r="83" spans="1:6" ht="12.75">
      <c r="A83" s="167" t="s">
        <v>173</v>
      </c>
      <c r="B83" s="167">
        <f>B23+(3/0.017)*(B9*B51+B24*B50)</f>
        <v>-0.7863257756341416</v>
      </c>
      <c r="C83" s="167">
        <f>C23+(3/0.017)*(C9*C51+C24*C50)</f>
        <v>0.19738584800121084</v>
      </c>
      <c r="D83" s="167">
        <f>D23+(3/0.017)*(D9*D51+D24*D50)</f>
        <v>-0.163297244124779</v>
      </c>
      <c r="E83" s="167">
        <f>E23+(3/0.017)*(E9*E51+E24*E50)</f>
        <v>1.0197562452050954</v>
      </c>
      <c r="F83" s="167">
        <f>F23+(3/0.017)*(F9*F51+F24*F50)</f>
        <v>8.87285130537763</v>
      </c>
    </row>
    <row r="84" spans="1:6" ht="12.75">
      <c r="A84" s="167" t="s">
        <v>174</v>
      </c>
      <c r="B84" s="167">
        <f>B24+(4/0.017)*(B10*B51+B25*B50)</f>
        <v>2.186049816444396</v>
      </c>
      <c r="C84" s="167">
        <f>C24+(4/0.017)*(C10*C51+C25*C50)</f>
        <v>1.4321134475016173</v>
      </c>
      <c r="D84" s="167">
        <f>D24+(4/0.017)*(D10*D51+D25*D50)</f>
        <v>1.6019226075485136</v>
      </c>
      <c r="E84" s="167">
        <f>E24+(4/0.017)*(E10*E51+E25*E50)</f>
        <v>2.227423615675183</v>
      </c>
      <c r="F84" s="167">
        <f>F24+(4/0.017)*(F10*F51+F25*F50)</f>
        <v>2.696759004227521</v>
      </c>
    </row>
    <row r="85" spans="1:6" ht="12.75">
      <c r="A85" s="167" t="s">
        <v>175</v>
      </c>
      <c r="B85" s="167">
        <f>B25+(5/0.017)*(B11*B51+B26*B50)</f>
        <v>0.00777301347056919</v>
      </c>
      <c r="C85" s="167">
        <f>C25+(5/0.017)*(C11*C51+C26*C50)</f>
        <v>0.32083464163583914</v>
      </c>
      <c r="D85" s="167">
        <f>D25+(5/0.017)*(D11*D51+D26*D50)</f>
        <v>-0.21430168830881405</v>
      </c>
      <c r="E85" s="167">
        <f>E25+(5/0.017)*(E11*E51+E26*E50)</f>
        <v>0.35879347848769977</v>
      </c>
      <c r="F85" s="167">
        <f>F25+(5/0.017)*(F11*F51+F26*F50)</f>
        <v>-0.5295312014678886</v>
      </c>
    </row>
    <row r="86" spans="1:6" ht="12.75">
      <c r="A86" s="167" t="s">
        <v>176</v>
      </c>
      <c r="B86" s="167">
        <f>B26+(6/0.017)*(B12*B51+B27*B50)</f>
        <v>0.6166396832118924</v>
      </c>
      <c r="C86" s="167">
        <f>C26+(6/0.017)*(C12*C51+C27*C50)</f>
        <v>0.25068269501753593</v>
      </c>
      <c r="D86" s="167">
        <f>D26+(6/0.017)*(D12*D51+D27*D50)</f>
        <v>-0.9445772094881068</v>
      </c>
      <c r="E86" s="167">
        <f>E26+(6/0.017)*(E12*E51+E27*E50)</f>
        <v>-0.43687593496569543</v>
      </c>
      <c r="F86" s="167">
        <f>F26+(6/0.017)*(F12*F51+F27*F50)</f>
        <v>1.3505722681992876</v>
      </c>
    </row>
    <row r="87" spans="1:6" ht="12.75">
      <c r="A87" s="167" t="s">
        <v>177</v>
      </c>
      <c r="B87" s="167">
        <f>B27+(7/0.017)*(B13*B51+B28*B50)</f>
        <v>0.08802870303150917</v>
      </c>
      <c r="C87" s="167">
        <f>C27+(7/0.017)*(C13*C51+C28*C50)</f>
        <v>0.20318095852045717</v>
      </c>
      <c r="D87" s="167">
        <f>D27+(7/0.017)*(D13*D51+D28*D50)</f>
        <v>0.18930316239266093</v>
      </c>
      <c r="E87" s="167">
        <f>E27+(7/0.017)*(E13*E51+E28*E50)</f>
        <v>0.055731066967946885</v>
      </c>
      <c r="F87" s="167">
        <f>F27+(7/0.017)*(F13*F51+F28*F50)</f>
        <v>0.41643677506990767</v>
      </c>
    </row>
    <row r="88" spans="1:6" ht="12.75">
      <c r="A88" s="167" t="s">
        <v>178</v>
      </c>
      <c r="B88" s="167">
        <f>B28+(8/0.017)*(B14*B51+B29*B50)</f>
        <v>-0.03478141789690581</v>
      </c>
      <c r="C88" s="167">
        <f>C28+(8/0.017)*(C14*C51+C29*C50)</f>
        <v>0.3717548742130901</v>
      </c>
      <c r="D88" s="167">
        <f>D28+(8/0.017)*(D14*D51+D29*D50)</f>
        <v>0.32352580360822225</v>
      </c>
      <c r="E88" s="167">
        <f>E28+(8/0.017)*(E14*E51+E29*E50)</f>
        <v>0.46289869900487096</v>
      </c>
      <c r="F88" s="167">
        <f>F28+(8/0.017)*(F14*F51+F29*F50)</f>
        <v>0.28322968501865114</v>
      </c>
    </row>
    <row r="89" spans="1:6" ht="12.75">
      <c r="A89" s="167" t="s">
        <v>179</v>
      </c>
      <c r="B89" s="167">
        <f>B29+(9/0.017)*(B15*B51+B30*B50)</f>
        <v>0.08709516671854045</v>
      </c>
      <c r="C89" s="167">
        <f>C29+(9/0.017)*(C15*C51+C30*C50)</f>
        <v>0.09051597250206717</v>
      </c>
      <c r="D89" s="167">
        <f>D29+(9/0.017)*(D15*D51+D30*D50)</f>
        <v>0.014304540260629807</v>
      </c>
      <c r="E89" s="167">
        <f>E29+(9/0.017)*(E15*E51+E30*E50)</f>
        <v>0.11284731379022339</v>
      </c>
      <c r="F89" s="167">
        <f>F29+(9/0.017)*(F15*F51+F30*F50)</f>
        <v>0.09005090605399564</v>
      </c>
    </row>
    <row r="90" spans="1:6" ht="12.75">
      <c r="A90" s="167" t="s">
        <v>180</v>
      </c>
      <c r="B90" s="167">
        <f>B30+(10/0.017)*(B16*B51+B31*B50)</f>
        <v>-0.00927738651657593</v>
      </c>
      <c r="C90" s="167">
        <f>C30+(10/0.017)*(C16*C51+C31*C50)</f>
        <v>0.02439742969602246</v>
      </c>
      <c r="D90" s="167">
        <f>D30+(10/0.017)*(D16*D51+D31*D50)</f>
        <v>-0.06160486730431886</v>
      </c>
      <c r="E90" s="167">
        <f>E30+(10/0.017)*(E16*E51+E31*E50)</f>
        <v>-0.08297824019021732</v>
      </c>
      <c r="F90" s="167">
        <f>F30+(10/0.017)*(F16*F51+F31*F50)</f>
        <v>0.15639888996029497</v>
      </c>
    </row>
    <row r="91" spans="1:6" ht="12.75">
      <c r="A91" s="167" t="s">
        <v>181</v>
      </c>
      <c r="B91" s="167">
        <f>B31+(11/0.017)*(B17*B51+B32*B50)</f>
        <v>0.011808772746907096</v>
      </c>
      <c r="C91" s="167">
        <f>C31+(11/0.017)*(C17*C51+C32*C50)</f>
        <v>0.039045063237799126</v>
      </c>
      <c r="D91" s="167">
        <f>D31+(11/0.017)*(D17*D51+D32*D50)</f>
        <v>0.02715705280703502</v>
      </c>
      <c r="E91" s="167">
        <f>E31+(11/0.017)*(E17*E51+E32*E50)</f>
        <v>0.023373151746335936</v>
      </c>
      <c r="F91" s="167">
        <f>F31+(11/0.017)*(F17*F51+F32*F50)</f>
        <v>0.025173550043715492</v>
      </c>
    </row>
    <row r="92" spans="1:6" ht="12.75">
      <c r="A92" s="167" t="s">
        <v>182</v>
      </c>
      <c r="B92" s="167">
        <f>B32+(12/0.017)*(B18*B51+B33*B50)</f>
        <v>-0.02657788018955314</v>
      </c>
      <c r="C92" s="167">
        <f>C32+(12/0.017)*(C18*C51+C33*C50)</f>
        <v>0.06125811378307658</v>
      </c>
      <c r="D92" s="167">
        <f>D32+(12/0.017)*(D18*D51+D33*D50)</f>
        <v>0.047195735324609925</v>
      </c>
      <c r="E92" s="167">
        <f>E32+(12/0.017)*(E18*E51+E33*E50)</f>
        <v>0.06223867360550225</v>
      </c>
      <c r="F92" s="167">
        <f>F32+(12/0.017)*(F18*F51+F33*F50)</f>
        <v>0.03336224828635436</v>
      </c>
    </row>
    <row r="93" spans="1:6" ht="12.75">
      <c r="A93" s="167" t="s">
        <v>183</v>
      </c>
      <c r="B93" s="167">
        <f>B33+(13/0.017)*(B19*B51+B34*B50)</f>
        <v>0.03980375818171052</v>
      </c>
      <c r="C93" s="167">
        <f>C33+(13/0.017)*(C19*C51+C34*C50)</f>
        <v>0.03617849768592042</v>
      </c>
      <c r="D93" s="167">
        <f>D33+(13/0.017)*(D19*D51+D34*D50)</f>
        <v>0.035211980442647596</v>
      </c>
      <c r="E93" s="167">
        <f>E33+(13/0.017)*(E19*E51+E34*E50)</f>
        <v>0.030408231863267188</v>
      </c>
      <c r="F93" s="167">
        <f>F33+(13/0.017)*(F19*F51+F34*F50)</f>
        <v>0.016333254437014652</v>
      </c>
    </row>
    <row r="94" spans="1:6" ht="12.75">
      <c r="A94" s="167" t="s">
        <v>184</v>
      </c>
      <c r="B94" s="167">
        <f>B34+(14/0.017)*(B20*B51+B35*B50)</f>
        <v>-0.009707364606759968</v>
      </c>
      <c r="C94" s="167">
        <f>C34+(14/0.017)*(C20*C51+C35*C50)</f>
        <v>0.007270056302192504</v>
      </c>
      <c r="D94" s="167">
        <f>D34+(14/0.017)*(D20*D51+D35*D50)</f>
        <v>0.01249352527342962</v>
      </c>
      <c r="E94" s="167">
        <f>E34+(14/0.017)*(E20*E51+E35*E50)</f>
        <v>0.013104039230723152</v>
      </c>
      <c r="F94" s="167">
        <f>F34+(14/0.017)*(F20*F51+F35*F50)</f>
        <v>-0.02365831946498938</v>
      </c>
    </row>
    <row r="95" spans="1:6" ht="12.75">
      <c r="A95" s="167" t="s">
        <v>185</v>
      </c>
      <c r="B95" s="168">
        <f>B35</f>
        <v>0.001823183</v>
      </c>
      <c r="C95" s="168">
        <f>C35</f>
        <v>-0.001834431</v>
      </c>
      <c r="D95" s="168">
        <f>D35</f>
        <v>-0.001569941</v>
      </c>
      <c r="E95" s="168">
        <f>E35</f>
        <v>0.003171274</v>
      </c>
      <c r="F95" s="168">
        <f>F35</f>
        <v>0.006519099</v>
      </c>
    </row>
    <row r="98" ht="12.75">
      <c r="A98" s="167" t="s">
        <v>153</v>
      </c>
    </row>
    <row r="100" spans="2:11" ht="12.75">
      <c r="B100" s="167" t="s">
        <v>84</v>
      </c>
      <c r="C100" s="167" t="s">
        <v>85</v>
      </c>
      <c r="D100" s="167" t="s">
        <v>86</v>
      </c>
      <c r="E100" s="167" t="s">
        <v>87</v>
      </c>
      <c r="F100" s="167" t="s">
        <v>88</v>
      </c>
      <c r="G100" s="167" t="s">
        <v>155</v>
      </c>
      <c r="H100" s="167" t="s">
        <v>156</v>
      </c>
      <c r="I100" s="167" t="s">
        <v>151</v>
      </c>
      <c r="K100" s="167" t="s">
        <v>186</v>
      </c>
    </row>
    <row r="101" spans="1:9" ht="12.75">
      <c r="A101" s="167" t="s">
        <v>154</v>
      </c>
      <c r="B101" s="167">
        <f>B61*10000/B62</f>
        <v>0</v>
      </c>
      <c r="C101" s="167">
        <f>C61*10000/C62</f>
        <v>0</v>
      </c>
      <c r="D101" s="167">
        <f>D61*10000/D62</f>
        <v>0</v>
      </c>
      <c r="E101" s="167">
        <f>E61*10000/E62</f>
        <v>0</v>
      </c>
      <c r="F101" s="167">
        <f>F61*10000/F62</f>
        <v>0</v>
      </c>
      <c r="G101" s="167">
        <f>AVERAGE(C101:E101)</f>
        <v>0</v>
      </c>
      <c r="H101" s="167">
        <f>STDEV(C101:E101)</f>
        <v>0</v>
      </c>
      <c r="I101" s="167">
        <f>(B101*B4+C101*C4+D101*D4+E101*E4+F101*F4)/SUM(B4:F4)</f>
        <v>0</v>
      </c>
    </row>
    <row r="102" spans="1:9" ht="12.75">
      <c r="A102" s="167" t="s">
        <v>157</v>
      </c>
      <c r="B102" s="167">
        <f>B62*10000/B62</f>
        <v>10000</v>
      </c>
      <c r="C102" s="167">
        <f>C62*10000/C62</f>
        <v>10000</v>
      </c>
      <c r="D102" s="167">
        <f>D62*10000/D62</f>
        <v>10000</v>
      </c>
      <c r="E102" s="167">
        <f>E62*10000/E62</f>
        <v>10000</v>
      </c>
      <c r="F102" s="167">
        <f>F62*10000/F62</f>
        <v>10000</v>
      </c>
      <c r="G102" s="167">
        <f>AVERAGE(C102:E102)</f>
        <v>10000</v>
      </c>
      <c r="H102" s="167">
        <f>STDEV(C102:E102)</f>
        <v>0</v>
      </c>
      <c r="I102" s="167">
        <f>(B102*B4+C102*C4+D102*D4+E102*E4+F102*F4)/SUM(B4:F4)</f>
        <v>10000.000000000002</v>
      </c>
    </row>
    <row r="103" spans="1:11" ht="12.75">
      <c r="A103" s="167" t="s">
        <v>158</v>
      </c>
      <c r="B103" s="167">
        <f>B63*10000/B62</f>
        <v>0.5856757622798446</v>
      </c>
      <c r="C103" s="167">
        <f>C63*10000/C62</f>
        <v>-1.0648609964076161</v>
      </c>
      <c r="D103" s="167">
        <f>D63*10000/D62</f>
        <v>-0.3503308514813424</v>
      </c>
      <c r="E103" s="167">
        <f>E63*10000/E62</f>
        <v>-0.9384515366300762</v>
      </c>
      <c r="F103" s="167">
        <f>F63*10000/F62</f>
        <v>-3.512857675411883</v>
      </c>
      <c r="G103" s="167">
        <f>AVERAGE(C103:E103)</f>
        <v>-0.7845477948396783</v>
      </c>
      <c r="H103" s="167">
        <f>STDEV(C103:E103)</f>
        <v>0.38131758850714514</v>
      </c>
      <c r="I103" s="167">
        <f>(B103*B4+C103*C4+D103*D4+E103*E4+F103*F4)/SUM(B4:F4)</f>
        <v>-0.9512411019007925</v>
      </c>
      <c r="K103" s="167">
        <f>(LN(H103)+LN(H123))/2-LN(K114*K115^3)</f>
        <v>-4.610756315043742</v>
      </c>
    </row>
    <row r="104" spans="1:11" ht="12.75">
      <c r="A104" s="167" t="s">
        <v>159</v>
      </c>
      <c r="B104" s="167">
        <f>B64*10000/B62</f>
        <v>-0.09004605390443764</v>
      </c>
      <c r="C104" s="167">
        <f>C64*10000/C62</f>
        <v>0.6303254302902287</v>
      </c>
      <c r="D104" s="167">
        <f>D64*10000/D62</f>
        <v>0.1282864675529154</v>
      </c>
      <c r="E104" s="167">
        <f>E64*10000/E62</f>
        <v>0.4183401081258011</v>
      </c>
      <c r="F104" s="167">
        <f>F64*10000/F62</f>
        <v>-1.4989842529294004</v>
      </c>
      <c r="G104" s="167">
        <f>AVERAGE(C104:E104)</f>
        <v>0.3923173353229817</v>
      </c>
      <c r="H104" s="167">
        <f>STDEV(C104:E104)</f>
        <v>0.25202910259501726</v>
      </c>
      <c r="I104" s="167">
        <f>(B104*B4+C104*C4+D104*D4+E104*E4+F104*F4)/SUM(B4:F4)</f>
        <v>0.06979714991062771</v>
      </c>
      <c r="K104" s="167">
        <f>(LN(H104)+LN(H124))/2-LN(K114*K115^4)</f>
        <v>-4.41146638412099</v>
      </c>
    </row>
    <row r="105" spans="1:11" ht="12.75">
      <c r="A105" s="167" t="s">
        <v>160</v>
      </c>
      <c r="B105" s="167">
        <f>B65*10000/B62</f>
        <v>0.3815374580258583</v>
      </c>
      <c r="C105" s="167">
        <f>C65*10000/C62</f>
        <v>0.19901404097177544</v>
      </c>
      <c r="D105" s="167">
        <f>D65*10000/D62</f>
        <v>-0.16409471461371553</v>
      </c>
      <c r="E105" s="167">
        <f>E65*10000/E62</f>
        <v>0.04039468735742195</v>
      </c>
      <c r="F105" s="167">
        <f>F65*10000/F62</f>
        <v>0.01411201576488241</v>
      </c>
      <c r="G105" s="167">
        <f>AVERAGE(C105:E105)</f>
        <v>0.025104671238493956</v>
      </c>
      <c r="H105" s="167">
        <f>STDEV(C105:E105)</f>
        <v>0.18203661867986554</v>
      </c>
      <c r="I105" s="167">
        <f>(B105*B4+C105*C4+D105*D4+E105*E4+F105*F4)/SUM(B4:F4)</f>
        <v>0.0751603632919149</v>
      </c>
      <c r="K105" s="167">
        <f>(LN(H105)+LN(H125))/2-LN(K114*K115^5)</f>
        <v>-4.116663811170034</v>
      </c>
    </row>
    <row r="106" spans="1:11" ht="12.75">
      <c r="A106" s="167" t="s">
        <v>161</v>
      </c>
      <c r="B106" s="167">
        <f>B66*10000/B62</f>
        <v>4.267705410314762</v>
      </c>
      <c r="C106" s="167">
        <f>C66*10000/C62</f>
        <v>3.3811589745431947</v>
      </c>
      <c r="D106" s="167">
        <f>D66*10000/D62</f>
        <v>3.796576793863598</v>
      </c>
      <c r="E106" s="167">
        <f>E66*10000/E62</f>
        <v>3.6027582580244637</v>
      </c>
      <c r="F106" s="167">
        <f>F66*10000/F62</f>
        <v>14.430157535594557</v>
      </c>
      <c r="G106" s="167">
        <f>AVERAGE(C106:E106)</f>
        <v>3.593498008810419</v>
      </c>
      <c r="H106" s="167">
        <f>STDEV(C106:E106)</f>
        <v>0.20786367001922243</v>
      </c>
      <c r="I106" s="167">
        <f>(B106*B4+C106*C4+D106*D4+E106*E4+F106*F4)/SUM(B4:F4)</f>
        <v>5.139523925761725</v>
      </c>
      <c r="K106" s="167">
        <f>(LN(H106)+LN(H126))/2-LN(K114*K115^6)</f>
        <v>-3.1455599557367373</v>
      </c>
    </row>
    <row r="107" spans="1:11" ht="12.75">
      <c r="A107" s="167" t="s">
        <v>162</v>
      </c>
      <c r="B107" s="167">
        <f>B67*10000/B62</f>
        <v>-0.10679100592145951</v>
      </c>
      <c r="C107" s="167">
        <f>C67*10000/C62</f>
        <v>-0.10053288100526019</v>
      </c>
      <c r="D107" s="167">
        <f>D67*10000/D62</f>
        <v>-0.14117602047197483</v>
      </c>
      <c r="E107" s="167">
        <f>E67*10000/E62</f>
        <v>-0.2743523460254517</v>
      </c>
      <c r="F107" s="167">
        <f>F67*10000/F62</f>
        <v>-0.17565250526808535</v>
      </c>
      <c r="G107" s="167">
        <f>AVERAGE(C107:E107)</f>
        <v>-0.1720204158342289</v>
      </c>
      <c r="H107" s="167">
        <f>STDEV(C107:E107)</f>
        <v>0.09092213233819194</v>
      </c>
      <c r="I107" s="167">
        <f>(B107*B4+C107*C4+D107*D4+E107*E4+F107*F4)/SUM(B4:F4)</f>
        <v>-0.1630739709515847</v>
      </c>
      <c r="K107" s="167">
        <f>(LN(H107)+LN(H127))/2-LN(K114*K115^7)</f>
        <v>-3.9662399454827346</v>
      </c>
    </row>
    <row r="108" spans="1:9" ht="12.75">
      <c r="A108" s="167" t="s">
        <v>163</v>
      </c>
      <c r="B108" s="167">
        <f>B68*10000/B62</f>
        <v>-0.016589553494591555</v>
      </c>
      <c r="C108" s="167">
        <f>C68*10000/C62</f>
        <v>0.04435690957066599</v>
      </c>
      <c r="D108" s="167">
        <f>D68*10000/D62</f>
        <v>0.009213983165238325</v>
      </c>
      <c r="E108" s="167">
        <f>E68*10000/E62</f>
        <v>0.050947112189764235</v>
      </c>
      <c r="F108" s="167">
        <f>F68*10000/F62</f>
        <v>-0.021729983997399498</v>
      </c>
      <c r="G108" s="167">
        <f>AVERAGE(C108:E108)</f>
        <v>0.034839334975222847</v>
      </c>
      <c r="H108" s="167">
        <f>STDEV(C108:E108)</f>
        <v>0.022435500533291</v>
      </c>
      <c r="I108" s="167">
        <f>(B108*B4+C108*C4+D108*D4+E108*E4+F108*F4)/SUM(B4:F4)</f>
        <v>0.01984516274588375</v>
      </c>
    </row>
    <row r="109" spans="1:9" ht="12.75">
      <c r="A109" s="167" t="s">
        <v>164</v>
      </c>
      <c r="B109" s="167">
        <f>B69*10000/B62</f>
        <v>-0.006995012840672111</v>
      </c>
      <c r="C109" s="167">
        <f>C69*10000/C62</f>
        <v>-0.04175814489777913</v>
      </c>
      <c r="D109" s="167">
        <f>D69*10000/D62</f>
        <v>0.039712123596019125</v>
      </c>
      <c r="E109" s="167">
        <f>E69*10000/E62</f>
        <v>0.017975409473153084</v>
      </c>
      <c r="F109" s="167">
        <f>F69*10000/F62</f>
        <v>0.08179295268122883</v>
      </c>
      <c r="G109" s="167">
        <f>AVERAGE(C109:E109)</f>
        <v>0.005309796057131025</v>
      </c>
      <c r="H109" s="167">
        <f>STDEV(C109:E109)</f>
        <v>0.04218606979224283</v>
      </c>
      <c r="I109" s="167">
        <f>(B109*B4+C109*C4+D109*D4+E109*E4+F109*F4)/SUM(B4:F4)</f>
        <v>0.013752347538444789</v>
      </c>
    </row>
    <row r="110" spans="1:11" ht="12.75">
      <c r="A110" s="167" t="s">
        <v>165</v>
      </c>
      <c r="B110" s="167">
        <f>B70*10000/B62</f>
        <v>-0.3231071605443652</v>
      </c>
      <c r="C110" s="167">
        <f>C70*10000/C62</f>
        <v>-0.07732061339953189</v>
      </c>
      <c r="D110" s="167">
        <f>D70*10000/D62</f>
        <v>-0.030538902961665323</v>
      </c>
      <c r="E110" s="167">
        <f>E70*10000/E62</f>
        <v>-0.05382860461504637</v>
      </c>
      <c r="F110" s="167">
        <f>F70*10000/F62</f>
        <v>-0.32086327884826243</v>
      </c>
      <c r="G110" s="167">
        <f>AVERAGE(C110:E110)</f>
        <v>-0.05389604032541453</v>
      </c>
      <c r="H110" s="167">
        <f>STDEV(C110:E110)</f>
        <v>0.023390928125116662</v>
      </c>
      <c r="I110" s="167">
        <f>(B110*B4+C110*C4+D110*D4+E110*E4+F110*F4)/SUM(B4:F4)</f>
        <v>-0.12849273032801498</v>
      </c>
      <c r="K110" s="167">
        <f>EXP(AVERAGE(K103:K107))</f>
        <v>0.017419983019809838</v>
      </c>
    </row>
    <row r="111" spans="1:9" ht="12.75">
      <c r="A111" s="167" t="s">
        <v>166</v>
      </c>
      <c r="B111" s="167">
        <f>B71*10000/B62</f>
        <v>0.006579219103603941</v>
      </c>
      <c r="C111" s="167">
        <f>C71*10000/C62</f>
        <v>-0.016758432760909034</v>
      </c>
      <c r="D111" s="167">
        <f>D71*10000/D62</f>
        <v>-0.022136152664927505</v>
      </c>
      <c r="E111" s="167">
        <f>E71*10000/E62</f>
        <v>-0.020869204483141748</v>
      </c>
      <c r="F111" s="167">
        <f>F71*10000/F62</f>
        <v>-0.01634072995968292</v>
      </c>
      <c r="G111" s="167">
        <f>AVERAGE(C111:E111)</f>
        <v>-0.019921263302992764</v>
      </c>
      <c r="H111" s="167">
        <f>STDEV(C111:E111)</f>
        <v>0.0028113897279256183</v>
      </c>
      <c r="I111" s="167">
        <f>(B111*B4+C111*C4+D111*D4+E111*E4+F111*F4)/SUM(B4:F4)</f>
        <v>-0.015612408140966288</v>
      </c>
    </row>
    <row r="112" spans="1:9" ht="12.75">
      <c r="A112" s="167" t="s">
        <v>167</v>
      </c>
      <c r="B112" s="167">
        <f>B72*10000/B62</f>
        <v>-0.007337307835226383</v>
      </c>
      <c r="C112" s="167">
        <f>C72*10000/C62</f>
        <v>0.01279305927830791</v>
      </c>
      <c r="D112" s="167">
        <f>D72*10000/D62</f>
        <v>0.008074121398700871</v>
      </c>
      <c r="E112" s="167">
        <f>E72*10000/E62</f>
        <v>0.003915335261259558</v>
      </c>
      <c r="F112" s="167">
        <f>F72*10000/F62</f>
        <v>-0.022189883407791645</v>
      </c>
      <c r="G112" s="167">
        <f>AVERAGE(C112:E112)</f>
        <v>0.008260838646089447</v>
      </c>
      <c r="H112" s="167">
        <f>STDEV(C112:E112)</f>
        <v>0.0044418063249733845</v>
      </c>
      <c r="I112" s="167">
        <f>(B112*B4+C112*C4+D112*D4+E112*E4+F112*F4)/SUM(B4:F4)</f>
        <v>0.0019362608724143174</v>
      </c>
    </row>
    <row r="113" spans="1:9" ht="12.75">
      <c r="A113" s="167" t="s">
        <v>168</v>
      </c>
      <c r="B113" s="167">
        <f>B73*10000/B62</f>
        <v>0.034338329884228296</v>
      </c>
      <c r="C113" s="167">
        <f>C73*10000/C62</f>
        <v>0.0288204473170954</v>
      </c>
      <c r="D113" s="167">
        <f>D73*10000/D62</f>
        <v>0.047928069190664564</v>
      </c>
      <c r="E113" s="167">
        <f>E73*10000/E62</f>
        <v>0.05177667501411296</v>
      </c>
      <c r="F113" s="167">
        <f>F73*10000/F62</f>
        <v>0.01686924812925404</v>
      </c>
      <c r="G113" s="167">
        <f>AVERAGE(C113:E113)</f>
        <v>0.042841730507290975</v>
      </c>
      <c r="H113" s="167">
        <f>STDEV(C113:E113)</f>
        <v>0.012294316915584053</v>
      </c>
      <c r="I113" s="167">
        <f>(B113*B4+C113*C4+D113*D4+E113*E4+F113*F4)/SUM(B4:F4)</f>
        <v>0.03813997227956853</v>
      </c>
    </row>
    <row r="114" spans="1:11" ht="12.75">
      <c r="A114" s="167" t="s">
        <v>169</v>
      </c>
      <c r="B114" s="167">
        <f>B74*10000/B62</f>
        <v>-0.19372043485624174</v>
      </c>
      <c r="C114" s="167">
        <f>C74*10000/C62</f>
        <v>-0.16681785416300154</v>
      </c>
      <c r="D114" s="167">
        <f>D74*10000/D62</f>
        <v>-0.1755734430571836</v>
      </c>
      <c r="E114" s="167">
        <f>E74*10000/E62</f>
        <v>-0.17626589017467428</v>
      </c>
      <c r="F114" s="167">
        <f>F74*10000/F62</f>
        <v>-0.136085976544238</v>
      </c>
      <c r="G114" s="167">
        <f>AVERAGE(C114:E114)</f>
        <v>-0.17288572913161981</v>
      </c>
      <c r="H114" s="167">
        <f>STDEV(C114:E114)</f>
        <v>0.005266327062452526</v>
      </c>
      <c r="I114" s="167">
        <f>(B114*B4+C114*C4+D114*D4+E114*E4+F114*F4)/SUM(B4:F4)</f>
        <v>-0.17097727133542248</v>
      </c>
      <c r="J114" s="167" t="s">
        <v>187</v>
      </c>
      <c r="K114" s="167">
        <v>285</v>
      </c>
    </row>
    <row r="115" spans="1:11" ht="12.75">
      <c r="A115" s="167" t="s">
        <v>170</v>
      </c>
      <c r="B115" s="167">
        <f>B75*10000/B62</f>
        <v>-0.006115177109035803</v>
      </c>
      <c r="C115" s="167">
        <f>C75*10000/C62</f>
        <v>-0.0028931744642739315</v>
      </c>
      <c r="D115" s="167">
        <f>D75*10000/D62</f>
        <v>-0.002513961647227139</v>
      </c>
      <c r="E115" s="167">
        <f>E75*10000/E62</f>
        <v>0.003530773736628979</v>
      </c>
      <c r="F115" s="167">
        <f>F75*10000/F62</f>
        <v>-0.004499939378628972</v>
      </c>
      <c r="G115" s="167">
        <f>AVERAGE(C115:E115)</f>
        <v>-0.0006254541249573639</v>
      </c>
      <c r="H115" s="167">
        <f>STDEV(C115:E115)</f>
        <v>0.0036043894237752774</v>
      </c>
      <c r="I115" s="167">
        <f>(B115*B4+C115*C4+D115*D4+E115*E4+F115*F4)/SUM(B4:F4)</f>
        <v>-0.0019369348604722381</v>
      </c>
      <c r="J115" s="167" t="s">
        <v>188</v>
      </c>
      <c r="K115" s="167">
        <v>0.5536</v>
      </c>
    </row>
    <row r="118" ht="12.75">
      <c r="A118" s="167" t="s">
        <v>153</v>
      </c>
    </row>
    <row r="120" spans="2:9" ht="12.75">
      <c r="B120" s="167" t="s">
        <v>84</v>
      </c>
      <c r="C120" s="167" t="s">
        <v>85</v>
      </c>
      <c r="D120" s="167" t="s">
        <v>86</v>
      </c>
      <c r="E120" s="167" t="s">
        <v>87</v>
      </c>
      <c r="F120" s="167" t="s">
        <v>88</v>
      </c>
      <c r="G120" s="167" t="s">
        <v>155</v>
      </c>
      <c r="H120" s="167" t="s">
        <v>156</v>
      </c>
      <c r="I120" s="167" t="s">
        <v>151</v>
      </c>
    </row>
    <row r="121" spans="1:9" ht="12.75">
      <c r="A121" s="167" t="s">
        <v>171</v>
      </c>
      <c r="B121" s="167">
        <f>B81*10000/B62</f>
        <v>0</v>
      </c>
      <c r="C121" s="167">
        <f>C81*10000/C62</f>
        <v>0</v>
      </c>
      <c r="D121" s="167">
        <f>D81*10000/D62</f>
        <v>0</v>
      </c>
      <c r="E121" s="167">
        <f>E81*10000/E62</f>
        <v>0</v>
      </c>
      <c r="F121" s="167">
        <f>F81*10000/F62</f>
        <v>0</v>
      </c>
      <c r="G121" s="167">
        <f>AVERAGE(C121:E121)</f>
        <v>0</v>
      </c>
      <c r="H121" s="167">
        <f>STDEV(C121:E121)</f>
        <v>0</v>
      </c>
      <c r="I121" s="167">
        <f>(B121*B4+C121*C4+D121*D4+E121*E4+F121*F4)/SUM(B4:F4)</f>
        <v>0</v>
      </c>
    </row>
    <row r="122" spans="1:9" ht="12.75">
      <c r="A122" s="167" t="s">
        <v>172</v>
      </c>
      <c r="B122" s="167">
        <f>B82*10000/B62</f>
        <v>136.33366984994294</v>
      </c>
      <c r="C122" s="167">
        <f>C82*10000/C62</f>
        <v>69.05407843157573</v>
      </c>
      <c r="D122" s="167">
        <f>D82*10000/D62</f>
        <v>-32.25840187530619</v>
      </c>
      <c r="E122" s="167">
        <f>E82*10000/E62</f>
        <v>-75.25832412187151</v>
      </c>
      <c r="F122" s="167">
        <f>F82*10000/F62</f>
        <v>-78.17883819945474</v>
      </c>
      <c r="G122" s="167">
        <f>AVERAGE(C122:E122)</f>
        <v>-12.820882521867324</v>
      </c>
      <c r="H122" s="167">
        <f>STDEV(C122:E122)</f>
        <v>74.09372612879268</v>
      </c>
      <c r="I122" s="167">
        <f>(B122*B4+C122*C4+D122*D4+E122*E4+F122*F4)/SUM(B4:F4)</f>
        <v>0.004382879683971937</v>
      </c>
    </row>
    <row r="123" spans="1:9" ht="12.75">
      <c r="A123" s="167" t="s">
        <v>173</v>
      </c>
      <c r="B123" s="167">
        <f>B83*10000/B62</f>
        <v>-0.7863236036996906</v>
      </c>
      <c r="C123" s="167">
        <f>C83*10000/C62</f>
        <v>0.19738601612560844</v>
      </c>
      <c r="D123" s="167">
        <f>D83*10000/D62</f>
        <v>-0.16329735112236535</v>
      </c>
      <c r="E123" s="167">
        <f>E83*10000/E62</f>
        <v>1.0197564579579406</v>
      </c>
      <c r="F123" s="167">
        <f>F83*10000/F62</f>
        <v>8.87304528977541</v>
      </c>
      <c r="G123" s="167">
        <f>AVERAGE(C123:E123)</f>
        <v>0.35128170765372785</v>
      </c>
      <c r="H123" s="167">
        <f>STDEV(C123:E123)</f>
        <v>0.6063554994374536</v>
      </c>
      <c r="I123" s="167">
        <f>(B123*B4+C123*C4+D123*D4+E123*E4+F123*F4)/SUM(B4:F4)</f>
        <v>1.3260109741981434</v>
      </c>
    </row>
    <row r="124" spans="1:9" ht="12.75">
      <c r="A124" s="167" t="s">
        <v>174</v>
      </c>
      <c r="B124" s="167">
        <f>B84*10000/B62</f>
        <v>2.1860437782894033</v>
      </c>
      <c r="C124" s="167">
        <f>C84*10000/C62</f>
        <v>1.432114667311513</v>
      </c>
      <c r="D124" s="167">
        <f>D84*10000/D62</f>
        <v>1.6019236571795312</v>
      </c>
      <c r="E124" s="167">
        <f>E84*10000/E62</f>
        <v>2.2274240803849743</v>
      </c>
      <c r="F124" s="167">
        <f>F84*10000/F62</f>
        <v>2.6968179626337188</v>
      </c>
      <c r="G124" s="167">
        <f>AVERAGE(C124:E124)</f>
        <v>1.7538208016253396</v>
      </c>
      <c r="H124" s="167">
        <f>STDEV(C124:E124)</f>
        <v>0.41884820937769973</v>
      </c>
      <c r="I124" s="167">
        <f>(B124*B4+C124*C4+D124*D4+E124*E4+F124*F4)/SUM(B4:F4)</f>
        <v>1.9423236782581446</v>
      </c>
    </row>
    <row r="125" spans="1:9" ht="12.75">
      <c r="A125" s="167" t="s">
        <v>175</v>
      </c>
      <c r="B125" s="167">
        <f>B85*10000/B62</f>
        <v>0.0077729920004911785</v>
      </c>
      <c r="C125" s="167">
        <f>C85*10000/C62</f>
        <v>0.3208349149083731</v>
      </c>
      <c r="D125" s="167">
        <f>D85*10000/D62</f>
        <v>-0.2143018287261464</v>
      </c>
      <c r="E125" s="167">
        <f>E85*10000/E62</f>
        <v>0.3587935533431701</v>
      </c>
      <c r="F125" s="167">
        <f>F85*10000/F62</f>
        <v>-0.529542778444408</v>
      </c>
      <c r="G125" s="167">
        <f>AVERAGE(C125:E125)</f>
        <v>0.15510887984179894</v>
      </c>
      <c r="H125" s="167">
        <f>STDEV(C125:E125)</f>
        <v>0.320481541217992</v>
      </c>
      <c r="I125" s="167">
        <f>(B125*B4+C125*C4+D125*D4+E125*E4+F125*F4)/SUM(B4:F4)</f>
        <v>0.04230424998320505</v>
      </c>
    </row>
    <row r="126" spans="1:9" ht="12.75">
      <c r="A126" s="167" t="s">
        <v>176</v>
      </c>
      <c r="B126" s="167">
        <f>B86*10000/B62</f>
        <v>0.616637979972582</v>
      </c>
      <c r="C126" s="167">
        <f>C86*10000/C62</f>
        <v>0.2506829085377934</v>
      </c>
      <c r="D126" s="167">
        <f>D86*10000/D62</f>
        <v>-0.9445778284053584</v>
      </c>
      <c r="E126" s="167">
        <f>E86*10000/E62</f>
        <v>-0.4368760261115929</v>
      </c>
      <c r="F126" s="167">
        <f>F86*10000/F62</f>
        <v>1.3506017953421514</v>
      </c>
      <c r="G126" s="167">
        <f>AVERAGE(C126:E126)</f>
        <v>-0.37692364865971933</v>
      </c>
      <c r="H126" s="167">
        <f>STDEV(C126:E126)</f>
        <v>0.5998814657839251</v>
      </c>
      <c r="I126" s="167">
        <f>(B126*B4+C126*C4+D126*D4+E126*E4+F126*F4)/SUM(B4:F4)</f>
        <v>-0.0023591024625826654</v>
      </c>
    </row>
    <row r="127" spans="1:9" ht="12.75">
      <c r="A127" s="167" t="s">
        <v>177</v>
      </c>
      <c r="B127" s="167">
        <f>B87*10000/B62</f>
        <v>0.08802845988473881</v>
      </c>
      <c r="C127" s="167">
        <f>C87*10000/C62</f>
        <v>0.20318113158086956</v>
      </c>
      <c r="D127" s="167">
        <f>D87*10000/D62</f>
        <v>0.18930328643015815</v>
      </c>
      <c r="E127" s="167">
        <f>E87*10000/E62</f>
        <v>0.05573107859517949</v>
      </c>
      <c r="F127" s="167">
        <f>F87*10000/F62</f>
        <v>0.4164458794980385</v>
      </c>
      <c r="G127" s="167">
        <f>AVERAGE(C127:E127)</f>
        <v>0.14940516553540242</v>
      </c>
      <c r="H127" s="167">
        <f>STDEV(C127:E127)</f>
        <v>0.08142035721838921</v>
      </c>
      <c r="I127" s="167">
        <f>(B127*B4+C127*C4+D127*D4+E127*E4+F127*F4)/SUM(B4:F4)</f>
        <v>0.17623492977402905</v>
      </c>
    </row>
    <row r="128" spans="1:9" ht="12.75">
      <c r="A128" s="167" t="s">
        <v>178</v>
      </c>
      <c r="B128" s="167">
        <f>B88*10000/B62</f>
        <v>-0.034781321826088694</v>
      </c>
      <c r="C128" s="167">
        <f>C88*10000/C62</f>
        <v>0.3717551908571906</v>
      </c>
      <c r="D128" s="167">
        <f>D88*10000/D62</f>
        <v>0.3235260155926945</v>
      </c>
      <c r="E128" s="167">
        <f>E88*10000/E62</f>
        <v>0.4628987955799257</v>
      </c>
      <c r="F128" s="167">
        <f>F88*10000/F62</f>
        <v>0.28323587718146226</v>
      </c>
      <c r="G128" s="167">
        <f>AVERAGE(C128:E128)</f>
        <v>0.38606000067660357</v>
      </c>
      <c r="H128" s="167">
        <f>STDEV(C128:E128)</f>
        <v>0.07077897737548543</v>
      </c>
      <c r="I128" s="167">
        <f>(B128*B4+C128*C4+D128*D4+E128*E4+F128*F4)/SUM(B4:F4)</f>
        <v>0.3114912721449655</v>
      </c>
    </row>
    <row r="129" spans="1:9" ht="12.75">
      <c r="A129" s="167" t="s">
        <v>179</v>
      </c>
      <c r="B129" s="167">
        <f>B89*10000/B62</f>
        <v>0.08709492615031927</v>
      </c>
      <c r="C129" s="167">
        <f>C89*10000/C62</f>
        <v>0.09051604959950604</v>
      </c>
      <c r="D129" s="167">
        <f>D89*10000/D62</f>
        <v>0.0143045496334229</v>
      </c>
      <c r="E129" s="167">
        <f>E89*10000/E62</f>
        <v>0.11284733733368017</v>
      </c>
      <c r="F129" s="167">
        <f>F89*10000/F62</f>
        <v>0.0900528748090417</v>
      </c>
      <c r="G129" s="167">
        <f>AVERAGE(C129:E129)</f>
        <v>0.07255597885553637</v>
      </c>
      <c r="H129" s="167">
        <f>STDEV(C129:E129)</f>
        <v>0.05166810774337292</v>
      </c>
      <c r="I129" s="167">
        <f>(B129*B4+C129*C4+D129*D4+E129*E4+F129*F4)/SUM(B4:F4)</f>
        <v>0.0769973058415074</v>
      </c>
    </row>
    <row r="130" spans="1:9" ht="12.75">
      <c r="A130" s="167" t="s">
        <v>180</v>
      </c>
      <c r="B130" s="167">
        <f>B90*10000/B62</f>
        <v>-0.009277360891223163</v>
      </c>
      <c r="C130" s="167">
        <f>C90*10000/C62</f>
        <v>0.024397450476657</v>
      </c>
      <c r="D130" s="167">
        <f>D90*10000/D62</f>
        <v>-0.06160490766980173</v>
      </c>
      <c r="E130" s="167">
        <f>E90*10000/E62</f>
        <v>-0.08297825750205706</v>
      </c>
      <c r="F130" s="167">
        <f>F90*10000/F62</f>
        <v>0.15640230926074736</v>
      </c>
      <c r="G130" s="167">
        <f>AVERAGE(C130:E130)</f>
        <v>-0.04006190489840059</v>
      </c>
      <c r="H130" s="167">
        <f>STDEV(C130:E130)</f>
        <v>0.056837147995733986</v>
      </c>
      <c r="I130" s="167">
        <f>(B130*B4+C130*C4+D130*D4+E130*E4+F130*F4)/SUM(B4:F4)</f>
        <v>-0.009346080706113119</v>
      </c>
    </row>
    <row r="131" spans="1:9" ht="12.75">
      <c r="A131" s="167" t="s">
        <v>181</v>
      </c>
      <c r="B131" s="167">
        <f>B91*10000/B62</f>
        <v>0.011808740129535075</v>
      </c>
      <c r="C131" s="167">
        <f>C91*10000/C62</f>
        <v>0.03904509649462986</v>
      </c>
      <c r="D131" s="167">
        <f>D91*10000/D62</f>
        <v>0.027157070601206125</v>
      </c>
      <c r="E131" s="167">
        <f>E91*10000/E62</f>
        <v>0.023373156622701792</v>
      </c>
      <c r="F131" s="167">
        <f>F91*10000/F62</f>
        <v>0.025174100405237074</v>
      </c>
      <c r="G131" s="167">
        <f>AVERAGE(C131:E131)</f>
        <v>0.02985844123951259</v>
      </c>
      <c r="H131" s="167">
        <f>STDEV(C131:E131)</f>
        <v>0.008177742801743063</v>
      </c>
      <c r="I131" s="167">
        <f>(B131*B4+C131*C4+D131*D4+E131*E4+F131*F4)/SUM(B4:F4)</f>
        <v>0.02662418838813116</v>
      </c>
    </row>
    <row r="132" spans="1:9" ht="12.75">
      <c r="A132" s="167" t="s">
        <v>182</v>
      </c>
      <c r="B132" s="167">
        <f>B92*10000/B62</f>
        <v>-0.02657780677797818</v>
      </c>
      <c r="C132" s="167">
        <f>C92*10000/C62</f>
        <v>0.06125816595998583</v>
      </c>
      <c r="D132" s="167">
        <f>D92*10000/D62</f>
        <v>0.047195766248767854</v>
      </c>
      <c r="E132" s="167">
        <f>E92*10000/E62</f>
        <v>0.062238686590423836</v>
      </c>
      <c r="F132" s="167">
        <f>F92*10000/F62</f>
        <v>0.03336297767484738</v>
      </c>
      <c r="G132" s="167">
        <f>AVERAGE(C132:E132)</f>
        <v>0.05689753959972584</v>
      </c>
      <c r="H132" s="167">
        <f>STDEV(C132:E132)</f>
        <v>0.008416273509796195</v>
      </c>
      <c r="I132" s="167">
        <f>(B132*B4+C132*C4+D132*D4+E132*E4+F132*F4)/SUM(B4:F4)</f>
        <v>0.04168742069138245</v>
      </c>
    </row>
    <row r="133" spans="1:9" ht="12.75">
      <c r="A133" s="167" t="s">
        <v>183</v>
      </c>
      <c r="B133" s="167">
        <f>B93*10000/B62</f>
        <v>0.03980364823853384</v>
      </c>
      <c r="C133" s="167">
        <f>C93*10000/C62</f>
        <v>0.0361785285011394</v>
      </c>
      <c r="D133" s="167">
        <f>D93*10000/D62</f>
        <v>0.03521200351466537</v>
      </c>
      <c r="E133" s="167">
        <f>E93*10000/E62</f>
        <v>0.030408238207369397</v>
      </c>
      <c r="F133" s="167">
        <f>F93*10000/F62</f>
        <v>0.016333611525893604</v>
      </c>
      <c r="G133" s="167">
        <f>AVERAGE(C133:E133)</f>
        <v>0.033932923407724726</v>
      </c>
      <c r="H133" s="167">
        <f>STDEV(C133:E133)</f>
        <v>0.0030904849067051004</v>
      </c>
      <c r="I133" s="167">
        <f>(B133*B4+C133*C4+D133*D4+E133*E4+F133*F4)/SUM(B4:F4)</f>
        <v>0.03242894137634574</v>
      </c>
    </row>
    <row r="134" spans="1:9" ht="12.75">
      <c r="A134" s="167" t="s">
        <v>184</v>
      </c>
      <c r="B134" s="167">
        <f>B94*10000/B62</f>
        <v>-0.00970733779375158</v>
      </c>
      <c r="C134" s="167">
        <f>C94*10000/C62</f>
        <v>0.007270062494499848</v>
      </c>
      <c r="D134" s="167">
        <f>D94*10000/D62</f>
        <v>0.01249353345958767</v>
      </c>
      <c r="E134" s="167">
        <f>E94*10000/E62</f>
        <v>0.013104041964632988</v>
      </c>
      <c r="F134" s="167">
        <f>F94*10000/F62</f>
        <v>-0.023658836699494496</v>
      </c>
      <c r="G134" s="167">
        <f>AVERAGE(C134:E134)</f>
        <v>0.010955879306240169</v>
      </c>
      <c r="H134" s="167">
        <f>STDEV(C134:E134)</f>
        <v>0.0032065736130586246</v>
      </c>
      <c r="I134" s="167">
        <f>(B134*B4+C134*C4+D134*D4+E134*E4+F134*F4)/SUM(B4:F4)</f>
        <v>0.0033421119718688853</v>
      </c>
    </row>
    <row r="135" spans="1:9" ht="12.75">
      <c r="A135" s="167" t="s">
        <v>185</v>
      </c>
      <c r="B135" s="167">
        <f>B95*10000/B62</f>
        <v>0.0018231779641305283</v>
      </c>
      <c r="C135" s="167">
        <f>C95*10000/C62</f>
        <v>-0.0018344325624859124</v>
      </c>
      <c r="D135" s="167">
        <f>D95*10000/D62</f>
        <v>-0.0015699420286756438</v>
      </c>
      <c r="E135" s="167">
        <f>E95*10000/E62</f>
        <v>0.0031712746616263145</v>
      </c>
      <c r="F135" s="167">
        <f>F95*10000/F62</f>
        <v>0.006519241525040718</v>
      </c>
      <c r="G135" s="167">
        <f>AVERAGE(C135:E135)</f>
        <v>-7.769997651174727E-05</v>
      </c>
      <c r="H135" s="167">
        <f>STDEV(C135:E135)</f>
        <v>0.0028168006603356</v>
      </c>
      <c r="I135" s="167">
        <f>(B135*B4+C135*C4+D135*D4+E135*E4+F135*F4)/SUM(B4:F4)</f>
        <v>0.0010787656233618979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DAPNIA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Nice user</dc:creator>
  <cp:keywords/>
  <dc:description/>
  <cp:lastModifiedBy>hagen</cp:lastModifiedBy>
  <cp:lastPrinted>2003-11-03T13:41:04Z</cp:lastPrinted>
  <dcterms:created xsi:type="dcterms:W3CDTF">1999-06-17T15:15:05Z</dcterms:created>
  <dcterms:modified xsi:type="dcterms:W3CDTF">2005-10-05T09:12:54Z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-189458420</vt:i4>
  </property>
  <property fmtid="{D5CDD505-2E9C-101B-9397-08002B2CF9AE}" pid="3" name="_EmailSubject">
    <vt:lpwstr>WFM result of apertures  121: agreement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  <property fmtid="{D5CDD505-2E9C-101B-9397-08002B2CF9AE}" pid="6" name="_PreviousAdHocReviewCycleID">
    <vt:i4>1421584721</vt:i4>
  </property>
  <property fmtid="{D5CDD505-2E9C-101B-9397-08002B2CF9AE}" pid="7" name="_ReviewingToolsShownOnce">
    <vt:lpwstr/>
  </property>
</Properties>
</file>