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25_pos1ap2" sheetId="2" r:id="rId2"/>
    <sheet name="HCMQAP125_pos2ap2" sheetId="3" r:id="rId3"/>
    <sheet name="HCMQAP125_pos3ap2" sheetId="4" r:id="rId4"/>
    <sheet name="HCMQAP125_pos4ap2" sheetId="5" r:id="rId5"/>
    <sheet name="HCMQAP125_pos5ap2" sheetId="6" r:id="rId6"/>
    <sheet name="Lmag_hcmqap" sheetId="7" r:id="rId7"/>
    <sheet name="Result_HCMQAP" sheetId="8" r:id="rId8"/>
  </sheets>
  <definedNames>
    <definedName name="_xlnm.Print_Area" localSheetId="1">'HCMQAP125_pos1ap2'!$A$1:$N$28</definedName>
    <definedName name="_xlnm.Print_Area" localSheetId="2">'HCMQAP125_pos2ap2'!$A$1:$N$28</definedName>
    <definedName name="_xlnm.Print_Area" localSheetId="3">'HCMQAP125_pos3ap2'!$A$1:$N$28</definedName>
    <definedName name="_xlnm.Print_Area" localSheetId="4">'HCMQAP125_pos4ap2'!$A$1:$N$28</definedName>
    <definedName name="_xlnm.Print_Area" localSheetId="5">'HCMQAP125_pos5ap2'!$A$1:$N$28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<sst xmlns="http://schemas.openxmlformats.org/spreadsheetml/2006/main" count="505" uniqueCount="189">
  <si>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</si>
  <si>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</si>
  <si>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</si>
  <si>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</si>
  <si>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</si>
  <si>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</si>
  <si>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</si>
  <si>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</si>
  <si>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</si>
  <si>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</si>
  <si>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</si>
  <si>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</si>
  <si>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</si>
  <si>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</si>
  <si>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</si>
  <si>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</si>
  <si>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</si>
  <si>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</si>
  <si>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</si>
  <si>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</si>
  <si>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</si>
  <si>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</si>
  <si>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</si>
  <si>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</si>
  <si>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</si>
  <si>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</si>
  <si>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</si>
  <si>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</si>
  <si>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</si>
  <si>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</si>
  <si>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</si>
  <si>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</si>
  <si>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</si>
  <si>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</si>
  <si>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</si>
  <si>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</si>
  <si>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</si>
  <si>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</si>
  <si>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</si>
  <si>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</si>
  <si>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</si>
  <si>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</si>
  <si>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</si>
  <si>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</si>
  <si>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</si>
  <si>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</si>
  <si>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</si>
  <si>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</si>
  <si>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</si>
  <si>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</si>
  <si>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</si>
  <si>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</si>
  <si>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</si>
  <si>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</si>
  <si>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</si>
  <si>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</si>
  <si>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</si>
  <si>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</si>
  <si>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</si>
  <si>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</si>
  <si>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</si>
  <si>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</si>
  <si>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</si>
  <si>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</si>
  <si>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</si>
  <si>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</si>
  <si>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</si>
  <si>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</si>
  <si>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HCMQAP125_pos1ap2</t>
  </si>
  <si>
    <t>±12.5</t>
  </si>
  <si>
    <t>THCMQAP125_pos1ap2.xls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</si>
  <si>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</si>
  <si>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HCMQAP125_pos2ap2</t>
  </si>
  <si>
    <t>THCMQAP125_pos2ap2.xls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</si>
  <si>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-3.749 mT)</t>
    </r>
  </si>
  <si>
    <t>HCMQAP125_pos3ap2</t>
  </si>
  <si>
    <t>THCMQAP125_pos3ap2.xls</t>
  </si>
  <si>
    <t>HCMQAP125_pos4ap2</t>
  </si>
  <si>
    <t>THCMQAP125_pos4ap2.xls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</si>
  <si>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-2.082 mT)</t>
    </r>
  </si>
  <si>
    <t>HCMQAP125_pos5ap2</t>
  </si>
  <si>
    <t>THCMQAP125_pos5ap2.xls</t>
  </si>
  <si>
    <t>Sommaire : Valeurs intégrales calculées avec les fichiers: HCMQAP125_pos1ap2+HCMQAP125_pos2ap2+HCMQAP125_pos3ap2+HCMQAP125_pos4ap2+HCMQAP125_pos5ap2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</si>
  <si>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</si>
  <si>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</si>
  <si>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</si>
  <si>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</si>
  <si>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</si>
  <si>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</si>
  <si>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</si>
  <si>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</si>
  <si>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</si>
  <si>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</si>
  <si>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</si>
  <si>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</si>
  <si>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</si>
  <si>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</si>
  <si>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</si>
  <si>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</si>
  <si>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</si>
  <si>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</si>
  <si>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</si>
  <si>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</si>
  <si>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</si>
  <si>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</si>
  <si>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</si>
  <si>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</si>
  <si>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</si>
  <si>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</si>
  <si>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</si>
  <si>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</si>
  <si>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</si>
  <si>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</si>
  <si>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</si>
  <si>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</si>
  <si>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</si>
  <si>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</si>
  <si>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</si>
  <si>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</si>
  <si>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</si>
  <si>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</si>
  <si>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</si>
  <si>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</si>
  <si>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</si>
  <si>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</si>
  <si>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</si>
  <si>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=-3.751</t>
    </r>
  </si>
  <si>
    <t>Gradient (T/m)</t>
  </si>
  <si>
    <t xml:space="preserve"> Mon 03/11/2003       15:51:43</t>
  </si>
  <si>
    <t>SIEGMUND</t>
  </si>
  <si>
    <t>HCMQAP125</t>
  </si>
  <si>
    <t>Aperture2</t>
  </si>
  <si>
    <t>Position</t>
  </si>
  <si>
    <t>Integrales</t>
  </si>
  <si>
    <t>Cn (mT)</t>
  </si>
  <si>
    <t>Angle(Horiz,Cn)</t>
  </si>
  <si>
    <t>b1</t>
  </si>
  <si>
    <t>b2</t>
  </si>
  <si>
    <t>b3*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</si>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</sst>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659032"/>
        <c:crosses val="autoZero"/>
        <c:auto val="1"/>
        <c:lblOffset val="100"/>
        <c:noMultiLvlLbl val="0"/>
      </c:catAx>
      <c:valAx>
        <c:axId val="2665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4186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37691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2540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37691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2540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37691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2540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37691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2540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37691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2540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B5" sqref="B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3.86847191E-05</v>
      </c>
      <c r="L2" s="55">
        <v>9.56926622601646E-08</v>
      </c>
      <c r="M2" s="55">
        <v>5.8407644E-05</v>
      </c>
      <c r="N2" s="56">
        <v>3.3383502233022466E-07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-3.25057829E-05</v>
      </c>
      <c r="L3" s="55">
        <v>5.956872448533311E-08</v>
      </c>
      <c r="M3" s="55">
        <v>1.3460383999999999E-05</v>
      </c>
      <c r="N3" s="56">
        <v>7.809415620905446E-08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-0.0022556112775663855</v>
      </c>
      <c r="L4" s="55">
        <v>1.2659023089412518E-05</v>
      </c>
      <c r="M4" s="55">
        <v>5.749225563813763E-08</v>
      </c>
      <c r="N4" s="56">
        <v>-2.8060886</v>
      </c>
    </row>
    <row r="5" spans="1:14" ht="15" customHeight="1" thickBot="1">
      <c r="A5" t="s">
        <v>18</v>
      </c>
      <c r="B5" s="59">
        <v>37928.639548611114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2540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1.1721662000000002</v>
      </c>
      <c r="E8" s="78">
        <v>0.02596058221919515</v>
      </c>
      <c r="F8" s="78">
        <v>1.6934597</v>
      </c>
      <c r="G8" s="78">
        <v>0.034010763170799846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1.4751832999999999</v>
      </c>
      <c r="E9" s="80">
        <v>0.013372316080644587</v>
      </c>
      <c r="F9" s="84">
        <v>4.7729686</v>
      </c>
      <c r="G9" s="80">
        <v>0.028149057283403715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-0.38754930299999996</v>
      </c>
      <c r="E10" s="80">
        <v>0.010816032832387436</v>
      </c>
      <c r="F10" s="80">
        <v>0.93040326</v>
      </c>
      <c r="G10" s="80">
        <v>0.017053331465183397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3.8806939</v>
      </c>
      <c r="E11" s="78">
        <v>0.00656782077553387</v>
      </c>
      <c r="F11" s="78">
        <v>0.21794471999999998</v>
      </c>
      <c r="G11" s="78">
        <v>0.010832204280505514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-0.10858550500000001</v>
      </c>
      <c r="E12" s="80">
        <v>0.006430557884170395</v>
      </c>
      <c r="F12" s="80">
        <v>0.25925147000000004</v>
      </c>
      <c r="G12" s="80">
        <v>0.0096781603685597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20.608521</v>
      </c>
      <c r="D13" s="83">
        <v>-0.040652415</v>
      </c>
      <c r="E13" s="80">
        <v>0.006350476913568785</v>
      </c>
      <c r="F13" s="84">
        <v>0.5129832999999999</v>
      </c>
      <c r="G13" s="80">
        <v>0.008278300633159154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-0.002875118999999998</v>
      </c>
      <c r="E14" s="80">
        <v>0.0032827247891841307</v>
      </c>
      <c r="F14" s="80">
        <v>0.041944892</v>
      </c>
      <c r="G14" s="80">
        <v>0.007752807615982513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-0.36157725999999996</v>
      </c>
      <c r="E15" s="78">
        <v>0.0028135385439737428</v>
      </c>
      <c r="F15" s="78">
        <v>0.054444834</v>
      </c>
      <c r="G15" s="78">
        <v>0.005473276956691832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-0.037855282000000004</v>
      </c>
      <c r="E16" s="80">
        <v>0.0027423457129665207</v>
      </c>
      <c r="F16" s="80">
        <v>0.022345406800000002</v>
      </c>
      <c r="G16" s="80">
        <v>0.0029595719109002548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-0.39100000262260437</v>
      </c>
      <c r="D17" s="83">
        <v>-0.007773811700000001</v>
      </c>
      <c r="E17" s="80">
        <v>0.003194819887033154</v>
      </c>
      <c r="F17" s="80">
        <v>0.039755413600000004</v>
      </c>
      <c r="G17" s="80">
        <v>0.005467791287409232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11.697999954223633</v>
      </c>
      <c r="D18" s="83">
        <v>0.039073881</v>
      </c>
      <c r="E18" s="80">
        <v>0.0010984524652091212</v>
      </c>
      <c r="F18" s="80">
        <v>0.052123756</v>
      </c>
      <c r="G18" s="80">
        <v>0.0017726399536325402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-0.4020000100135803</v>
      </c>
      <c r="D19" s="87">
        <v>-0.19043697999999998</v>
      </c>
      <c r="E19" s="80">
        <v>0.0016215373864358667</v>
      </c>
      <c r="F19" s="80">
        <v>0.016160797</v>
      </c>
      <c r="G19" s="80">
        <v>0.0015482549714455902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0.2940203</v>
      </c>
      <c r="D20" s="89">
        <v>-0.0004628441700000001</v>
      </c>
      <c r="E20" s="90">
        <v>0.001850706617757792</v>
      </c>
      <c r="F20" s="90">
        <v>-0.00083654185</v>
      </c>
      <c r="G20" s="90">
        <v>0.001213023471864103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0.4385562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-0.16077716952243926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-2.2556468</v>
      </c>
      <c r="I25" s="102" t="s">
        <v>49</v>
      </c>
      <c r="J25" s="103"/>
      <c r="K25" s="102"/>
      <c r="L25" s="105">
        <v>3.886809108571334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2.059558048695528</v>
      </c>
      <c r="I26" s="107" t="s">
        <v>53</v>
      </c>
      <c r="J26" s="108"/>
      <c r="K26" s="107"/>
      <c r="L26" s="110">
        <v>0.3656533261142241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B12" sqref="B12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6.908022899999999E-05</v>
      </c>
      <c r="L2" s="55">
        <v>1.658003012493487E-07</v>
      </c>
      <c r="M2" s="55">
        <v>4.4940431E-05</v>
      </c>
      <c r="N2" s="56">
        <v>1.1075172149643721E-07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-2.9965492999999997E-05</v>
      </c>
      <c r="L3" s="55">
        <v>1.1966233979845565E-07</v>
      </c>
      <c r="M3" s="55">
        <v>1.2108802999999998E-05</v>
      </c>
      <c r="N3" s="56">
        <v>4.349468250300342E-08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-0.0037509603715777523</v>
      </c>
      <c r="L4" s="55">
        <v>-9.617016095419764E-06</v>
      </c>
      <c r="M4" s="55">
        <v>2.3766797391478053E-08</v>
      </c>
      <c r="N4" s="56">
        <v>1.2819377</v>
      </c>
    </row>
    <row r="5" spans="1:14" ht="15" customHeight="1" thickBot="1">
      <c r="A5" t="s">
        <v>18</v>
      </c>
      <c r="B5" s="59">
        <v>37928.64402777778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2540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4.0569407</v>
      </c>
      <c r="E8" s="78">
        <v>0.010192286949373627</v>
      </c>
      <c r="F8" s="78">
        <v>-0.62749235</v>
      </c>
      <c r="G8" s="78">
        <v>0.013752600990027175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1.03177326</v>
      </c>
      <c r="E9" s="80">
        <v>0.013368973943554692</v>
      </c>
      <c r="F9" s="80">
        <v>1.8392664</v>
      </c>
      <c r="G9" s="80">
        <v>0.008585098947608541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-1.4089829</v>
      </c>
      <c r="E10" s="80">
        <v>0.005981228547709578</v>
      </c>
      <c r="F10" s="80">
        <v>-0.31807539</v>
      </c>
      <c r="G10" s="80">
        <v>0.008004457437291019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3.2293075</v>
      </c>
      <c r="E11" s="78">
        <v>0.004549161713817552</v>
      </c>
      <c r="F11" s="78">
        <v>0.29444289</v>
      </c>
      <c r="G11" s="78">
        <v>0.003988164919031933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-0.23139816</v>
      </c>
      <c r="E12" s="80">
        <v>0.003802316911752706</v>
      </c>
      <c r="F12" s="80">
        <v>0.09220663600000001</v>
      </c>
      <c r="G12" s="80">
        <v>0.0010740831556551751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20.687867</v>
      </c>
      <c r="D13" s="83">
        <v>0.133430652</v>
      </c>
      <c r="E13" s="80">
        <v>0.0023824035241668032</v>
      </c>
      <c r="F13" s="80">
        <v>0.10912302</v>
      </c>
      <c r="G13" s="80">
        <v>0.0034870764102034285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-0.0082303683</v>
      </c>
      <c r="E14" s="80">
        <v>0.002653704156135355</v>
      </c>
      <c r="F14" s="80">
        <v>0.039448037000000005</v>
      </c>
      <c r="G14" s="80">
        <v>0.0034859718905315444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-0.080639476</v>
      </c>
      <c r="E15" s="78">
        <v>0.001519648705646688</v>
      </c>
      <c r="F15" s="78">
        <v>0.13947718</v>
      </c>
      <c r="G15" s="78">
        <v>0.0035445329832856677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-0.050270125</v>
      </c>
      <c r="E16" s="80">
        <v>0.00245254158586963</v>
      </c>
      <c r="F16" s="80">
        <v>0.026535617</v>
      </c>
      <c r="G16" s="80">
        <v>0.001535710756599713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0.2879999876022339</v>
      </c>
      <c r="D17" s="83">
        <v>-0.0138178623</v>
      </c>
      <c r="E17" s="80">
        <v>0.0016321123576538853</v>
      </c>
      <c r="F17" s="80">
        <v>-0.010638501</v>
      </c>
      <c r="G17" s="80">
        <v>0.0016635593622994084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0.039419877000000006</v>
      </c>
      <c r="E18" s="80">
        <v>0.0004123445071610866</v>
      </c>
      <c r="F18" s="80">
        <v>0.024708340000000002</v>
      </c>
      <c r="G18" s="80">
        <v>0.0012668671837370862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0.23999999463558197</v>
      </c>
      <c r="D19" s="87">
        <v>-0.16694971</v>
      </c>
      <c r="E19" s="80">
        <v>0.0008315375995067659</v>
      </c>
      <c r="F19" s="80">
        <v>0.028721972000000002</v>
      </c>
      <c r="G19" s="80">
        <v>0.0005259090235636756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0.31255810000000006</v>
      </c>
      <c r="D20" s="89">
        <v>0.00311118673</v>
      </c>
      <c r="E20" s="90">
        <v>0.0007016035355801951</v>
      </c>
      <c r="F20" s="90">
        <v>3.2038550000000005E-05</v>
      </c>
      <c r="G20" s="90">
        <v>0.0008238562315422576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0.2044794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0.07344968184900003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-3.7509726999999997</v>
      </c>
      <c r="I25" s="102" t="s">
        <v>49</v>
      </c>
      <c r="J25" s="103"/>
      <c r="K25" s="102"/>
      <c r="L25" s="105">
        <v>3.242703123171747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4.105181420184133</v>
      </c>
      <c r="I26" s="107" t="s">
        <v>53</v>
      </c>
      <c r="J26" s="108"/>
      <c r="K26" s="107"/>
      <c r="L26" s="110">
        <v>0.16111054847621548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2">
      <selection activeCell="B16" sqref="B16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6.2859417E-05</v>
      </c>
      <c r="L2" s="55">
        <v>8.273889410023745E-08</v>
      </c>
      <c r="M2" s="55">
        <v>1.95378981E-05</v>
      </c>
      <c r="N2" s="56">
        <v>2.315980844165222E-07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-2.8890253E-05</v>
      </c>
      <c r="L3" s="55">
        <v>9.196387614770374E-08</v>
      </c>
      <c r="M3" s="55">
        <v>1.03962759E-05</v>
      </c>
      <c r="N3" s="56">
        <v>1.620463263831093E-07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-0.0037493197524722808</v>
      </c>
      <c r="L4" s="55">
        <v>-3.515905798445614E-05</v>
      </c>
      <c r="M4" s="55">
        <v>4.501492533276689E-08</v>
      </c>
      <c r="N4" s="56">
        <v>4.6885875</v>
      </c>
    </row>
    <row r="5" spans="1:14" ht="15" customHeight="1" thickBot="1">
      <c r="A5" t="s">
        <v>18</v>
      </c>
      <c r="B5" s="59">
        <v>37928.64847222222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2540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3.4929474</v>
      </c>
      <c r="E8" s="78">
        <v>0.010124836055011594</v>
      </c>
      <c r="F8" s="78">
        <v>0.60673</v>
      </c>
      <c r="G8" s="78">
        <v>0.00916641640173737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0.8160026799999999</v>
      </c>
      <c r="E9" s="80">
        <v>0.01054555870917425</v>
      </c>
      <c r="F9" s="80">
        <v>1.35870074</v>
      </c>
      <c r="G9" s="80">
        <v>0.017055501034236403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-1.2315844</v>
      </c>
      <c r="E10" s="80">
        <v>0.005381266295199212</v>
      </c>
      <c r="F10" s="80">
        <v>0.211059838</v>
      </c>
      <c r="G10" s="80">
        <v>0.011865733545897154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3.714962</v>
      </c>
      <c r="E11" s="78">
        <v>0.00679655494355537</v>
      </c>
      <c r="F11" s="78">
        <v>-0.36248061000000004</v>
      </c>
      <c r="G11" s="78">
        <v>0.006610161001925272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-0.041865687</v>
      </c>
      <c r="E12" s="80">
        <v>0.006671400265651598</v>
      </c>
      <c r="F12" s="80">
        <v>-0.32047037000000006</v>
      </c>
      <c r="G12" s="80">
        <v>0.007147170146468793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20.785523</v>
      </c>
      <c r="D13" s="83">
        <v>-0.0281266558</v>
      </c>
      <c r="E13" s="80">
        <v>0.003700402109652478</v>
      </c>
      <c r="F13" s="80">
        <v>0.03740752</v>
      </c>
      <c r="G13" s="80">
        <v>0.0035367329902891856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0.07049230400000002</v>
      </c>
      <c r="E14" s="80">
        <v>0.0022233309692242316</v>
      </c>
      <c r="F14" s="80">
        <v>0.070382503</v>
      </c>
      <c r="G14" s="80">
        <v>0.0011204414470404073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-0.026755140730000005</v>
      </c>
      <c r="E15" s="78">
        <v>0.0007564974492552521</v>
      </c>
      <c r="F15" s="78">
        <v>0.03701447</v>
      </c>
      <c r="G15" s="78">
        <v>0.0026493306304763687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-0.051029335999999995</v>
      </c>
      <c r="E16" s="80">
        <v>0.0007833772900808332</v>
      </c>
      <c r="F16" s="80">
        <v>0.0108390365</v>
      </c>
      <c r="G16" s="80">
        <v>0.002591753797566451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-0.2240000069141388</v>
      </c>
      <c r="D17" s="83">
        <v>-0.0040715907400000004</v>
      </c>
      <c r="E17" s="80">
        <v>0.001658071351311175</v>
      </c>
      <c r="F17" s="80">
        <v>-0.008494553</v>
      </c>
      <c r="G17" s="80">
        <v>0.0010465929382840347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34.077999114990234</v>
      </c>
      <c r="D18" s="83">
        <v>0.03415394200000001</v>
      </c>
      <c r="E18" s="80">
        <v>0.0007839836781183078</v>
      </c>
      <c r="F18" s="80">
        <v>0.00305382075</v>
      </c>
      <c r="G18" s="80">
        <v>0.0011886580524908136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-0.2759999930858612</v>
      </c>
      <c r="D19" s="87">
        <v>-0.17896548</v>
      </c>
      <c r="E19" s="80">
        <v>0.0007914814031884681</v>
      </c>
      <c r="F19" s="80">
        <v>0.014451984000000001</v>
      </c>
      <c r="G19" s="80">
        <v>0.0009260761564007445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0.2841574</v>
      </c>
      <c r="D20" s="89">
        <v>-0.001385222694</v>
      </c>
      <c r="E20" s="90">
        <v>0.0006799427662391415</v>
      </c>
      <c r="F20" s="90">
        <v>0.0051071046</v>
      </c>
      <c r="G20" s="90">
        <v>0.0009216745432513293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0.0912562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0.2686365025353404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-3.7494845999999997</v>
      </c>
      <c r="I25" s="102" t="s">
        <v>49</v>
      </c>
      <c r="J25" s="103"/>
      <c r="K25" s="102"/>
      <c r="L25" s="105">
        <v>3.732604299154944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3.5452507431868283</v>
      </c>
      <c r="I26" s="107" t="s">
        <v>53</v>
      </c>
      <c r="J26" s="108"/>
      <c r="K26" s="107"/>
      <c r="L26" s="110">
        <v>0.04567174777543559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B27" sqref="B27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5.072046E-05</v>
      </c>
      <c r="L2" s="55">
        <v>1.453632688449317E-07</v>
      </c>
      <c r="M2" s="55">
        <v>6.5907361E-05</v>
      </c>
      <c r="N2" s="56">
        <v>1.4978765457785202E-07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-2.9765523999999997E-05</v>
      </c>
      <c r="L3" s="55">
        <v>1.2545804332191038E-07</v>
      </c>
      <c r="M3" s="55">
        <v>1.0113039E-05</v>
      </c>
      <c r="N3" s="56">
        <v>1.703199592062739E-07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-0.0037506899624738404</v>
      </c>
      <c r="L4" s="55">
        <v>-5.277955812309132E-05</v>
      </c>
      <c r="M4" s="55">
        <v>4.1485690648746464E-08</v>
      </c>
      <c r="N4" s="56">
        <v>7.0355155</v>
      </c>
    </row>
    <row r="5" spans="1:14" ht="15" customHeight="1" thickBot="1">
      <c r="A5" t="s">
        <v>18</v>
      </c>
      <c r="B5" s="59">
        <v>37928.65295138889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2540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3.3201532</v>
      </c>
      <c r="E8" s="78">
        <v>0.005149057055291582</v>
      </c>
      <c r="F8" s="78">
        <v>-0.0185018684</v>
      </c>
      <c r="G8" s="78">
        <v>0.016771723370965663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0.5781223799999999</v>
      </c>
      <c r="E9" s="80">
        <v>0.011591467578553552</v>
      </c>
      <c r="F9" s="84">
        <v>3.1123477999999998</v>
      </c>
      <c r="G9" s="80">
        <v>0.01078578615866887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-0.94251997</v>
      </c>
      <c r="E10" s="80">
        <v>0.0038964037889490876</v>
      </c>
      <c r="F10" s="80">
        <v>-0.14203260499999998</v>
      </c>
      <c r="G10" s="80">
        <v>0.0027696595589640793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3.1816041</v>
      </c>
      <c r="E11" s="78">
        <v>0.005721539735162555</v>
      </c>
      <c r="F11" s="78">
        <v>0.46989777000000005</v>
      </c>
      <c r="G11" s="78">
        <v>0.0052061157213970696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-0.05105823899999999</v>
      </c>
      <c r="E12" s="80">
        <v>0.003831049746288098</v>
      </c>
      <c r="F12" s="80">
        <v>0.003551863999999999</v>
      </c>
      <c r="G12" s="80">
        <v>0.004789299408056883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20.904542</v>
      </c>
      <c r="D13" s="83">
        <v>0.0449786201</v>
      </c>
      <c r="E13" s="80">
        <v>0.002387114028615655</v>
      </c>
      <c r="F13" s="80">
        <v>0.19396971600000001</v>
      </c>
      <c r="G13" s="80">
        <v>0.0032388752437008043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0.057621075</v>
      </c>
      <c r="E14" s="80">
        <v>0.0017290592486492661</v>
      </c>
      <c r="F14" s="80">
        <v>0.01837702588</v>
      </c>
      <c r="G14" s="80">
        <v>0.004737151728849763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-0.042106067000000004</v>
      </c>
      <c r="E15" s="78">
        <v>0.00221264671674571</v>
      </c>
      <c r="F15" s="78">
        <v>0.11508155</v>
      </c>
      <c r="G15" s="78">
        <v>0.0011891624308735488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-0.048330353000000006</v>
      </c>
      <c r="E16" s="80">
        <v>0.002879107131825008</v>
      </c>
      <c r="F16" s="80">
        <v>0.024365901000000002</v>
      </c>
      <c r="G16" s="80">
        <v>0.0008851214138828635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0.3880000114440918</v>
      </c>
      <c r="D17" s="83">
        <v>-0.0006151228000000001</v>
      </c>
      <c r="E17" s="80">
        <v>0.0005189862370819289</v>
      </c>
      <c r="F17" s="80">
        <v>0.017303939</v>
      </c>
      <c r="G17" s="80">
        <v>0.002042258543915042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0.034043618000000005</v>
      </c>
      <c r="E18" s="80">
        <v>0.0006899281537854342</v>
      </c>
      <c r="F18" s="80">
        <v>0.030643418</v>
      </c>
      <c r="G18" s="80">
        <v>0.0013437222440057346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0.34700000286102295</v>
      </c>
      <c r="D19" s="87">
        <v>-0.1747837</v>
      </c>
      <c r="E19" s="80">
        <v>0.0004859877570541008</v>
      </c>
      <c r="F19" s="80">
        <v>0.024559648</v>
      </c>
      <c r="G19" s="80">
        <v>0.000703514806387187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0.22563649999999996</v>
      </c>
      <c r="D20" s="89">
        <v>-0.00035433179999999994</v>
      </c>
      <c r="E20" s="90">
        <v>0.0005688200096867726</v>
      </c>
      <c r="F20" s="90">
        <v>-0.00028830291999999995</v>
      </c>
      <c r="G20" s="90">
        <v>0.0008402384875105701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0.3019016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0.4031056853376793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-3.7510612999999995</v>
      </c>
      <c r="I25" s="102" t="s">
        <v>49</v>
      </c>
      <c r="J25" s="103"/>
      <c r="K25" s="102"/>
      <c r="L25" s="105">
        <v>3.2161170008859727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3.3202047513074446</v>
      </c>
      <c r="I26" s="107" t="s">
        <v>53</v>
      </c>
      <c r="J26" s="108"/>
      <c r="K26" s="107"/>
      <c r="L26" s="110">
        <v>0.1225425804714875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2.8153505199999998E-05</v>
      </c>
      <c r="L2" s="55">
        <v>8.095324115192523E-08</v>
      </c>
      <c r="M2" s="55">
        <v>5.3189286999999993E-05</v>
      </c>
      <c r="N2" s="56">
        <v>8.356350570829023E-08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-3.23917628E-05</v>
      </c>
      <c r="L3" s="55">
        <v>4.328193997574092E-08</v>
      </c>
      <c r="M3" s="55">
        <v>1.0187757E-05</v>
      </c>
      <c r="N3" s="56">
        <v>7.341998805511605E-08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-0.002081131407488088</v>
      </c>
      <c r="L4" s="55">
        <v>-4.664608036544442E-05</v>
      </c>
      <c r="M4" s="55">
        <v>3.049162412168319E-08</v>
      </c>
      <c r="N4" s="56">
        <v>11.205027999999999</v>
      </c>
    </row>
    <row r="5" spans="1:14" ht="15" customHeight="1" thickBot="1">
      <c r="A5" t="s">
        <v>18</v>
      </c>
      <c r="B5" s="59">
        <v>37928.65741898148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2540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0.31802544</v>
      </c>
      <c r="E8" s="78">
        <v>0.01703863415075901</v>
      </c>
      <c r="F8" s="115">
        <v>8.6973494</v>
      </c>
      <c r="G8" s="78">
        <v>0.011162349073411352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-1.3922338</v>
      </c>
      <c r="E9" s="80">
        <v>0.014083808425283029</v>
      </c>
      <c r="F9" s="84">
        <v>4.3670724</v>
      </c>
      <c r="G9" s="80">
        <v>0.023808387903052935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-0.55787878</v>
      </c>
      <c r="E10" s="80">
        <v>0.004054907765725621</v>
      </c>
      <c r="F10" s="80">
        <v>0.006568869999999999</v>
      </c>
      <c r="G10" s="80">
        <v>0.007675578333754404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14.504554000000002</v>
      </c>
      <c r="E11" s="78">
        <v>0.014301254280527892</v>
      </c>
      <c r="F11" s="78">
        <v>0.8096742599999999</v>
      </c>
      <c r="G11" s="78">
        <v>0.018643889151690563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-0.40965218999999997</v>
      </c>
      <c r="E12" s="80">
        <v>0.005126610957874446</v>
      </c>
      <c r="F12" s="80">
        <v>0.5763128</v>
      </c>
      <c r="G12" s="80">
        <v>0.004121746485650492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21.041871</v>
      </c>
      <c r="D13" s="83">
        <v>-0.12565427899999998</v>
      </c>
      <c r="E13" s="80">
        <v>0.00806205420789696</v>
      </c>
      <c r="F13" s="80">
        <v>0.38224209</v>
      </c>
      <c r="G13" s="80">
        <v>0.009912302102205952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0.142253239</v>
      </c>
      <c r="E14" s="80">
        <v>0.007575770829980706</v>
      </c>
      <c r="F14" s="80">
        <v>0.05432670590000001</v>
      </c>
      <c r="G14" s="80">
        <v>0.006869038095584813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-0.35047294</v>
      </c>
      <c r="E15" s="78">
        <v>0.0016076196709404421</v>
      </c>
      <c r="F15" s="78">
        <v>0.19750579</v>
      </c>
      <c r="G15" s="78">
        <v>0.007209755326805697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-0.056232581999999996</v>
      </c>
      <c r="E16" s="80">
        <v>0.003273715844777383</v>
      </c>
      <c r="F16" s="80">
        <v>0.03893078</v>
      </c>
      <c r="G16" s="80">
        <v>0.001127704762036639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-0.32499998807907104</v>
      </c>
      <c r="D17" s="83">
        <v>-0.0004987516000000001</v>
      </c>
      <c r="E17" s="80">
        <v>0.0014651397505000472</v>
      </c>
      <c r="F17" s="80">
        <v>0.020517633</v>
      </c>
      <c r="G17" s="80">
        <v>0.0013880081114373847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25.940000534057617</v>
      </c>
      <c r="D18" s="83">
        <v>-0.0021218462</v>
      </c>
      <c r="E18" s="80">
        <v>0.0024235392148618438</v>
      </c>
      <c r="F18" s="80">
        <v>0.033358153999999994</v>
      </c>
      <c r="G18" s="80">
        <v>0.002156398915368918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-0.36800000071525574</v>
      </c>
      <c r="D19" s="83">
        <v>-0.13969126</v>
      </c>
      <c r="E19" s="80">
        <v>0.0017116128824583696</v>
      </c>
      <c r="F19" s="80">
        <v>-0.024287393</v>
      </c>
      <c r="G19" s="80">
        <v>0.0031345433913069257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0.2201013</v>
      </c>
      <c r="D20" s="89">
        <v>-0.00120316133</v>
      </c>
      <c r="E20" s="90">
        <v>0.0009080047880057383</v>
      </c>
      <c r="F20" s="90">
        <v>0.007745758700000001</v>
      </c>
      <c r="G20" s="90">
        <v>0.002181543213526459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0.4394095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0.6420013560012604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-2.0816541</v>
      </c>
      <c r="I25" s="102" t="s">
        <v>49</v>
      </c>
      <c r="J25" s="103"/>
      <c r="K25" s="102"/>
      <c r="L25" s="105">
        <v>14.527135269770934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8.703161883256428</v>
      </c>
      <c r="I26" s="107" t="s">
        <v>53</v>
      </c>
      <c r="J26" s="108"/>
      <c r="K26" s="107"/>
      <c r="L26" s="110">
        <v>0.40229319998698426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12" sqref="B1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-2.2556468</v>
      </c>
      <c r="C2" s="123">
        <v>-3.7509726999999997</v>
      </c>
      <c r="D2" s="123">
        <v>-3.7494845999999997</v>
      </c>
      <c r="E2" s="123">
        <v>-3.7510612999999995</v>
      </c>
      <c r="F2" s="129">
        <v>-2.0816541</v>
      </c>
      <c r="G2" s="164">
        <v>3.116927454499342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1.1721662000000002</v>
      </c>
      <c r="C4" s="147">
        <v>4.0569407</v>
      </c>
      <c r="D4" s="147">
        <v>3.4929474</v>
      </c>
      <c r="E4" s="147">
        <v>3.3201532</v>
      </c>
      <c r="F4" s="152">
        <v>0.31802544</v>
      </c>
      <c r="G4" s="159">
        <v>2.827304298051469</v>
      </c>
    </row>
    <row r="5" spans="1:7" ht="12.75">
      <c r="A5" s="140" t="s">
        <v>92</v>
      </c>
      <c r="B5" s="134">
        <v>1.4751832999999999</v>
      </c>
      <c r="C5" s="119">
        <v>1.03177326</v>
      </c>
      <c r="D5" s="119">
        <v>0.8160026799999999</v>
      </c>
      <c r="E5" s="119">
        <v>0.5781223799999999</v>
      </c>
      <c r="F5" s="153">
        <v>-1.3922338</v>
      </c>
      <c r="G5" s="160">
        <v>0.6111853813869922</v>
      </c>
    </row>
    <row r="6" spans="1:7" ht="12.75">
      <c r="A6" s="140" t="s">
        <v>94</v>
      </c>
      <c r="B6" s="134">
        <v>-0.38754930299999996</v>
      </c>
      <c r="C6" s="119">
        <v>-1.4089829</v>
      </c>
      <c r="D6" s="119">
        <v>-1.2315844</v>
      </c>
      <c r="E6" s="119">
        <v>-0.94251997</v>
      </c>
      <c r="F6" s="153">
        <v>-0.55787878</v>
      </c>
      <c r="G6" s="160">
        <v>-0.9926215588586043</v>
      </c>
    </row>
    <row r="7" spans="1:7" ht="12.75">
      <c r="A7" s="140" t="s">
        <v>96</v>
      </c>
      <c r="B7" s="133">
        <v>3.8806939</v>
      </c>
      <c r="C7" s="117">
        <v>3.2293075</v>
      </c>
      <c r="D7" s="117">
        <v>3.714962</v>
      </c>
      <c r="E7" s="117">
        <v>3.1816041</v>
      </c>
      <c r="F7" s="154">
        <v>14.504554000000002</v>
      </c>
      <c r="G7" s="160">
        <v>4.934534534350577</v>
      </c>
    </row>
    <row r="8" spans="1:7" ht="12.75">
      <c r="A8" s="140" t="s">
        <v>98</v>
      </c>
      <c r="B8" s="134">
        <v>-0.10858550500000001</v>
      </c>
      <c r="C8" s="119">
        <v>-0.23139816</v>
      </c>
      <c r="D8" s="119">
        <v>-0.041865687</v>
      </c>
      <c r="E8" s="119">
        <v>-0.05105823899999999</v>
      </c>
      <c r="F8" s="153">
        <v>-0.40965218999999997</v>
      </c>
      <c r="G8" s="160">
        <v>-0.14844935639875206</v>
      </c>
    </row>
    <row r="9" spans="1:7" ht="12.75">
      <c r="A9" s="140" t="s">
        <v>100</v>
      </c>
      <c r="B9" s="134">
        <v>-0.040652415</v>
      </c>
      <c r="C9" s="119">
        <v>0.133430652</v>
      </c>
      <c r="D9" s="119">
        <v>-0.0281266558</v>
      </c>
      <c r="E9" s="119">
        <v>0.0449786201</v>
      </c>
      <c r="F9" s="153">
        <v>-0.12565427899999998</v>
      </c>
      <c r="G9" s="160">
        <v>0.013502343557072806</v>
      </c>
    </row>
    <row r="10" spans="1:7" ht="12.75">
      <c r="A10" s="140" t="s">
        <v>102</v>
      </c>
      <c r="B10" s="134">
        <v>-0.002875118999999998</v>
      </c>
      <c r="C10" s="119">
        <v>-0.0082303683</v>
      </c>
      <c r="D10" s="119">
        <v>0.07049230400000002</v>
      </c>
      <c r="E10" s="119">
        <v>0.057621075</v>
      </c>
      <c r="F10" s="153">
        <v>0.142253239</v>
      </c>
      <c r="G10" s="160">
        <v>0.04741955548268625</v>
      </c>
    </row>
    <row r="11" spans="1:7" ht="12.75">
      <c r="A11" s="140" t="s">
        <v>104</v>
      </c>
      <c r="B11" s="133">
        <v>-0.36157725999999996</v>
      </c>
      <c r="C11" s="117">
        <v>-0.080639476</v>
      </c>
      <c r="D11" s="117">
        <v>-0.026755140730000005</v>
      </c>
      <c r="E11" s="117">
        <v>-0.042106067000000004</v>
      </c>
      <c r="F11" s="155">
        <v>-0.35047294</v>
      </c>
      <c r="G11" s="160">
        <v>-0.13508982649629128</v>
      </c>
    </row>
    <row r="12" spans="1:7" ht="12.75">
      <c r="A12" s="140" t="s">
        <v>106</v>
      </c>
      <c r="B12" s="134">
        <v>-0.037855282000000004</v>
      </c>
      <c r="C12" s="119">
        <v>-0.050270125</v>
      </c>
      <c r="D12" s="119">
        <v>-0.051029335999999995</v>
      </c>
      <c r="E12" s="119">
        <v>-0.048330353000000006</v>
      </c>
      <c r="F12" s="153">
        <v>-0.056232581999999996</v>
      </c>
      <c r="G12" s="160">
        <v>-0.048985789033912146</v>
      </c>
    </row>
    <row r="13" spans="1:7" ht="12.75">
      <c r="A13" s="140" t="s">
        <v>108</v>
      </c>
      <c r="B13" s="134">
        <v>-0.007773811700000001</v>
      </c>
      <c r="C13" s="119">
        <v>-0.0138178623</v>
      </c>
      <c r="D13" s="119">
        <v>-0.0040715907400000004</v>
      </c>
      <c r="E13" s="119">
        <v>-0.0006151228000000001</v>
      </c>
      <c r="F13" s="153">
        <v>-0.0004987516000000001</v>
      </c>
      <c r="G13" s="160">
        <v>-0.0056436188875333745</v>
      </c>
    </row>
    <row r="14" spans="1:7" ht="12.75">
      <c r="A14" s="140" t="s">
        <v>110</v>
      </c>
      <c r="B14" s="134">
        <v>0.039073881</v>
      </c>
      <c r="C14" s="119">
        <v>0.039419877000000006</v>
      </c>
      <c r="D14" s="119">
        <v>0.03415394200000001</v>
      </c>
      <c r="E14" s="119">
        <v>0.034043618000000005</v>
      </c>
      <c r="F14" s="153">
        <v>-0.0021218462</v>
      </c>
      <c r="G14" s="160">
        <v>0.03126228928456487</v>
      </c>
    </row>
    <row r="15" spans="1:7" ht="12.75">
      <c r="A15" s="140" t="s">
        <v>112</v>
      </c>
      <c r="B15" s="135">
        <v>-0.19043697999999998</v>
      </c>
      <c r="C15" s="118">
        <v>-0.16694971</v>
      </c>
      <c r="D15" s="118">
        <v>-0.17896548</v>
      </c>
      <c r="E15" s="118">
        <v>-0.1747837</v>
      </c>
      <c r="F15" s="153">
        <v>-0.13969126</v>
      </c>
      <c r="G15" s="160">
        <v>-0.17148341073980392</v>
      </c>
    </row>
    <row r="16" spans="1:7" ht="12.75">
      <c r="A16" s="140" t="s">
        <v>114</v>
      </c>
      <c r="B16" s="134">
        <v>-0.0004628441700000001</v>
      </c>
      <c r="C16" s="119">
        <v>0.00311118673</v>
      </c>
      <c r="D16" s="119">
        <v>-0.001385222694</v>
      </c>
      <c r="E16" s="119">
        <v>-0.00035433179999999994</v>
      </c>
      <c r="F16" s="153">
        <v>-0.00120316133</v>
      </c>
      <c r="G16" s="160">
        <v>0.00010253543196483285</v>
      </c>
    </row>
    <row r="17" spans="1:7" ht="12.75">
      <c r="A17" s="140" t="s">
        <v>91</v>
      </c>
      <c r="B17" s="133">
        <v>1.6934597</v>
      </c>
      <c r="C17" s="117">
        <v>-0.62749235</v>
      </c>
      <c r="D17" s="117">
        <v>0.60673</v>
      </c>
      <c r="E17" s="117">
        <v>-0.0185018684</v>
      </c>
      <c r="F17" s="154">
        <v>8.6973494</v>
      </c>
      <c r="G17" s="160">
        <v>1.3969330047982609</v>
      </c>
    </row>
    <row r="18" spans="1:7" ht="12.75">
      <c r="A18" s="140" t="s">
        <v>93</v>
      </c>
      <c r="B18" s="135">
        <v>4.7729686</v>
      </c>
      <c r="C18" s="119">
        <v>1.8392664</v>
      </c>
      <c r="D18" s="119">
        <v>1.35870074</v>
      </c>
      <c r="E18" s="118">
        <v>3.1123477999999998</v>
      </c>
      <c r="F18" s="156">
        <v>4.3670724</v>
      </c>
      <c r="G18" s="161">
        <v>2.7920612240929046</v>
      </c>
    </row>
    <row r="19" spans="1:7" ht="12.75">
      <c r="A19" s="140" t="s">
        <v>95</v>
      </c>
      <c r="B19" s="134">
        <v>0.93040326</v>
      </c>
      <c r="C19" s="119">
        <v>-0.31807539</v>
      </c>
      <c r="D19" s="119">
        <v>0.211059838</v>
      </c>
      <c r="E19" s="119">
        <v>-0.14203260499999998</v>
      </c>
      <c r="F19" s="153">
        <v>0.006568869999999999</v>
      </c>
      <c r="G19" s="160">
        <v>0.07555644294748491</v>
      </c>
    </row>
    <row r="20" spans="1:7" ht="12.75">
      <c r="A20" s="140" t="s">
        <v>97</v>
      </c>
      <c r="B20" s="133">
        <v>0.21794471999999998</v>
      </c>
      <c r="C20" s="117">
        <v>0.29444289</v>
      </c>
      <c r="D20" s="117">
        <v>-0.36248061000000004</v>
      </c>
      <c r="E20" s="117">
        <v>0.46989777000000005</v>
      </c>
      <c r="F20" s="155">
        <v>0.8096742599999999</v>
      </c>
      <c r="G20" s="160">
        <v>0.23638834039660023</v>
      </c>
    </row>
    <row r="21" spans="1:7" ht="12.75">
      <c r="A21" s="140" t="s">
        <v>99</v>
      </c>
      <c r="B21" s="134">
        <v>0.25925147000000004</v>
      </c>
      <c r="C21" s="119">
        <v>0.09220663600000001</v>
      </c>
      <c r="D21" s="119">
        <v>-0.32047037000000006</v>
      </c>
      <c r="E21" s="119">
        <v>0.003551863999999999</v>
      </c>
      <c r="F21" s="153">
        <v>0.5763128</v>
      </c>
      <c r="G21" s="160">
        <v>0.060431309030172194</v>
      </c>
    </row>
    <row r="22" spans="1:7" ht="12.75">
      <c r="A22" s="140" t="s">
        <v>101</v>
      </c>
      <c r="B22" s="135">
        <v>0.5129832999999999</v>
      </c>
      <c r="C22" s="119">
        <v>0.10912302</v>
      </c>
      <c r="D22" s="119">
        <v>0.03740752</v>
      </c>
      <c r="E22" s="119">
        <v>0.19396971600000001</v>
      </c>
      <c r="F22" s="153">
        <v>0.38224209</v>
      </c>
      <c r="G22" s="160">
        <v>0.2071980907293747</v>
      </c>
    </row>
    <row r="23" spans="1:7" ht="12.75">
      <c r="A23" s="140" t="s">
        <v>103</v>
      </c>
      <c r="B23" s="134">
        <v>0.041944892</v>
      </c>
      <c r="C23" s="119">
        <v>0.039448037000000005</v>
      </c>
      <c r="D23" s="119">
        <v>0.070382503</v>
      </c>
      <c r="E23" s="119">
        <v>0.01837702588</v>
      </c>
      <c r="F23" s="153">
        <v>0.05432670590000001</v>
      </c>
      <c r="G23" s="160">
        <v>0.04416641318115749</v>
      </c>
    </row>
    <row r="24" spans="1:7" ht="12.75">
      <c r="A24" s="140" t="s">
        <v>105</v>
      </c>
      <c r="B24" s="133">
        <v>0.054444834</v>
      </c>
      <c r="C24" s="117">
        <v>0.13947718</v>
      </c>
      <c r="D24" s="117">
        <v>0.03701447</v>
      </c>
      <c r="E24" s="117">
        <v>0.11508155</v>
      </c>
      <c r="F24" s="155">
        <v>0.19750579</v>
      </c>
      <c r="G24" s="160">
        <v>0.10440721835030761</v>
      </c>
    </row>
    <row r="25" spans="1:7" ht="12.75">
      <c r="A25" s="140" t="s">
        <v>107</v>
      </c>
      <c r="B25" s="134">
        <v>0.022345406800000002</v>
      </c>
      <c r="C25" s="119">
        <v>0.026535617</v>
      </c>
      <c r="D25" s="119">
        <v>0.0108390365</v>
      </c>
      <c r="E25" s="119">
        <v>0.024365901000000002</v>
      </c>
      <c r="F25" s="153">
        <v>0.03893078</v>
      </c>
      <c r="G25" s="160">
        <v>0.02328700558803002</v>
      </c>
    </row>
    <row r="26" spans="1:7" ht="12.75">
      <c r="A26" s="140" t="s">
        <v>109</v>
      </c>
      <c r="B26" s="134">
        <v>0.039755413600000004</v>
      </c>
      <c r="C26" s="119">
        <v>-0.010638501</v>
      </c>
      <c r="D26" s="119">
        <v>-0.008494553</v>
      </c>
      <c r="E26" s="119">
        <v>0.017303939</v>
      </c>
      <c r="F26" s="153">
        <v>0.020517633</v>
      </c>
      <c r="G26" s="160">
        <v>0.008053079309143068</v>
      </c>
    </row>
    <row r="27" spans="1:7" ht="12.75">
      <c r="A27" s="140" t="s">
        <v>111</v>
      </c>
      <c r="B27" s="134">
        <v>0.052123756</v>
      </c>
      <c r="C27" s="119">
        <v>0.024708340000000002</v>
      </c>
      <c r="D27" s="119">
        <v>0.00305382075</v>
      </c>
      <c r="E27" s="119">
        <v>0.030643418</v>
      </c>
      <c r="F27" s="153">
        <v>0.033358153999999994</v>
      </c>
      <c r="G27" s="160">
        <v>0.02605000484501338</v>
      </c>
    </row>
    <row r="28" spans="1:7" ht="12.75">
      <c r="A28" s="140" t="s">
        <v>113</v>
      </c>
      <c r="B28" s="134">
        <v>0.016160797</v>
      </c>
      <c r="C28" s="119">
        <v>0.028721972000000002</v>
      </c>
      <c r="D28" s="119">
        <v>0.014451984000000001</v>
      </c>
      <c r="E28" s="119">
        <v>0.024559648</v>
      </c>
      <c r="F28" s="153">
        <v>-0.024287393</v>
      </c>
      <c r="G28" s="160">
        <v>0.015391971681099485</v>
      </c>
    </row>
    <row r="29" spans="1:7" ht="13.5" thickBot="1">
      <c r="A29" s="141" t="s">
        <v>115</v>
      </c>
      <c r="B29" s="136">
        <v>-0.00083654185</v>
      </c>
      <c r="C29" s="120">
        <v>3.2038550000000005E-05</v>
      </c>
      <c r="D29" s="120">
        <v>0.0051071046</v>
      </c>
      <c r="E29" s="120">
        <v>-0.00028830291999999995</v>
      </c>
      <c r="F29" s="157">
        <v>0.007745758700000001</v>
      </c>
      <c r="G29" s="162">
        <v>0.0020800029955600446</v>
      </c>
    </row>
    <row r="30" spans="1:7" ht="13.5" thickTop="1">
      <c r="A30" s="142" t="s">
        <v>116</v>
      </c>
      <c r="B30" s="137">
        <v>-0.16077716952243926</v>
      </c>
      <c r="C30" s="126">
        <v>0.07344968184900003</v>
      </c>
      <c r="D30" s="126">
        <v>0.2686365025353404</v>
      </c>
      <c r="E30" s="126">
        <v>0.4031056853376793</v>
      </c>
      <c r="F30" s="122">
        <v>0.6420013560012604</v>
      </c>
      <c r="G30" s="163" t="s">
        <v>127</v>
      </c>
    </row>
    <row r="31" spans="1:7" ht="13.5" thickBot="1">
      <c r="A31" s="143" t="s">
        <v>117</v>
      </c>
      <c r="B31" s="132">
        <v>20.608521</v>
      </c>
      <c r="C31" s="123">
        <v>20.687867</v>
      </c>
      <c r="D31" s="123">
        <v>20.785523</v>
      </c>
      <c r="E31" s="123">
        <v>20.904542</v>
      </c>
      <c r="F31" s="124">
        <v>21.041871</v>
      </c>
      <c r="G31" s="165">
        <v>-209.5</v>
      </c>
    </row>
    <row r="32" spans="1:7" ht="15.75" thickBot="1" thickTop="1">
      <c r="A32" s="144" t="s">
        <v>118</v>
      </c>
      <c r="B32" s="138">
        <v>-0.39650000631809235</v>
      </c>
      <c r="C32" s="127">
        <v>0.26399999111890793</v>
      </c>
      <c r="D32" s="127">
        <v>-0.25</v>
      </c>
      <c r="E32" s="127">
        <v>0.3675000071525574</v>
      </c>
      <c r="F32" s="125">
        <v>-0.3464999943971634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5.33203125" style="166" bestFit="1" customWidth="1"/>
    <col min="4" max="4" width="16" style="166" bestFit="1" customWidth="1"/>
    <col min="5" max="5" width="22.16015625" style="166" bestFit="1" customWidth="1"/>
    <col min="6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28</v>
      </c>
    </row>
    <row r="3" spans="1:7" ht="12.75">
      <c r="A3" s="166" t="s">
        <v>132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133</v>
      </c>
    </row>
    <row r="4" spans="1:7" ht="12.75">
      <c r="A4" s="166" t="s">
        <v>134</v>
      </c>
      <c r="B4" s="166">
        <f>0.002254*1.0033</f>
        <v>0.0022614382000000002</v>
      </c>
      <c r="C4" s="166">
        <f>0.003749*1.0033</f>
        <v>0.0037613717000000006</v>
      </c>
      <c r="D4" s="166">
        <f>0.003748*1.0033</f>
        <v>0.0037603684</v>
      </c>
      <c r="E4" s="166">
        <f>0.003749*1.0033</f>
        <v>0.0037613717000000006</v>
      </c>
      <c r="F4" s="166">
        <f>0.002081*1.0033</f>
        <v>0.0020878673000000003</v>
      </c>
      <c r="G4" s="166">
        <f>0.011684*1.0033</f>
        <v>0.0117225572</v>
      </c>
    </row>
    <row r="5" spans="1:7" ht="12.75">
      <c r="A5" s="166" t="s">
        <v>135</v>
      </c>
      <c r="B5" s="166">
        <v>6.660447</v>
      </c>
      <c r="C5" s="166">
        <v>3.35054</v>
      </c>
      <c r="D5" s="166">
        <v>-0.693954</v>
      </c>
      <c r="E5" s="166">
        <v>-2.569436</v>
      </c>
      <c r="F5" s="166">
        <v>-7.318519</v>
      </c>
      <c r="G5" s="166">
        <v>4.237747</v>
      </c>
    </row>
    <row r="6" spans="1:7" ht="12.75">
      <c r="A6" s="166" t="s">
        <v>136</v>
      </c>
      <c r="B6" s="167">
        <v>-13.19229</v>
      </c>
      <c r="C6" s="167">
        <v>-25.2498</v>
      </c>
      <c r="D6" s="167">
        <v>-7.814873</v>
      </c>
      <c r="E6" s="167">
        <v>25.77675</v>
      </c>
      <c r="F6" s="167">
        <v>27.41689</v>
      </c>
      <c r="G6" s="167">
        <v>-0.0007812246</v>
      </c>
    </row>
    <row r="7" spans="1:7" ht="12.75">
      <c r="A7" s="166" t="s">
        <v>137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138</v>
      </c>
      <c r="B8" s="167">
        <v>1.285094</v>
      </c>
      <c r="C8" s="167">
        <v>4.042155</v>
      </c>
      <c r="D8" s="167">
        <v>3.456656</v>
      </c>
      <c r="E8" s="167">
        <v>3.34995</v>
      </c>
      <c r="F8" s="167">
        <v>0.6383069</v>
      </c>
      <c r="G8" s="167">
        <v>2.881387</v>
      </c>
    </row>
    <row r="9" spans="1:7" ht="12.75">
      <c r="A9" s="166" t="s">
        <v>92</v>
      </c>
      <c r="B9" s="167">
        <v>1.376458</v>
      </c>
      <c r="C9" s="167">
        <v>1.023902</v>
      </c>
      <c r="D9" s="167">
        <v>0.8082204</v>
      </c>
      <c r="E9" s="167">
        <v>0.5961153</v>
      </c>
      <c r="F9" s="167">
        <v>-1.314581</v>
      </c>
      <c r="G9" s="167">
        <v>0.6079412</v>
      </c>
    </row>
    <row r="10" spans="1:7" ht="12.75">
      <c r="A10" s="166" t="s">
        <v>94</v>
      </c>
      <c r="B10" s="167">
        <v>-0.4255154</v>
      </c>
      <c r="C10" s="167">
        <v>-1.450865</v>
      </c>
      <c r="D10" s="167">
        <v>-1.226784</v>
      </c>
      <c r="E10" s="167">
        <v>-0.8992808</v>
      </c>
      <c r="F10" s="167">
        <v>-0.3350357</v>
      </c>
      <c r="G10" s="167">
        <v>-0.966894</v>
      </c>
    </row>
    <row r="11" spans="1:7" ht="12.75">
      <c r="A11" s="166" t="s">
        <v>96</v>
      </c>
      <c r="B11" s="167">
        <v>3.881813</v>
      </c>
      <c r="C11" s="167">
        <v>3.223852</v>
      </c>
      <c r="D11" s="167">
        <v>3.733841</v>
      </c>
      <c r="E11" s="167">
        <v>3.187377</v>
      </c>
      <c r="F11" s="167">
        <v>14.5571</v>
      </c>
      <c r="G11" s="167">
        <v>4.946183</v>
      </c>
    </row>
    <row r="12" spans="1:7" ht="12.75">
      <c r="A12" s="166" t="s">
        <v>98</v>
      </c>
      <c r="B12" s="167">
        <v>-0.0968992</v>
      </c>
      <c r="C12" s="167">
        <v>-0.2467596</v>
      </c>
      <c r="D12" s="167">
        <v>-0.05353806</v>
      </c>
      <c r="E12" s="167">
        <v>-0.05476701</v>
      </c>
      <c r="F12" s="167">
        <v>-0.3664483</v>
      </c>
      <c r="G12" s="167">
        <v>-0.1483792</v>
      </c>
    </row>
    <row r="13" spans="1:7" ht="12.75">
      <c r="A13" s="166" t="s">
        <v>100</v>
      </c>
      <c r="B13" s="167">
        <v>-0.05920574</v>
      </c>
      <c r="C13" s="167">
        <v>0.1300782</v>
      </c>
      <c r="D13" s="167">
        <v>-0.03315678</v>
      </c>
      <c r="E13" s="167">
        <v>0.05115978</v>
      </c>
      <c r="F13" s="167">
        <v>-0.09250123</v>
      </c>
      <c r="G13" s="167">
        <v>0.01473057</v>
      </c>
    </row>
    <row r="14" spans="1:7" ht="12.75">
      <c r="A14" s="166" t="s">
        <v>102</v>
      </c>
      <c r="B14" s="167">
        <v>0.006067543</v>
      </c>
      <c r="C14" s="167">
        <v>-0.01023862</v>
      </c>
      <c r="D14" s="167">
        <v>0.06962834</v>
      </c>
      <c r="E14" s="167">
        <v>0.06053347</v>
      </c>
      <c r="F14" s="167">
        <v>0.1600848</v>
      </c>
      <c r="G14" s="167">
        <v>0.05110661</v>
      </c>
    </row>
    <row r="15" spans="1:7" ht="12.75">
      <c r="A15" s="166" t="s">
        <v>104</v>
      </c>
      <c r="B15" s="167">
        <v>-0.3622572</v>
      </c>
      <c r="C15" s="167">
        <v>-0.08490311</v>
      </c>
      <c r="D15" s="167">
        <v>-0.02758425</v>
      </c>
      <c r="E15" s="167">
        <v>-0.03961285</v>
      </c>
      <c r="F15" s="167">
        <v>-0.3321449</v>
      </c>
      <c r="G15" s="167">
        <v>-0.1333519</v>
      </c>
    </row>
    <row r="16" spans="1:7" ht="12.75">
      <c r="A16" s="166" t="s">
        <v>106</v>
      </c>
      <c r="B16" s="167">
        <v>-0.03488396</v>
      </c>
      <c r="C16" s="167">
        <v>-0.04866666</v>
      </c>
      <c r="D16" s="167">
        <v>-0.04827841</v>
      </c>
      <c r="E16" s="167">
        <v>-0.0454242</v>
      </c>
      <c r="F16" s="167">
        <v>-0.04924677</v>
      </c>
      <c r="G16" s="167">
        <v>-0.04587382</v>
      </c>
    </row>
    <row r="17" spans="1:7" ht="12.75">
      <c r="A17" s="166" t="s">
        <v>108</v>
      </c>
      <c r="B17" s="167">
        <v>-0.00369017</v>
      </c>
      <c r="C17" s="167">
        <v>-0.01541143</v>
      </c>
      <c r="D17" s="167">
        <v>-0.004222502</v>
      </c>
      <c r="E17" s="167">
        <v>0.001914921</v>
      </c>
      <c r="F17" s="167">
        <v>0.00662572</v>
      </c>
      <c r="G17" s="167">
        <v>-0.003911693</v>
      </c>
    </row>
    <row r="18" spans="1:7" ht="12.75">
      <c r="A18" s="166" t="s">
        <v>110</v>
      </c>
      <c r="B18" s="167">
        <v>0.03571599</v>
      </c>
      <c r="C18" s="167">
        <v>0.03970001</v>
      </c>
      <c r="D18" s="167">
        <v>0.03408081</v>
      </c>
      <c r="E18" s="167">
        <v>0.03355415</v>
      </c>
      <c r="F18" s="167">
        <v>-0.0008192279</v>
      </c>
      <c r="G18" s="167">
        <v>0.03088547</v>
      </c>
    </row>
    <row r="19" spans="1:7" ht="12.75">
      <c r="A19" s="166" t="s">
        <v>112</v>
      </c>
      <c r="B19" s="167">
        <v>-0.1911861</v>
      </c>
      <c r="C19" s="167">
        <v>-0.1681252</v>
      </c>
      <c r="D19" s="167">
        <v>-0.1788556</v>
      </c>
      <c r="E19" s="167">
        <v>-0.1738052</v>
      </c>
      <c r="F19" s="167">
        <v>-0.1414095</v>
      </c>
      <c r="G19" s="167">
        <v>-0.171841</v>
      </c>
    </row>
    <row r="20" spans="1:7" ht="12.75">
      <c r="A20" s="166" t="s">
        <v>114</v>
      </c>
      <c r="B20" s="167">
        <v>-0.0003863031</v>
      </c>
      <c r="C20" s="167">
        <v>0.003106804</v>
      </c>
      <c r="D20" s="167">
        <v>-0.001330606</v>
      </c>
      <c r="E20" s="167">
        <v>-0.0003689367</v>
      </c>
      <c r="F20" s="167">
        <v>-0.000364194</v>
      </c>
      <c r="G20" s="167">
        <v>0.0002344603</v>
      </c>
    </row>
    <row r="21" spans="1:7" ht="12.75">
      <c r="A21" s="166" t="s">
        <v>139</v>
      </c>
      <c r="B21" s="167">
        <v>-101.588</v>
      </c>
      <c r="C21" s="167">
        <v>36.31324</v>
      </c>
      <c r="D21" s="167">
        <v>102.9097</v>
      </c>
      <c r="E21" s="167">
        <v>-21.21752</v>
      </c>
      <c r="F21" s="167">
        <v>-102.4953</v>
      </c>
      <c r="G21" s="167">
        <v>0.001576985</v>
      </c>
    </row>
    <row r="22" spans="1:7" ht="12.75">
      <c r="A22" s="166" t="s">
        <v>140</v>
      </c>
      <c r="B22" s="167">
        <v>133.2168</v>
      </c>
      <c r="C22" s="167">
        <v>67.0118</v>
      </c>
      <c r="D22" s="167">
        <v>-13.87909</v>
      </c>
      <c r="E22" s="167">
        <v>-51.38917</v>
      </c>
      <c r="F22" s="167">
        <v>-146.3808</v>
      </c>
      <c r="G22" s="167">
        <v>0</v>
      </c>
    </row>
    <row r="23" spans="1:7" ht="12.75">
      <c r="A23" s="166" t="s">
        <v>91</v>
      </c>
      <c r="B23" s="167">
        <v>1.666981</v>
      </c>
      <c r="C23" s="167">
        <v>-0.5779044</v>
      </c>
      <c r="D23" s="167">
        <v>0.6326209</v>
      </c>
      <c r="E23" s="167">
        <v>-0.01164857</v>
      </c>
      <c r="F23" s="167">
        <v>8.781522</v>
      </c>
      <c r="G23" s="167">
        <v>1.423955</v>
      </c>
    </row>
    <row r="24" spans="1:7" ht="12.75">
      <c r="A24" s="166" t="s">
        <v>141</v>
      </c>
      <c r="B24" s="167">
        <v>4.833148</v>
      </c>
      <c r="C24" s="167">
        <v>1.838369</v>
      </c>
      <c r="D24" s="167">
        <v>1.308132</v>
      </c>
      <c r="E24" s="167">
        <v>3.114638</v>
      </c>
      <c r="F24" s="167">
        <v>4.442614</v>
      </c>
      <c r="G24" s="167">
        <v>2.798954</v>
      </c>
    </row>
    <row r="25" spans="1:7" ht="12.75">
      <c r="A25" s="166" t="s">
        <v>95</v>
      </c>
      <c r="B25" s="167">
        <v>0.7145981</v>
      </c>
      <c r="C25" s="167">
        <v>-0.2881224</v>
      </c>
      <c r="D25" s="167">
        <v>0.4073821</v>
      </c>
      <c r="E25" s="167">
        <v>-0.1593333</v>
      </c>
      <c r="F25" s="167">
        <v>-0.7150096</v>
      </c>
      <c r="G25" s="167">
        <v>-0.001720067</v>
      </c>
    </row>
    <row r="26" spans="1:7" ht="12.75">
      <c r="A26" s="166" t="s">
        <v>97</v>
      </c>
      <c r="B26" s="167">
        <v>0.3732637</v>
      </c>
      <c r="C26" s="167">
        <v>0.3514151</v>
      </c>
      <c r="D26" s="167">
        <v>-0.3806017</v>
      </c>
      <c r="E26" s="167">
        <v>0.419896</v>
      </c>
      <c r="F26" s="167">
        <v>0.2009916</v>
      </c>
      <c r="G26" s="167">
        <v>0.1746727</v>
      </c>
    </row>
    <row r="27" spans="1:7" ht="12.75">
      <c r="A27" s="166" t="s">
        <v>99</v>
      </c>
      <c r="B27" s="167">
        <v>0.2383258</v>
      </c>
      <c r="C27" s="167">
        <v>0.07412106</v>
      </c>
      <c r="D27" s="167">
        <v>-0.3365856</v>
      </c>
      <c r="E27" s="167">
        <v>-0.006809927</v>
      </c>
      <c r="F27" s="167">
        <v>0.595911</v>
      </c>
      <c r="G27" s="167">
        <v>0.04929426</v>
      </c>
    </row>
    <row r="28" spans="1:7" ht="12.75">
      <c r="A28" s="166" t="s">
        <v>101</v>
      </c>
      <c r="B28" s="167">
        <v>0.5072123</v>
      </c>
      <c r="C28" s="167">
        <v>0.1108128</v>
      </c>
      <c r="D28" s="167">
        <v>0.04220434</v>
      </c>
      <c r="E28" s="167">
        <v>0.1917694</v>
      </c>
      <c r="F28" s="167">
        <v>0.3754967</v>
      </c>
      <c r="G28" s="167">
        <v>0.2064853</v>
      </c>
    </row>
    <row r="29" spans="1:7" ht="12.75">
      <c r="A29" s="166" t="s">
        <v>103</v>
      </c>
      <c r="B29" s="167">
        <v>0.0733249</v>
      </c>
      <c r="C29" s="167">
        <v>0.0326122</v>
      </c>
      <c r="D29" s="167">
        <v>0.06671488</v>
      </c>
      <c r="E29" s="167">
        <v>0.02016851</v>
      </c>
      <c r="F29" s="167">
        <v>0.07946458</v>
      </c>
      <c r="G29" s="167">
        <v>0.04996367</v>
      </c>
    </row>
    <row r="30" spans="1:7" ht="12.75">
      <c r="A30" s="166" t="s">
        <v>105</v>
      </c>
      <c r="B30" s="167">
        <v>0.0324767</v>
      </c>
      <c r="C30" s="167">
        <v>0.1341462</v>
      </c>
      <c r="D30" s="167">
        <v>0.03220117</v>
      </c>
      <c r="E30" s="167">
        <v>0.1177335</v>
      </c>
      <c r="F30" s="167">
        <v>0.2285871</v>
      </c>
      <c r="G30" s="167">
        <v>0.1035851</v>
      </c>
    </row>
    <row r="31" spans="1:7" ht="12.75">
      <c r="A31" s="166" t="s">
        <v>107</v>
      </c>
      <c r="B31" s="167">
        <v>0.02743384</v>
      </c>
      <c r="C31" s="167">
        <v>0.0305152</v>
      </c>
      <c r="D31" s="167">
        <v>0.01688178</v>
      </c>
      <c r="E31" s="167">
        <v>0.03228848</v>
      </c>
      <c r="F31" s="167">
        <v>0.05100904</v>
      </c>
      <c r="G31" s="167">
        <v>0.02995694</v>
      </c>
    </row>
    <row r="32" spans="1:7" ht="12.75">
      <c r="A32" s="166" t="s">
        <v>109</v>
      </c>
      <c r="B32" s="167">
        <v>0.03441984</v>
      </c>
      <c r="C32" s="167">
        <v>-0.009839243</v>
      </c>
      <c r="D32" s="167">
        <v>-0.003986861</v>
      </c>
      <c r="E32" s="167">
        <v>0.0175457</v>
      </c>
      <c r="F32" s="167">
        <v>0.02173376</v>
      </c>
      <c r="G32" s="167">
        <v>0.008777936</v>
      </c>
    </row>
    <row r="33" spans="1:7" ht="12.75">
      <c r="A33" s="166" t="s">
        <v>111</v>
      </c>
      <c r="B33" s="167">
        <v>0.06301229</v>
      </c>
      <c r="C33" s="167">
        <v>0.0237173</v>
      </c>
      <c r="D33" s="167">
        <v>-0.004727429</v>
      </c>
      <c r="E33" s="167">
        <v>0.03127337</v>
      </c>
      <c r="F33" s="167">
        <v>0.03906955</v>
      </c>
      <c r="G33" s="167">
        <v>0.02642598</v>
      </c>
    </row>
    <row r="34" spans="1:7" ht="12.75">
      <c r="A34" s="166" t="s">
        <v>113</v>
      </c>
      <c r="B34" s="167">
        <v>-0.001633194</v>
      </c>
      <c r="C34" s="167">
        <v>0.02088815</v>
      </c>
      <c r="D34" s="167">
        <v>0.0161998</v>
      </c>
      <c r="E34" s="167">
        <v>0.03083934</v>
      </c>
      <c r="F34" s="167">
        <v>-0.009835027</v>
      </c>
      <c r="G34" s="167">
        <v>0.01481233</v>
      </c>
    </row>
    <row r="35" spans="1:7" ht="12.75">
      <c r="A35" s="166" t="s">
        <v>115</v>
      </c>
      <c r="B35" s="167">
        <v>-0.0008790928</v>
      </c>
      <c r="C35" s="167">
        <v>0.0001881946</v>
      </c>
      <c r="D35" s="167">
        <v>0.005121212</v>
      </c>
      <c r="E35" s="167">
        <v>-0.0002745801</v>
      </c>
      <c r="F35" s="167">
        <v>0.007830739</v>
      </c>
      <c r="G35" s="167">
        <v>0.002129385</v>
      </c>
    </row>
    <row r="36" spans="1:6" ht="12.75">
      <c r="A36" s="166" t="s">
        <v>142</v>
      </c>
      <c r="B36" s="167">
        <v>21.04187</v>
      </c>
      <c r="C36" s="167">
        <v>21.04492</v>
      </c>
      <c r="D36" s="167">
        <v>21.06018</v>
      </c>
      <c r="E36" s="167">
        <v>21.06018</v>
      </c>
      <c r="F36" s="167">
        <v>21.07544</v>
      </c>
    </row>
    <row r="37" spans="1:6" ht="12.75">
      <c r="A37" s="166" t="s">
        <v>143</v>
      </c>
      <c r="B37" s="167">
        <v>-0.3423055</v>
      </c>
      <c r="C37" s="167">
        <v>-0.3377279</v>
      </c>
      <c r="D37" s="167">
        <v>-0.3351847</v>
      </c>
      <c r="E37" s="167">
        <v>-0.3331502</v>
      </c>
      <c r="F37" s="167">
        <v>-0.3295899</v>
      </c>
    </row>
    <row r="38" spans="1:7" ht="12.75">
      <c r="A38" s="166" t="s">
        <v>144</v>
      </c>
      <c r="B38" s="167">
        <v>2.472316E-05</v>
      </c>
      <c r="C38" s="167">
        <v>4.250908E-05</v>
      </c>
      <c r="D38" s="167">
        <v>1.352807E-05</v>
      </c>
      <c r="E38" s="167">
        <v>-4.400468E-05</v>
      </c>
      <c r="F38" s="167">
        <v>-4.914876E-05</v>
      </c>
      <c r="G38" s="167">
        <v>0.0002698741</v>
      </c>
    </row>
    <row r="39" spans="1:7" ht="12.75">
      <c r="A39" s="166" t="s">
        <v>145</v>
      </c>
      <c r="B39" s="167">
        <v>0.0001723703</v>
      </c>
      <c r="C39" s="167">
        <v>-6.201738E-05</v>
      </c>
      <c r="D39" s="167">
        <v>-0.0001749278</v>
      </c>
      <c r="E39" s="167">
        <v>3.584364E-05</v>
      </c>
      <c r="F39" s="167">
        <v>0.0001735226</v>
      </c>
      <c r="G39" s="167">
        <v>0.0002661885</v>
      </c>
    </row>
    <row r="40" spans="2:5" ht="12.75">
      <c r="B40" s="166" t="s">
        <v>146</v>
      </c>
      <c r="C40" s="166">
        <v>0.003749</v>
      </c>
      <c r="D40" s="166" t="s">
        <v>147</v>
      </c>
      <c r="E40" s="166">
        <v>3.116927</v>
      </c>
    </row>
    <row r="42" ht="12.75">
      <c r="A42" s="166" t="s">
        <v>148</v>
      </c>
    </row>
    <row r="50" spans="1:7" ht="12.75">
      <c r="A50" s="166" t="s">
        <v>149</v>
      </c>
      <c r="B50" s="166">
        <f>-0.017/(B7*B7+B22*B22)*(B21*B22+B6*B7)</f>
        <v>2.4723154259404235E-05</v>
      </c>
      <c r="C50" s="166">
        <f>-0.017/(C7*C7+C22*C22)*(C21*C22+C6*C7)</f>
        <v>4.250907044765556E-05</v>
      </c>
      <c r="D50" s="166">
        <f>-0.017/(D7*D7+D22*D22)*(D21*D22+D6*D7)</f>
        <v>1.352806784898876E-05</v>
      </c>
      <c r="E50" s="166">
        <f>-0.017/(E7*E7+E22*E22)*(E21*E22+E6*E7)</f>
        <v>-4.4004672530200516E-05</v>
      </c>
      <c r="F50" s="166">
        <f>-0.017/(F7*F7+F22*F22)*(F21*F22+F6*F7)</f>
        <v>-4.914875021261083E-05</v>
      </c>
      <c r="G50" s="166">
        <f>(B50*B$4+C50*C$4+D50*D$4+E50*E$4+F50*F$4)/SUM(B$4:F$4)</f>
        <v>-9.347111232893824E-08</v>
      </c>
    </row>
    <row r="51" spans="1:7" ht="12.75">
      <c r="A51" s="166" t="s">
        <v>150</v>
      </c>
      <c r="B51" s="166">
        <f>-0.017/(B7*B7+B22*B22)*(B21*B7-B6*B22)</f>
        <v>0.00017237024605036558</v>
      </c>
      <c r="C51" s="166">
        <f>-0.017/(C7*C7+C22*C22)*(C21*C7-C6*C22)</f>
        <v>-6.201736893270243E-05</v>
      </c>
      <c r="D51" s="166">
        <f>-0.017/(D7*D7+D22*D22)*(D21*D7-D6*D22)</f>
        <v>-0.0001749277142728798</v>
      </c>
      <c r="E51" s="166">
        <f>-0.017/(E7*E7+E22*E22)*(E21*E7-E6*E22)</f>
        <v>3.584364764025513E-05</v>
      </c>
      <c r="F51" s="166">
        <f>-0.017/(F7*F7+F22*F22)*(F21*F7-F6*F22)</f>
        <v>0.0001735225666624878</v>
      </c>
      <c r="G51" s="166">
        <f>(B51*B$4+C51*C$4+D51*D$4+E51*E$4+F51*F$4)/SUM(B$4:F$4)</f>
        <v>-2.651536100364101E-07</v>
      </c>
    </row>
    <row r="58" ht="12.75">
      <c r="A58" s="166" t="s">
        <v>152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154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157</v>
      </c>
      <c r="B62" s="166">
        <f>B7+(2/0.017)*(B8*B50-B23*B51)</f>
        <v>9999.969933370832</v>
      </c>
      <c r="C62" s="166">
        <f>C7+(2/0.017)*(C8*C50-C23*C51)</f>
        <v>10000.015998604855</v>
      </c>
      <c r="D62" s="166">
        <f>D7+(2/0.017)*(D8*D50-D23*D51)</f>
        <v>10000.018520565287</v>
      </c>
      <c r="E62" s="166">
        <f>E7+(2/0.017)*(E8*E50-E23*E51)</f>
        <v>9999.982706361705</v>
      </c>
      <c r="F62" s="166">
        <f>F7+(2/0.017)*(F8*F50-F23*F51)</f>
        <v>9999.817039503172</v>
      </c>
    </row>
    <row r="63" spans="1:6" ht="12.75">
      <c r="A63" s="166" t="s">
        <v>158</v>
      </c>
      <c r="B63" s="166">
        <f>B8+(3/0.017)*(B9*B50-B24*B51)</f>
        <v>1.1440833188543102</v>
      </c>
      <c r="C63" s="166">
        <f>C8+(3/0.017)*(C9*C50-C24*C51)</f>
        <v>4.069955458368872</v>
      </c>
      <c r="D63" s="166">
        <f>D8+(3/0.017)*(D9*D50-D24*D51)</f>
        <v>3.498966976670944</v>
      </c>
      <c r="E63" s="166">
        <f>E8+(3/0.017)*(E9*E50-E24*E51)</f>
        <v>3.325619674311937</v>
      </c>
      <c r="F63" s="166">
        <f>F8+(3/0.017)*(F9*F50-F24*F51)</f>
        <v>0.5136685875116251</v>
      </c>
    </row>
    <row r="64" spans="1:6" ht="12.75">
      <c r="A64" s="166" t="s">
        <v>159</v>
      </c>
      <c r="B64" s="166">
        <f>B9+(4/0.017)*(B10*B50-B25*B51)</f>
        <v>1.3450002274828057</v>
      </c>
      <c r="C64" s="166">
        <f>C9+(4/0.017)*(C10*C50-C25*C51)</f>
        <v>1.0051858786650323</v>
      </c>
      <c r="D64" s="166">
        <f>D9+(4/0.017)*(D10*D50-D25*D51)</f>
        <v>0.8210830829177957</v>
      </c>
      <c r="E64" s="166">
        <f>E9+(4/0.017)*(E10*E50-E25*E51)</f>
        <v>0.6067702750068837</v>
      </c>
      <c r="F64" s="166">
        <f>F9+(4/0.017)*(F10*F50-F25*F51)</f>
        <v>-1.281513497197194</v>
      </c>
    </row>
    <row r="65" spans="1:6" ht="12.75">
      <c r="A65" s="166" t="s">
        <v>160</v>
      </c>
      <c r="B65" s="166">
        <f>B10+(5/0.017)*(B11*B50-B26*B51)</f>
        <v>-0.4162121335898556</v>
      </c>
      <c r="C65" s="166">
        <f>C10+(5/0.017)*(C11*C50-C26*C51)</f>
        <v>-1.4041482965629302</v>
      </c>
      <c r="D65" s="166">
        <f>D10+(5/0.017)*(D11*D50-D26*D51)</f>
        <v>-1.2315093326600108</v>
      </c>
      <c r="E65" s="166">
        <f>E10+(5/0.017)*(E11*E50-E26*E51)</f>
        <v>-0.9449602368778958</v>
      </c>
      <c r="F65" s="166">
        <f>F10+(5/0.017)*(F11*F50-F26*F51)</f>
        <v>-0.5557238911851756</v>
      </c>
    </row>
    <row r="66" spans="1:6" ht="12.75">
      <c r="A66" s="166" t="s">
        <v>161</v>
      </c>
      <c r="B66" s="166">
        <f>B11+(6/0.017)*(B12*B50-B27*B51)</f>
        <v>3.866468553886343</v>
      </c>
      <c r="C66" s="166">
        <f>C11+(6/0.017)*(C12*C50-C27*C51)</f>
        <v>3.2217722136130593</v>
      </c>
      <c r="D66" s="166">
        <f>D11+(6/0.017)*(D12*D50-D27*D51)</f>
        <v>3.7128048531152884</v>
      </c>
      <c r="E66" s="166">
        <f>E11+(6/0.017)*(E12*E50-E27*E51)</f>
        <v>3.1883137401050656</v>
      </c>
      <c r="F66" s="166">
        <f>F11+(6/0.017)*(F12*F50-F27*F51)</f>
        <v>14.526961106967104</v>
      </c>
    </row>
    <row r="67" spans="1:6" ht="12.75">
      <c r="A67" s="166" t="s">
        <v>162</v>
      </c>
      <c r="B67" s="166">
        <f>B12+(7/0.017)*(B13*B50-B28*B51)</f>
        <v>-0.13350181359746108</v>
      </c>
      <c r="C67" s="166">
        <f>C12+(7/0.017)*(C13*C50-C28*C51)</f>
        <v>-0.24165296754864765</v>
      </c>
      <c r="D67" s="166">
        <f>D12+(7/0.017)*(D13*D50-D28*D51)</f>
        <v>-0.05068281700507586</v>
      </c>
      <c r="E67" s="166">
        <f>E12+(7/0.017)*(E13*E50-E28*E51)</f>
        <v>-0.058524356421870684</v>
      </c>
      <c r="F67" s="166">
        <f>F12+(7/0.017)*(F13*F50-F28*F51)</f>
        <v>-0.3914057011275091</v>
      </c>
    </row>
    <row r="68" spans="1:6" ht="12.75">
      <c r="A68" s="166" t="s">
        <v>163</v>
      </c>
      <c r="B68" s="166">
        <f>B13+(8/0.017)*(B14*B50-B29*B51)</f>
        <v>-0.0650829269426136</v>
      </c>
      <c r="C68" s="166">
        <f>C13+(8/0.017)*(C14*C50-C29*C51)</f>
        <v>0.13082515935070133</v>
      </c>
      <c r="D68" s="166">
        <f>D13+(8/0.017)*(D14*D50-D29*D51)</f>
        <v>-0.027221618412177916</v>
      </c>
      <c r="E68" s="166">
        <f>E13+(8/0.017)*(E14*E50-E29*E51)</f>
        <v>0.04956605365160674</v>
      </c>
      <c r="F68" s="166">
        <f>F13+(8/0.017)*(F14*F50-F29*F51)</f>
        <v>-0.10269269622512582</v>
      </c>
    </row>
    <row r="69" spans="1:6" ht="12.75">
      <c r="A69" s="166" t="s">
        <v>164</v>
      </c>
      <c r="B69" s="166">
        <f>B14+(9/0.017)*(B15*B50-B30*B51)</f>
        <v>-0.001637599156691402</v>
      </c>
      <c r="C69" s="166">
        <f>C14+(9/0.017)*(C15*C50-C30*C51)</f>
        <v>-0.007744962421826746</v>
      </c>
      <c r="D69" s="166">
        <f>D14+(9/0.017)*(D15*D50-D30*D51)</f>
        <v>0.07241289524323768</v>
      </c>
      <c r="E69" s="166">
        <f>E14+(9/0.017)*(E15*E50-E30*E51)</f>
        <v>0.05922219774265034</v>
      </c>
      <c r="F69" s="166">
        <f>F14+(9/0.017)*(F15*F50-F30*F51)</f>
        <v>0.1477280575199424</v>
      </c>
    </row>
    <row r="70" spans="1:6" ht="12.75">
      <c r="A70" s="166" t="s">
        <v>165</v>
      </c>
      <c r="B70" s="166">
        <f>B15+(10/0.017)*(B16*B50-B31*B51)</f>
        <v>-0.3655461525148031</v>
      </c>
      <c r="C70" s="166">
        <f>C15+(10/0.017)*(C16*C50-C31*C51)</f>
        <v>-0.08500681709525701</v>
      </c>
      <c r="D70" s="166">
        <f>D15+(10/0.017)*(D16*D50-D31*D51)</f>
        <v>-0.026231322010508047</v>
      </c>
      <c r="E70" s="166">
        <f>E15+(10/0.017)*(E16*E50-E31*E51)</f>
        <v>-0.03911782638471358</v>
      </c>
      <c r="F70" s="166">
        <f>F15+(10/0.017)*(F16*F50-F31*F51)</f>
        <v>-0.33592772490957745</v>
      </c>
    </row>
    <row r="71" spans="1:6" ht="12.75">
      <c r="A71" s="166" t="s">
        <v>166</v>
      </c>
      <c r="B71" s="166">
        <f>B16+(11/0.017)*(B17*B50-B32*B51)</f>
        <v>-0.038781964603037886</v>
      </c>
      <c r="C71" s="166">
        <f>C16+(11/0.017)*(C17*C50-C32*C51)</f>
        <v>-0.04948540263493558</v>
      </c>
      <c r="D71" s="166">
        <f>D16+(11/0.017)*(D17*D50-D32*D51)</f>
        <v>-0.048766638384083766</v>
      </c>
      <c r="E71" s="166">
        <f>E16+(11/0.017)*(E17*E50-E32*E51)</f>
        <v>-0.045885661232894476</v>
      </c>
      <c r="F71" s="166">
        <f>F16+(11/0.017)*(F17*F50-F32*F51)</f>
        <v>-0.051897733554855136</v>
      </c>
    </row>
    <row r="72" spans="1:6" ht="12.75">
      <c r="A72" s="166" t="s">
        <v>167</v>
      </c>
      <c r="B72" s="166">
        <f>B17+(12/0.017)*(B18*B50-B33*B51)</f>
        <v>-0.010733769059670342</v>
      </c>
      <c r="C72" s="166">
        <f>C17+(12/0.017)*(C18*C50-C33*C51)</f>
        <v>-0.01318190407102338</v>
      </c>
      <c r="D72" s="166">
        <f>D17+(12/0.017)*(D18*D50-D33*D51)</f>
        <v>-0.004480792004232116</v>
      </c>
      <c r="E72" s="166">
        <f>E17+(12/0.017)*(E18*E50-E33*E51)</f>
        <v>8.139791464760937E-05</v>
      </c>
      <c r="F72" s="166">
        <f>F17+(12/0.017)*(F18*F50-F33*F51)</f>
        <v>0.0018686485409947539</v>
      </c>
    </row>
    <row r="73" spans="1:6" ht="12.75">
      <c r="A73" s="166" t="s">
        <v>168</v>
      </c>
      <c r="B73" s="166">
        <f>B18+(13/0.017)*(B19*B50-B34*B51)</f>
        <v>0.03231671223046843</v>
      </c>
      <c r="C73" s="166">
        <f>C18+(13/0.017)*(C19*C50-C34*C51)</f>
        <v>0.03522539633779946</v>
      </c>
      <c r="D73" s="166">
        <f>D18+(13/0.017)*(D19*D50-D34*D51)</f>
        <v>0.034397568989304746</v>
      </c>
      <c r="E73" s="166">
        <f>E18+(13/0.017)*(E19*E50-E34*E51)</f>
        <v>0.03855750318571551</v>
      </c>
      <c r="F73" s="166">
        <f>F18+(13/0.017)*(F19*F50-F34*F51)</f>
        <v>0.005800600992854455</v>
      </c>
    </row>
    <row r="74" spans="1:6" ht="12.75">
      <c r="A74" s="166" t="s">
        <v>169</v>
      </c>
      <c r="B74" s="166">
        <f>B19+(14/0.017)*(B20*B50-B35*B51)</f>
        <v>-0.1910691762732077</v>
      </c>
      <c r="C74" s="166">
        <f>C19+(14/0.017)*(C20*C50-C35*C51)</f>
        <v>-0.16800682696608274</v>
      </c>
      <c r="D74" s="166">
        <f>D19+(14/0.017)*(D20*D50-D35*D51)</f>
        <v>-0.17813267180370235</v>
      </c>
      <c r="E74" s="166">
        <f>E19+(14/0.017)*(E20*E50-E35*E51)</f>
        <v>-0.17378372491327657</v>
      </c>
      <c r="F74" s="166">
        <f>F19+(14/0.017)*(F20*F50-F35*F51)</f>
        <v>-0.14251377902958398</v>
      </c>
    </row>
    <row r="75" spans="1:6" ht="12.75">
      <c r="A75" s="166" t="s">
        <v>170</v>
      </c>
      <c r="B75" s="167">
        <f>B20</f>
        <v>-0.0003863031</v>
      </c>
      <c r="C75" s="167">
        <f>C20</f>
        <v>0.003106804</v>
      </c>
      <c r="D75" s="167">
        <f>D20</f>
        <v>-0.001330606</v>
      </c>
      <c r="E75" s="167">
        <f>E20</f>
        <v>-0.0003689367</v>
      </c>
      <c r="F75" s="167">
        <f>F20</f>
        <v>-0.000364194</v>
      </c>
    </row>
    <row r="78" ht="12.75">
      <c r="A78" s="166" t="s">
        <v>152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171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172</v>
      </c>
      <c r="B82" s="166">
        <f>B22+(2/0.017)*(B8*B51+B23*B50)</f>
        <v>133.24770882322215</v>
      </c>
      <c r="C82" s="166">
        <f>C22+(2/0.017)*(C8*C51+C23*C50)</f>
        <v>66.97941764743884</v>
      </c>
      <c r="D82" s="166">
        <f>D22+(2/0.017)*(D8*D51+D23*D50)</f>
        <v>-13.949220211135264</v>
      </c>
      <c r="E82" s="166">
        <f>E22+(2/0.017)*(E8*E51+E23*E50)</f>
        <v>-51.374983291891674</v>
      </c>
      <c r="F82" s="166">
        <f>F22+(2/0.017)*(F8*F51+F23*F50)</f>
        <v>-146.4185459034892</v>
      </c>
    </row>
    <row r="83" spans="1:6" ht="12.75">
      <c r="A83" s="166" t="s">
        <v>173</v>
      </c>
      <c r="B83" s="166">
        <f>B23+(3/0.017)*(B9*B51+B24*B50)</f>
        <v>1.729937070770681</v>
      </c>
      <c r="C83" s="166">
        <f>C23+(3/0.017)*(C9*C51+C24*C50)</f>
        <v>-0.5753195207214963</v>
      </c>
      <c r="D83" s="166">
        <f>D23+(3/0.017)*(D9*D51+D24*D50)</f>
        <v>0.6107943737501272</v>
      </c>
      <c r="E83" s="166">
        <f>E23+(3/0.017)*(E9*E51+E24*E50)</f>
        <v>-0.03206474855422713</v>
      </c>
      <c r="F83" s="166">
        <f>F23+(3/0.017)*(F9*F51+F24*F50)</f>
        <v>8.702735224414804</v>
      </c>
    </row>
    <row r="84" spans="1:6" ht="12.75">
      <c r="A84" s="166" t="s">
        <v>174</v>
      </c>
      <c r="B84" s="166">
        <f>B24+(4/0.017)*(B10*B51+B25*B50)</f>
        <v>4.820047041144367</v>
      </c>
      <c r="C84" s="166">
        <f>C24+(4/0.017)*(C10*C51+C25*C50)</f>
        <v>1.8566586504887994</v>
      </c>
      <c r="D84" s="166">
        <f>D24+(4/0.017)*(D10*D51+D25*D50)</f>
        <v>1.3599224973448951</v>
      </c>
      <c r="E84" s="166">
        <f>E24+(4/0.017)*(E10*E51+E25*E50)</f>
        <v>3.1087033895446607</v>
      </c>
      <c r="F84" s="166">
        <f>F24+(4/0.017)*(F10*F51+F25*F50)</f>
        <v>4.4372035467394015</v>
      </c>
    </row>
    <row r="85" spans="1:6" ht="12.75">
      <c r="A85" s="166" t="s">
        <v>175</v>
      </c>
      <c r="B85" s="166">
        <f>B25+(5/0.017)*(B11*B51+B26*B50)</f>
        <v>0.9141090758723658</v>
      </c>
      <c r="C85" s="166">
        <f>C25+(5/0.017)*(C11*C51+C26*C50)</f>
        <v>-0.3425331322429884</v>
      </c>
      <c r="D85" s="166">
        <f>D25+(5/0.017)*(D11*D51+D26*D50)</f>
        <v>0.21376413611488115</v>
      </c>
      <c r="E85" s="166">
        <f>E25+(5/0.017)*(E11*E51+E26*E50)</f>
        <v>-0.13116570232120225</v>
      </c>
      <c r="F85" s="166">
        <f>F25+(5/0.017)*(F11*F51+F26*F50)</f>
        <v>0.025021832123314103</v>
      </c>
    </row>
    <row r="86" spans="1:6" ht="12.75">
      <c r="A86" s="166" t="s">
        <v>176</v>
      </c>
      <c r="B86" s="166">
        <f>B26+(6/0.017)*(B12*B51+B27*B50)</f>
        <v>0.36944827408399256</v>
      </c>
      <c r="C86" s="166">
        <f>C26+(6/0.017)*(C12*C51+C27*C50)</f>
        <v>0.3579283465336756</v>
      </c>
      <c r="D86" s="166">
        <f>D26+(6/0.017)*(D12*D51+D27*D50)</f>
        <v>-0.3789033690722547</v>
      </c>
      <c r="E86" s="166">
        <f>E26+(6/0.017)*(E12*E51+E27*E50)</f>
        <v>0.41930892442311973</v>
      </c>
      <c r="F86" s="166">
        <f>F26+(6/0.017)*(F12*F51+F27*F50)</f>
        <v>0.168212071604805</v>
      </c>
    </row>
    <row r="87" spans="1:6" ht="12.75">
      <c r="A87" s="166" t="s">
        <v>177</v>
      </c>
      <c r="B87" s="166">
        <f>B27+(7/0.017)*(B13*B51+B28*B50)</f>
        <v>0.23928709763214193</v>
      </c>
      <c r="C87" s="166">
        <f>C27+(7/0.017)*(C13*C51+C28*C50)</f>
        <v>0.07273894763620005</v>
      </c>
      <c r="D87" s="166">
        <f>D27+(7/0.017)*(D13*D51+D28*D50)</f>
        <v>-0.3339622540946098</v>
      </c>
      <c r="E87" s="166">
        <f>E27+(7/0.017)*(E13*E51+E28*E50)</f>
        <v>-0.00952963144967532</v>
      </c>
      <c r="F87" s="166">
        <f>F27+(7/0.017)*(F13*F51+F28*F50)</f>
        <v>0.581702546438766</v>
      </c>
    </row>
    <row r="88" spans="1:6" ht="12.75">
      <c r="A88" s="166" t="s">
        <v>178</v>
      </c>
      <c r="B88" s="166">
        <f>B28+(8/0.017)*(B14*B51+B29*B50)</f>
        <v>0.5085575643263937</v>
      </c>
      <c r="C88" s="166">
        <f>C28+(8/0.017)*(C14*C51+C29*C50)</f>
        <v>0.11176399368524931</v>
      </c>
      <c r="D88" s="166">
        <f>D28+(8/0.017)*(D14*D51+D29*D50)</f>
        <v>0.036897326850993985</v>
      </c>
      <c r="E88" s="166">
        <f>E28+(8/0.017)*(E14*E51+E29*E50)</f>
        <v>0.19237280314877642</v>
      </c>
      <c r="F88" s="166">
        <f>F28+(8/0.017)*(F14*F51+F29*F50)</f>
        <v>0.3867309308642264</v>
      </c>
    </row>
    <row r="89" spans="1:6" ht="12.75">
      <c r="A89" s="166" t="s">
        <v>179</v>
      </c>
      <c r="B89" s="166">
        <f>B29+(9/0.017)*(B15*B51+B30*B50)</f>
        <v>0.040692257288104654</v>
      </c>
      <c r="C89" s="166">
        <f>C29+(9/0.017)*(C15*C51+C30*C50)</f>
        <v>0.03841873410955306</v>
      </c>
      <c r="D89" s="166">
        <f>D29+(9/0.017)*(D15*D51+D30*D50)</f>
        <v>0.06950004616088686</v>
      </c>
      <c r="E89" s="166">
        <f>E29+(9/0.017)*(E15*E51+E30*E50)</f>
        <v>0.016674025390773776</v>
      </c>
      <c r="F89" s="166">
        <f>F29+(9/0.017)*(F15*F51+F30*F50)</f>
        <v>0.043004306324457425</v>
      </c>
    </row>
    <row r="90" spans="1:6" ht="12.75">
      <c r="A90" s="166" t="s">
        <v>180</v>
      </c>
      <c r="B90" s="166">
        <f>B30+(10/0.017)*(B16*B51+B31*B50)</f>
        <v>0.029338637817551</v>
      </c>
      <c r="C90" s="166">
        <f>C30+(10/0.017)*(C16*C51+C31*C50)</f>
        <v>0.13668464176145098</v>
      </c>
      <c r="D90" s="166">
        <f>D30+(10/0.017)*(D16*D51+D31*D50)</f>
        <v>0.03730329339722391</v>
      </c>
      <c r="E90" s="166">
        <f>E30+(10/0.017)*(E16*E51+E31*E50)</f>
        <v>0.115939962936448</v>
      </c>
      <c r="F90" s="166">
        <f>F30+(10/0.017)*(F16*F51+F31*F50)</f>
        <v>0.222085655002481</v>
      </c>
    </row>
    <row r="91" spans="1:6" ht="12.75">
      <c r="A91" s="166" t="s">
        <v>181</v>
      </c>
      <c r="B91" s="166">
        <f>B31+(11/0.017)*(B17*B51+B32*B50)</f>
        <v>0.02757288744314116</v>
      </c>
      <c r="C91" s="166">
        <f>C31+(11/0.017)*(C17*C51+C32*C50)</f>
        <v>0.030863006584045356</v>
      </c>
      <c r="D91" s="166">
        <f>D31+(11/0.017)*(D17*D51+D32*D50)</f>
        <v>0.017324819945285997</v>
      </c>
      <c r="E91" s="166">
        <f>E31+(11/0.017)*(E17*E51+E32*E50)</f>
        <v>0.03183330321638045</v>
      </c>
      <c r="F91" s="166">
        <f>F31+(11/0.017)*(F17*F51+F32*F50)</f>
        <v>0.051061791340507506</v>
      </c>
    </row>
    <row r="92" spans="1:6" ht="12.75">
      <c r="A92" s="166" t="s">
        <v>182</v>
      </c>
      <c r="B92" s="166">
        <f>B32+(12/0.017)*(B18*B51+B33*B50)</f>
        <v>0.03986518344715815</v>
      </c>
      <c r="C92" s="166">
        <f>C32+(12/0.017)*(C18*C51+C33*C50)</f>
        <v>-0.01086551814607562</v>
      </c>
      <c r="D92" s="166">
        <f>D32+(12/0.017)*(D18*D51+D33*D50)</f>
        <v>-0.008240247711151706</v>
      </c>
      <c r="E92" s="166">
        <f>E32+(12/0.017)*(E18*E51+E33*E50)</f>
        <v>0.01742324968731939</v>
      </c>
      <c r="F92" s="166">
        <f>F32+(12/0.017)*(F18*F51+F33*F50)</f>
        <v>0.02027796653052332</v>
      </c>
    </row>
    <row r="93" spans="1:6" ht="12.75">
      <c r="A93" s="166" t="s">
        <v>183</v>
      </c>
      <c r="B93" s="166">
        <f>B33+(13/0.017)*(B19*B51+B34*B50)</f>
        <v>0.03778068726630028</v>
      </c>
      <c r="C93" s="166">
        <f>C33+(13/0.017)*(C19*C51+C34*C50)</f>
        <v>0.032369655243354264</v>
      </c>
      <c r="D93" s="166">
        <f>D33+(13/0.017)*(D19*D51+D34*D50)</f>
        <v>0.019365358807281102</v>
      </c>
      <c r="E93" s="166">
        <f>E33+(13/0.017)*(E19*E51+E34*E50)</f>
        <v>0.02547163257295938</v>
      </c>
      <c r="F93" s="166">
        <f>F33+(13/0.017)*(F19*F51+F34*F50)</f>
        <v>0.020675039331392756</v>
      </c>
    </row>
    <row r="94" spans="1:6" ht="12.75">
      <c r="A94" s="166" t="s">
        <v>184</v>
      </c>
      <c r="B94" s="166">
        <f>B34+(14/0.017)*(B20*B51+B35*B50)</f>
        <v>-0.001705929029540971</v>
      </c>
      <c r="C94" s="166">
        <f>C34+(14/0.017)*(C20*C51+C35*C50)</f>
        <v>0.020736064020409145</v>
      </c>
      <c r="D94" s="166">
        <f>D34+(14/0.017)*(D20*D51+D35*D50)</f>
        <v>0.016448538798479982</v>
      </c>
      <c r="E94" s="166">
        <f>E34+(14/0.017)*(E20*E51+E35*E50)</f>
        <v>0.030838400163782607</v>
      </c>
      <c r="F94" s="166">
        <f>F34+(14/0.017)*(F20*F51+F35*F50)</f>
        <v>-0.010204023281075246</v>
      </c>
    </row>
    <row r="95" spans="1:6" ht="12.75">
      <c r="A95" s="166" t="s">
        <v>185</v>
      </c>
      <c r="B95" s="167">
        <f>B35</f>
        <v>-0.0008790928</v>
      </c>
      <c r="C95" s="167">
        <f>C35</f>
        <v>0.0001881946</v>
      </c>
      <c r="D95" s="167">
        <f>D35</f>
        <v>0.005121212</v>
      </c>
      <c r="E95" s="167">
        <f>E35</f>
        <v>-0.0002745801</v>
      </c>
      <c r="F95" s="167">
        <f>F35</f>
        <v>0.007830739</v>
      </c>
    </row>
    <row r="98" ht="12.75">
      <c r="A98" s="166" t="s">
        <v>153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155</v>
      </c>
      <c r="H100" s="166" t="s">
        <v>156</v>
      </c>
      <c r="I100" s="166" t="s">
        <v>151</v>
      </c>
      <c r="K100" s="166" t="s">
        <v>186</v>
      </c>
    </row>
    <row r="101" spans="1:9" ht="12.75">
      <c r="A101" s="166" t="s">
        <v>154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157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158</v>
      </c>
      <c r="B103" s="166">
        <f>B63*10000/B62</f>
        <v>1.1440867587375412</v>
      </c>
      <c r="C103" s="166">
        <f>C63*10000/C62</f>
        <v>4.069948947018373</v>
      </c>
      <c r="D103" s="166">
        <f>D63*10000/D62</f>
        <v>3.498960496398313</v>
      </c>
      <c r="E103" s="166">
        <f>E63*10000/E62</f>
        <v>3.3256254255282585</v>
      </c>
      <c r="F103" s="166">
        <f>F63*10000/F62</f>
        <v>0.5136779857895741</v>
      </c>
      <c r="G103" s="166">
        <f>AVERAGE(C103:E103)</f>
        <v>3.631511622981648</v>
      </c>
      <c r="H103" s="166">
        <f>STDEV(C103:E103)</f>
        <v>0.38946338342615744</v>
      </c>
      <c r="I103" s="166">
        <f>(B103*B4+C103*C4+D103*D4+E103*E4+F103*F4)/SUM(B4:F4)</f>
        <v>2.855262672858015</v>
      </c>
      <c r="K103" s="166">
        <f>(LN(H103)+LN(H123))/2-LN(K114*K115^3)</f>
        <v>-4.610689594357876</v>
      </c>
    </row>
    <row r="104" spans="1:11" ht="12.75">
      <c r="A104" s="166" t="s">
        <v>159</v>
      </c>
      <c r="B104" s="166">
        <f>B64*10000/B62</f>
        <v>1.3450042714572716</v>
      </c>
      <c r="C104" s="166">
        <f>C64*10000/C62</f>
        <v>1.0051842705104372</v>
      </c>
      <c r="D104" s="166">
        <f>D64*10000/D62</f>
        <v>0.8210815622283278</v>
      </c>
      <c r="E104" s="166">
        <f>E64*10000/E62</f>
        <v>0.6067713243352648</v>
      </c>
      <c r="F104" s="166">
        <f>F64*10000/F62</f>
        <v>-1.2815369442607965</v>
      </c>
      <c r="G104" s="166">
        <f>AVERAGE(C104:E104)</f>
        <v>0.8110123856913433</v>
      </c>
      <c r="H104" s="166">
        <f>STDEV(C104:E104)</f>
        <v>0.19939724210002274</v>
      </c>
      <c r="I104" s="166">
        <f>(B104*B4+C104*C4+D104*D4+E104*E4+F104*F4)/SUM(B4:F4)</f>
        <v>0.6087796975268779</v>
      </c>
      <c r="K104" s="166">
        <f>(LN(H104)+LN(H124))/2-LN(K114*K115^4)</f>
        <v>-4.145496421399481</v>
      </c>
    </row>
    <row r="105" spans="1:11" ht="12.75">
      <c r="A105" s="166" t="s">
        <v>160</v>
      </c>
      <c r="B105" s="166">
        <f>B65*10000/B62</f>
        <v>-0.41621338500320576</v>
      </c>
      <c r="C105" s="166">
        <f>C65*10000/C62</f>
        <v>-1.4041460501251488</v>
      </c>
      <c r="D105" s="166">
        <f>D65*10000/D62</f>
        <v>-1.2315070518393354</v>
      </c>
      <c r="E105" s="166">
        <f>E65*10000/E62</f>
        <v>-0.9449618710607759</v>
      </c>
      <c r="F105" s="166">
        <f>F65*10000/F62</f>
        <v>-0.5557340589231281</v>
      </c>
      <c r="G105" s="166">
        <f>AVERAGE(C105:E105)</f>
        <v>-1.1935383243417534</v>
      </c>
      <c r="H105" s="166">
        <f>STDEV(C105:E105)</f>
        <v>0.2319347877671543</v>
      </c>
      <c r="I105" s="166">
        <f>(B105*B4+C105*C4+D105*D4+E105*E4+F105*F4)/SUM(B4:F4)</f>
        <v>-0.9959002357509863</v>
      </c>
      <c r="K105" s="166">
        <f>(LN(H105)+LN(H125))/2-LN(K114*K115^5)</f>
        <v>-4.061616835289722</v>
      </c>
    </row>
    <row r="106" spans="1:11" ht="12.75">
      <c r="A106" s="166" t="s">
        <v>161</v>
      </c>
      <c r="B106" s="166">
        <f>B66*10000/B62</f>
        <v>3.866480179088916</v>
      </c>
      <c r="C106" s="166">
        <f>C66*10000/C62</f>
        <v>3.2217670592352476</v>
      </c>
      <c r="D106" s="166">
        <f>D66*10000/D62</f>
        <v>3.7127979768035555</v>
      </c>
      <c r="E106" s="166">
        <f>E66*10000/E62</f>
        <v>3.18831925386906</v>
      </c>
      <c r="F106" s="166">
        <f>F66*10000/F62</f>
        <v>14.527226897832179</v>
      </c>
      <c r="G106" s="166">
        <f>AVERAGE(C106:E106)</f>
        <v>3.3742947633026206</v>
      </c>
      <c r="H106" s="166">
        <f>STDEV(C106:E106)</f>
        <v>0.29362903140493596</v>
      </c>
      <c r="I106" s="166">
        <f>(B106*B4+C106*C4+D106*D4+E106*E4+F106*F4)/SUM(B4:F4)</f>
        <v>4.935061029647838</v>
      </c>
      <c r="K106" s="166">
        <f>(LN(H106)+LN(H126))/2-LN(K114*K115^6)</f>
        <v>-3.1230821720219697</v>
      </c>
    </row>
    <row r="107" spans="1:11" ht="12.75">
      <c r="A107" s="166" t="s">
        <v>162</v>
      </c>
      <c r="B107" s="166">
        <f>B67*10000/B62</f>
        <v>-0.1335022149936202</v>
      </c>
      <c r="C107" s="166">
        <f>C67*10000/C62</f>
        <v>-0.24165258093823222</v>
      </c>
      <c r="D107" s="166">
        <f>D67*10000/D62</f>
        <v>-0.050682723137807584</v>
      </c>
      <c r="E107" s="166">
        <f>E67*10000/E62</f>
        <v>-0.058524457631950855</v>
      </c>
      <c r="F107" s="166">
        <f>F67*10000/F62</f>
        <v>-0.3914128624366867</v>
      </c>
      <c r="G107" s="166">
        <f>AVERAGE(C107:E107)</f>
        <v>-0.11695325390266355</v>
      </c>
      <c r="H107" s="166">
        <f>STDEV(C107:E107)</f>
        <v>0.10806393858411759</v>
      </c>
      <c r="I107" s="166">
        <f>(B107*B4+C107*C4+D107*D4+E107*E4+F107*F4)/SUM(B4:F4)</f>
        <v>-0.1560083899137722</v>
      </c>
      <c r="K107" s="166">
        <f>(LN(H107)+LN(H127))/2-LN(K114*K115^7)</f>
        <v>-3.394302146117165</v>
      </c>
    </row>
    <row r="108" spans="1:9" ht="12.75">
      <c r="A108" s="166" t="s">
        <v>163</v>
      </c>
      <c r="B108" s="166">
        <f>B68*10000/B62</f>
        <v>-0.0650831226256249</v>
      </c>
      <c r="C108" s="166">
        <f>C68*10000/C62</f>
        <v>0.13082495004903322</v>
      </c>
      <c r="D108" s="166">
        <f>D68*10000/D62</f>
        <v>-0.027221567996295187</v>
      </c>
      <c r="E108" s="166">
        <f>E68*10000/E62</f>
        <v>0.04956613936949533</v>
      </c>
      <c r="F108" s="166">
        <f>F68*10000/F62</f>
        <v>-0.10269457513017455</v>
      </c>
      <c r="G108" s="166">
        <f>AVERAGE(C108:E108)</f>
        <v>0.05105650714074445</v>
      </c>
      <c r="H108" s="166">
        <f>STDEV(C108:E108)</f>
        <v>0.07903379886879576</v>
      </c>
      <c r="I108" s="166">
        <f>(B108*B4+C108*C4+D108*D4+E108*E4+F108*F4)/SUM(B4:F4)</f>
        <v>0.013725369882285954</v>
      </c>
    </row>
    <row r="109" spans="1:9" ht="12.75">
      <c r="A109" s="166" t="s">
        <v>164</v>
      </c>
      <c r="B109" s="166">
        <f>B69*10000/B62</f>
        <v>-0.001637604080414863</v>
      </c>
      <c r="C109" s="166">
        <f>C69*10000/C62</f>
        <v>-0.00774495003098723</v>
      </c>
      <c r="D109" s="166">
        <f>D69*10000/D62</f>
        <v>0.07241276113071067</v>
      </c>
      <c r="E109" s="166">
        <f>E69*10000/E62</f>
        <v>0.05922230015955413</v>
      </c>
      <c r="F109" s="166">
        <f>F69*10000/F62</f>
        <v>0.14773076040927452</v>
      </c>
      <c r="G109" s="166">
        <f>AVERAGE(C109:E109)</f>
        <v>0.04129670375309252</v>
      </c>
      <c r="H109" s="166">
        <f>STDEV(C109:E109)</f>
        <v>0.042980343409122025</v>
      </c>
      <c r="I109" s="166">
        <f>(B109*B4+C109*C4+D109*D4+E109*E4+F109*F4)/SUM(B4:F4)</f>
        <v>0.04929902876351622</v>
      </c>
    </row>
    <row r="110" spans="1:11" ht="12.75">
      <c r="A110" s="166" t="s">
        <v>165</v>
      </c>
      <c r="B110" s="166">
        <f>B70*10000/B62</f>
        <v>-0.3655472515921688</v>
      </c>
      <c r="C110" s="166">
        <f>C70*10000/C62</f>
        <v>-0.08500668109642692</v>
      </c>
      <c r="D110" s="166">
        <f>D70*10000/D62</f>
        <v>-0.026231273428706837</v>
      </c>
      <c r="E110" s="166">
        <f>E70*10000/E62</f>
        <v>-0.039117894033784614</v>
      </c>
      <c r="F110" s="166">
        <f>F70*10000/F62</f>
        <v>-0.33593387117237455</v>
      </c>
      <c r="G110" s="166">
        <f>AVERAGE(C110:E110)</f>
        <v>-0.05011861618630612</v>
      </c>
      <c r="H110" s="166">
        <f>STDEV(C110:E110)</f>
        <v>0.03089334964898441</v>
      </c>
      <c r="I110" s="166">
        <f>(B110*B4+C110*C4+D110*D4+E110*E4+F110*F4)/SUM(B4:F4)</f>
        <v>-0.13392463487403997</v>
      </c>
      <c r="K110" s="166">
        <f>EXP(AVERAGE(K103:K107))</f>
        <v>0.02092025534999414</v>
      </c>
    </row>
    <row r="111" spans="1:9" ht="12.75">
      <c r="A111" s="166" t="s">
        <v>166</v>
      </c>
      <c r="B111" s="166">
        <f>B71*10000/B62</f>
        <v>-0.03878208120768329</v>
      </c>
      <c r="C111" s="166">
        <f>C71*10000/C62</f>
        <v>-0.04948532346532196</v>
      </c>
      <c r="D111" s="166">
        <f>D71*10000/D62</f>
        <v>-0.048766548065680045</v>
      </c>
      <c r="E111" s="166">
        <f>E71*10000/E62</f>
        <v>-0.045885740586034535</v>
      </c>
      <c r="F111" s="166">
        <f>F71*10000/F62</f>
        <v>-0.05189868309573952</v>
      </c>
      <c r="G111" s="166">
        <f>AVERAGE(C111:E111)</f>
        <v>-0.048045870705678846</v>
      </c>
      <c r="H111" s="166">
        <f>STDEV(C111:E111)</f>
        <v>0.0019049359881969851</v>
      </c>
      <c r="I111" s="166">
        <f>(B111*B4+C111*C4+D111*D4+E111*E4+F111*F4)/SUM(B4:F4)</f>
        <v>-0.04722027545363304</v>
      </c>
    </row>
    <row r="112" spans="1:9" ht="12.75">
      <c r="A112" s="166" t="s">
        <v>167</v>
      </c>
      <c r="B112" s="166">
        <f>B72*10000/B62</f>
        <v>-0.010733801332592765</v>
      </c>
      <c r="C112" s="166">
        <f>C72*10000/C62</f>
        <v>-0.013181882981849672</v>
      </c>
      <c r="D112" s="166">
        <f>D72*10000/D62</f>
        <v>-0.004480783705567401</v>
      </c>
      <c r="E112" s="166">
        <f>E72*10000/E62</f>
        <v>8.13980554144622E-05</v>
      </c>
      <c r="F112" s="166">
        <f>F72*10000/F62</f>
        <v>0.0018686827305068327</v>
      </c>
      <c r="G112" s="166">
        <f>AVERAGE(C112:E112)</f>
        <v>-0.005860422877334203</v>
      </c>
      <c r="H112" s="166">
        <f>STDEV(C112:E112)</f>
        <v>0.00673841295495962</v>
      </c>
      <c r="I112" s="166">
        <f>(B112*B4+C112*C4+D112*D4+E112*E4+F112*F4)/SUM(B4:F4)</f>
        <v>-0.005533210625707696</v>
      </c>
    </row>
    <row r="113" spans="1:9" ht="12.75">
      <c r="A113" s="166" t="s">
        <v>168</v>
      </c>
      <c r="B113" s="166">
        <f>B73*10000/B62</f>
        <v>0.03231680939622083</v>
      </c>
      <c r="C113" s="166">
        <f>C73*10000/C62</f>
        <v>0.03522533998216994</v>
      </c>
      <c r="D113" s="166">
        <f>D73*10000/D62</f>
        <v>0.034397505283180516</v>
      </c>
      <c r="E113" s="166">
        <f>E73*10000/E62</f>
        <v>0.03855756986578219</v>
      </c>
      <c r="F113" s="166">
        <f>F73*10000/F62</f>
        <v>0.005800707122880171</v>
      </c>
      <c r="G113" s="166">
        <f>AVERAGE(C113:E113)</f>
        <v>0.036060138377044214</v>
      </c>
      <c r="H113" s="166">
        <f>STDEV(C113:E113)</f>
        <v>0.0022020900533169965</v>
      </c>
      <c r="I113" s="166">
        <f>(B113*B4+C113*C4+D113*D4+E113*E4+F113*F4)/SUM(B4:F4)</f>
        <v>0.03147726966967002</v>
      </c>
    </row>
    <row r="114" spans="1:11" ht="12.75">
      <c r="A114" s="166" t="s">
        <v>169</v>
      </c>
      <c r="B114" s="166">
        <f>B74*10000/B62</f>
        <v>-0.19106975075554183</v>
      </c>
      <c r="C114" s="166">
        <f>C74*10000/C62</f>
        <v>-0.16800655817902901</v>
      </c>
      <c r="D114" s="166">
        <f>D74*10000/D62</f>
        <v>-0.17813234189253557</v>
      </c>
      <c r="E114" s="166">
        <f>E74*10000/E62</f>
        <v>-0.17378402544908433</v>
      </c>
      <c r="F114" s="166">
        <f>F74*10000/F62</f>
        <v>-0.1425163865164723</v>
      </c>
      <c r="G114" s="166">
        <f>AVERAGE(C114:E114)</f>
        <v>-0.1733076418402163</v>
      </c>
      <c r="H114" s="166">
        <f>STDEV(C114:E114)</f>
        <v>0.005079673213926198</v>
      </c>
      <c r="I114" s="166">
        <f>(B114*B4+C114*C4+D114*D4+E114*E4+F114*F4)/SUM(B4:F4)</f>
        <v>-0.17176437545592652</v>
      </c>
      <c r="J114" s="166" t="s">
        <v>187</v>
      </c>
      <c r="K114" s="166">
        <v>285</v>
      </c>
    </row>
    <row r="115" spans="1:11" ht="12.75">
      <c r="A115" s="166" t="s">
        <v>170</v>
      </c>
      <c r="B115" s="166">
        <f>B75*10000/B62</f>
        <v>-0.0003863042614866976</v>
      </c>
      <c r="C115" s="166">
        <f>C75*10000/C62</f>
        <v>0.0031067990295549964</v>
      </c>
      <c r="D115" s="166">
        <f>D75*10000/D62</f>
        <v>-0.0013306035356470348</v>
      </c>
      <c r="E115" s="166">
        <f>E75*10000/E62</f>
        <v>-0.0003689373380268878</v>
      </c>
      <c r="F115" s="166">
        <f>F75*10000/F62</f>
        <v>-0.00036420066343343266</v>
      </c>
      <c r="G115" s="166">
        <f>AVERAGE(C115:E115)</f>
        <v>0.00046908605196035796</v>
      </c>
      <c r="H115" s="166">
        <f>STDEV(C115:E115)</f>
        <v>0.002334383812281022</v>
      </c>
      <c r="I115" s="166">
        <f>(B115*B4+C115*C4+D115*D4+E115*E4+F115*F4)/SUM(B4:F4)</f>
        <v>0.00023416404877336518</v>
      </c>
      <c r="J115" s="166" t="s">
        <v>188</v>
      </c>
      <c r="K115" s="166">
        <v>0.5536</v>
      </c>
    </row>
    <row r="118" ht="12.75">
      <c r="A118" s="166" t="s">
        <v>153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155</v>
      </c>
      <c r="H120" s="166" t="s">
        <v>156</v>
      </c>
      <c r="I120" s="166" t="s">
        <v>151</v>
      </c>
    </row>
    <row r="121" spans="1:9" ht="12.75">
      <c r="A121" s="166" t="s">
        <v>171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172</v>
      </c>
      <c r="B122" s="166">
        <f>B82*10000/B62</f>
        <v>133.24810945537158</v>
      </c>
      <c r="C122" s="166">
        <f>C82*10000/C62</f>
        <v>66.97931048988664</v>
      </c>
      <c r="D122" s="166">
        <f>D82*10000/D62</f>
        <v>-13.949194376438749</v>
      </c>
      <c r="E122" s="166">
        <f>E82*10000/E62</f>
        <v>-51.37507213808316</v>
      </c>
      <c r="F122" s="166">
        <f>F82*10000/F62</f>
        <v>-146.42122483349334</v>
      </c>
      <c r="G122" s="166">
        <f>AVERAGE(C122:E122)</f>
        <v>0.551681325121578</v>
      </c>
      <c r="H122" s="166">
        <f>STDEV(C122:E122)</f>
        <v>60.4950123472675</v>
      </c>
      <c r="I122" s="166">
        <f>(B122*B4+C122*C4+D122*D4+E122*E4+F122*F4)/SUM(B4:F4)</f>
        <v>0.11920793863851085</v>
      </c>
    </row>
    <row r="123" spans="1:9" ht="12.75">
      <c r="A123" s="166" t="s">
        <v>173</v>
      </c>
      <c r="B123" s="166">
        <f>B83*10000/B62</f>
        <v>1.7299422721239588</v>
      </c>
      <c r="C123" s="166">
        <f>C83*10000/C62</f>
        <v>-0.5753186002920011</v>
      </c>
      <c r="D123" s="166">
        <f>D83*10000/D62</f>
        <v>0.6107932425265147</v>
      </c>
      <c r="E123" s="166">
        <f>E83*10000/E62</f>
        <v>-0.032064804005939376</v>
      </c>
      <c r="F123" s="166">
        <f>F83*10000/F62</f>
        <v>8.702894453004099</v>
      </c>
      <c r="G123" s="166">
        <f>AVERAGE(C123:E123)</f>
        <v>0.0011366127428580665</v>
      </c>
      <c r="H123" s="166">
        <f>STDEV(C123:E123)</f>
        <v>0.5937525380780947</v>
      </c>
      <c r="I123" s="166">
        <f>(B123*B4+C123*C4+D123*D4+E123*E4+F123*F4)/SUM(B4:F4)</f>
        <v>1.413400033909591</v>
      </c>
    </row>
    <row r="124" spans="1:9" ht="12.75">
      <c r="A124" s="166" t="s">
        <v>174</v>
      </c>
      <c r="B124" s="166">
        <f>B84*10000/B62</f>
        <v>4.820061533444636</v>
      </c>
      <c r="C124" s="166">
        <f>C84*10000/C62</f>
        <v>1.8566556800987415</v>
      </c>
      <c r="D124" s="166">
        <f>D84*10000/D62</f>
        <v>1.35991997869622</v>
      </c>
      <c r="E124" s="166">
        <f>E84*10000/E62</f>
        <v>3.1087087656331565</v>
      </c>
      <c r="F124" s="166">
        <f>F84*10000/F62</f>
        <v>4.437284731521307</v>
      </c>
      <c r="G124" s="166">
        <f>AVERAGE(C124:E124)</f>
        <v>2.1084281414760393</v>
      </c>
      <c r="H124" s="166">
        <f>STDEV(C124:E124)</f>
        <v>0.9011701196555946</v>
      </c>
      <c r="I124" s="166">
        <f>(B124*B4+C124*C4+D124*D4+E124*E4+F124*F4)/SUM(B4:F4)</f>
        <v>2.8117925428330897</v>
      </c>
    </row>
    <row r="125" spans="1:9" ht="12.75">
      <c r="A125" s="166" t="s">
        <v>175</v>
      </c>
      <c r="B125" s="166">
        <f>B85*10000/B62</f>
        <v>0.9141118242984897</v>
      </c>
      <c r="C125" s="166">
        <f>C85*10000/C62</f>
        <v>-0.3425325842386419</v>
      </c>
      <c r="D125" s="166">
        <f>D85*10000/D62</f>
        <v>0.21376374021235048</v>
      </c>
      <c r="E125" s="166">
        <f>E85*10000/E62</f>
        <v>-0.13116592915481579</v>
      </c>
      <c r="F125" s="166">
        <f>F85*10000/F62</f>
        <v>0.025022289932373883</v>
      </c>
      <c r="G125" s="166">
        <f>AVERAGE(C125:E125)</f>
        <v>-0.08664492439370242</v>
      </c>
      <c r="H125" s="166">
        <f>STDEV(C125:E125)</f>
        <v>0.2808077457053585</v>
      </c>
      <c r="I125" s="166">
        <f>(B125*B4+C125*C4+D125*D4+E125*E4+F125*F4)/SUM(B4:F4)</f>
        <v>0.07302292593042053</v>
      </c>
    </row>
    <row r="126" spans="1:9" ht="12.75">
      <c r="A126" s="166" t="s">
        <v>176</v>
      </c>
      <c r="B126" s="166">
        <f>B86*10000/B62</f>
        <v>0.3694493848937577</v>
      </c>
      <c r="C126" s="166">
        <f>C86*10000/C62</f>
        <v>0.3579277738991735</v>
      </c>
      <c r="D126" s="166">
        <f>D86*10000/D62</f>
        <v>-0.3789026673230959</v>
      </c>
      <c r="E126" s="166">
        <f>E86*10000/E62</f>
        <v>0.419309649562061</v>
      </c>
      <c r="F126" s="166">
        <f>F86*10000/F62</f>
        <v>0.1682151492775336</v>
      </c>
      <c r="G126" s="166">
        <f>AVERAGE(C126:E126)</f>
        <v>0.1327782520460462</v>
      </c>
      <c r="H126" s="166">
        <f>STDEV(C126:E126)</f>
        <v>0.44419022512861694</v>
      </c>
      <c r="I126" s="166">
        <f>(B126*B4+C126*C4+D126*D4+E126*E4+F126*F4)/SUM(B4:F4)</f>
        <v>0.17178169197267718</v>
      </c>
    </row>
    <row r="127" spans="1:9" ht="12.75">
      <c r="A127" s="166" t="s">
        <v>177</v>
      </c>
      <c r="B127" s="166">
        <f>B87*10000/B62</f>
        <v>0.239287817089948</v>
      </c>
      <c r="C127" s="166">
        <f>C87*10000/C62</f>
        <v>0.07273883126421815</v>
      </c>
      <c r="D127" s="166">
        <f>D87*10000/D62</f>
        <v>-0.3339616355787823</v>
      </c>
      <c r="E127" s="166">
        <f>E87*10000/E62</f>
        <v>-0.009529647929903757</v>
      </c>
      <c r="F127" s="166">
        <f>F87*10000/F62</f>
        <v>0.5817131894921821</v>
      </c>
      <c r="G127" s="166">
        <f>AVERAGE(C127:E127)</f>
        <v>-0.09025081741482262</v>
      </c>
      <c r="H127" s="166">
        <f>STDEV(C127:E127)</f>
        <v>0.21503080671112773</v>
      </c>
      <c r="I127" s="166">
        <f>(B127*B4+C127*C4+D127*D4+E127*E4+F127*F4)/SUM(B4:F4)</f>
        <v>0.047184577705220616</v>
      </c>
    </row>
    <row r="128" spans="1:9" ht="12.75">
      <c r="A128" s="166" t="s">
        <v>178</v>
      </c>
      <c r="B128" s="166">
        <f>B88*10000/B62</f>
        <v>0.5085590933921608</v>
      </c>
      <c r="C128" s="166">
        <f>C88*10000/C62</f>
        <v>0.11176381487873818</v>
      </c>
      <c r="D128" s="166">
        <f>D88*10000/D62</f>
        <v>0.03689725851518546</v>
      </c>
      <c r="E128" s="166">
        <f>E88*10000/E62</f>
        <v>0.19237313583191928</v>
      </c>
      <c r="F128" s="166">
        <f>F88*10000/F62</f>
        <v>0.38673800664201013</v>
      </c>
      <c r="G128" s="166">
        <f>AVERAGE(C128:E128)</f>
        <v>0.11367806974194765</v>
      </c>
      <c r="H128" s="166">
        <f>STDEV(C128:E128)</f>
        <v>0.07775561320967772</v>
      </c>
      <c r="I128" s="166">
        <f>(B128*B4+C128*C4+D128*D4+E128*E4+F128*F4)/SUM(B4:F4)</f>
        <v>0.20727773194641705</v>
      </c>
    </row>
    <row r="129" spans="1:9" ht="12.75">
      <c r="A129" s="166" t="s">
        <v>179</v>
      </c>
      <c r="B129" s="166">
        <f>B89*10000/B62</f>
        <v>0.0406923796363735</v>
      </c>
      <c r="C129" s="166">
        <f>C89*10000/C62</f>
        <v>0.03841867264503679</v>
      </c>
      <c r="D129" s="166">
        <f>D89*10000/D62</f>
        <v>0.06949991744311101</v>
      </c>
      <c r="E129" s="166">
        <f>E89*10000/E62</f>
        <v>0.016674054226280044</v>
      </c>
      <c r="F129" s="166">
        <f>F89*10000/F62</f>
        <v>0.04300509314777827</v>
      </c>
      <c r="G129" s="166">
        <f>AVERAGE(C129:E129)</f>
        <v>0.04153088143814262</v>
      </c>
      <c r="H129" s="166">
        <f>STDEV(C129:E129)</f>
        <v>0.026550091126580865</v>
      </c>
      <c r="I129" s="166">
        <f>(B129*B4+C129*C4+D129*D4+E129*E4+F129*F4)/SUM(B4:F4)</f>
        <v>0.041604681737902535</v>
      </c>
    </row>
    <row r="130" spans="1:9" ht="12.75">
      <c r="A130" s="166" t="s">
        <v>180</v>
      </c>
      <c r="B130" s="166">
        <f>B90*10000/B62</f>
        <v>0.029338726029210577</v>
      </c>
      <c r="C130" s="166">
        <f>C90*10000/C62</f>
        <v>0.1366844230854435</v>
      </c>
      <c r="D130" s="166">
        <f>D90*10000/D62</f>
        <v>0.03730322430954378</v>
      </c>
      <c r="E130" s="166">
        <f>E90*10000/E62</f>
        <v>0.11594016343917304</v>
      </c>
      <c r="F130" s="166">
        <f>F90*10000/F62</f>
        <v>0.22208971836700228</v>
      </c>
      <c r="G130" s="166">
        <f>AVERAGE(C130:E130)</f>
        <v>0.09664260361138677</v>
      </c>
      <c r="H130" s="166">
        <f>STDEV(C130:E130)</f>
        <v>0.052425685775333145</v>
      </c>
      <c r="I130" s="166">
        <f>(B130*B4+C130*C4+D130*D4+E130*E4+F130*F4)/SUM(B4:F4)</f>
        <v>0.10366473602365252</v>
      </c>
    </row>
    <row r="131" spans="1:9" ht="12.75">
      <c r="A131" s="166" t="s">
        <v>181</v>
      </c>
      <c r="B131" s="166">
        <f>B91*10000/B62</f>
        <v>0.027572970345768607</v>
      </c>
      <c r="C131" s="166">
        <f>C91*10000/C62</f>
        <v>0.030862957207619654</v>
      </c>
      <c r="D131" s="166">
        <f>D91*10000/D62</f>
        <v>0.017324787858799536</v>
      </c>
      <c r="E131" s="166">
        <f>E91*10000/E62</f>
        <v>0.031833358267838806</v>
      </c>
      <c r="F131" s="166">
        <f>F91*10000/F62</f>
        <v>0.05106272558667178</v>
      </c>
      <c r="G131" s="166">
        <f>AVERAGE(C131:E131)</f>
        <v>0.02667370111141933</v>
      </c>
      <c r="H131" s="166">
        <f>STDEV(C131:E131)</f>
        <v>0.008110921883989286</v>
      </c>
      <c r="I131" s="166">
        <f>(B131*B4+C131*C4+D131*D4+E131*E4+F131*F4)/SUM(B4:F4)</f>
        <v>0.03006179312736672</v>
      </c>
    </row>
    <row r="132" spans="1:9" ht="12.75">
      <c r="A132" s="166" t="s">
        <v>182</v>
      </c>
      <c r="B132" s="166">
        <f>B92*10000/B62</f>
        <v>0.039865303308687275</v>
      </c>
      <c r="C132" s="166">
        <f>C92*10000/C62</f>
        <v>-0.010865500762790295</v>
      </c>
      <c r="D132" s="166">
        <f>D92*10000/D62</f>
        <v>-0.0082402324497754</v>
      </c>
      <c r="E132" s="166">
        <f>E92*10000/E62</f>
        <v>0.0174232798185093</v>
      </c>
      <c r="F132" s="166">
        <f>F92*10000/F62</f>
        <v>0.02027833754399451</v>
      </c>
      <c r="G132" s="166">
        <f>AVERAGE(C132:E132)</f>
        <v>-0.0005608177980187985</v>
      </c>
      <c r="H132" s="166">
        <f>STDEV(C132:E132)</f>
        <v>0.015629901910742712</v>
      </c>
      <c r="I132" s="166">
        <f>(B132*B4+C132*C4+D132*D4+E132*E4+F132*F4)/SUM(B4:F4)</f>
        <v>0.00807113385180451</v>
      </c>
    </row>
    <row r="133" spans="1:9" ht="12.75">
      <c r="A133" s="166" t="s">
        <v>183</v>
      </c>
      <c r="B133" s="166">
        <f>B93*10000/B62</f>
        <v>0.03778080086043319</v>
      </c>
      <c r="C133" s="166">
        <f>C93*10000/C62</f>
        <v>0.03236960345650476</v>
      </c>
      <c r="D133" s="166">
        <f>D93*10000/D62</f>
        <v>0.01936532294160832</v>
      </c>
      <c r="E133" s="166">
        <f>E93*10000/E62</f>
        <v>0.025471676622755606</v>
      </c>
      <c r="F133" s="166">
        <f>F93*10000/F62</f>
        <v>0.02067541760986056</v>
      </c>
      <c r="G133" s="166">
        <f>AVERAGE(C133:E133)</f>
        <v>0.025735534340289565</v>
      </c>
      <c r="H133" s="166">
        <f>STDEV(C133:E133)</f>
        <v>0.006506154286431819</v>
      </c>
      <c r="I133" s="166">
        <f>(B133*B4+C133*C4+D133*D4+E133*E4+F133*F4)/SUM(B4:F4)</f>
        <v>0.026802622334114075</v>
      </c>
    </row>
    <row r="134" spans="1:9" ht="12.75">
      <c r="A134" s="166" t="s">
        <v>184</v>
      </c>
      <c r="B134" s="166">
        <f>B94*10000/B62</f>
        <v>-0.0017059341587099444</v>
      </c>
      <c r="C134" s="166">
        <f>C94*10000/C62</f>
        <v>0.02073603084565277</v>
      </c>
      <c r="D134" s="166">
        <f>D94*10000/D62</f>
        <v>0.016448508334912734</v>
      </c>
      <c r="E134" s="166">
        <f>E94*10000/E62</f>
        <v>0.03083845349468864</v>
      </c>
      <c r="F134" s="166">
        <f>F94*10000/F62</f>
        <v>-0.010204209977807974</v>
      </c>
      <c r="G134" s="166">
        <f>AVERAGE(C134:E134)</f>
        <v>0.022674330891751377</v>
      </c>
      <c r="H134" s="166">
        <f>STDEV(C134:E134)</f>
        <v>0.00738819231794009</v>
      </c>
      <c r="I134" s="166">
        <f>(B134*B4+C134*C4+D134*D4+E134*E4+F134*F4)/SUM(B4:F4)</f>
        <v>0.014756537736579315</v>
      </c>
    </row>
    <row r="135" spans="1:9" ht="12.75">
      <c r="A135" s="166" t="s">
        <v>185</v>
      </c>
      <c r="B135" s="166">
        <f>B95*10000/B62</f>
        <v>-0.0008790954431436691</v>
      </c>
      <c r="C135" s="166">
        <f>C95*10000/C62</f>
        <v>0.00018819429891537757</v>
      </c>
      <c r="D135" s="166">
        <f>D95*10000/D62</f>
        <v>0.005121202515243447</v>
      </c>
      <c r="E135" s="166">
        <f>E95*10000/E62</f>
        <v>-0.00027458057484971445</v>
      </c>
      <c r="F135" s="166">
        <f>F95*10000/F62</f>
        <v>0.00783088227421115</v>
      </c>
      <c r="G135" s="166">
        <f>AVERAGE(C135:E135)</f>
        <v>0.0016782720797697034</v>
      </c>
      <c r="H135" s="166">
        <f>STDEV(C135:E135)</f>
        <v>0.002990629972694823</v>
      </c>
      <c r="I135" s="166">
        <f>(B135*B4+C135*C4+D135*D4+E135*E4+F135*F4)/SUM(B4:F4)</f>
        <v>0.0021298369656916876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2003-11-03T15:08:02Z</cp:lastPrinted>
  <dcterms:created xsi:type="dcterms:W3CDTF">1999-06-17T15:15:05Z</dcterms:created>
  <dcterms:modified xsi:type="dcterms:W3CDTF">2005-10-05T09:36:39Z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-568147791</vt:i4>
  </property>
  <property fmtid="{D5CDD505-2E9C-101B-9397-08002B2CF9AE}" pid="3" name="_EmailSubject">
    <vt:lpwstr>Introducing ap125 in the database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