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27_pos5ap2" sheetId="2" r:id="rId2"/>
    <sheet name="HCMQAP127_pos1ap2" sheetId="3" r:id="rId3"/>
    <sheet name="HCMQAP127_pos2ap2" sheetId="4" r:id="rId4"/>
    <sheet name="HCMQAP127_pos3ap2" sheetId="5" r:id="rId5"/>
    <sheet name="HCMQAP127_pos4ap2" sheetId="6" r:id="rId6"/>
    <sheet name="Lmag_hcmqap" sheetId="7" r:id="rId7"/>
    <sheet name="Result_HCMQAP" sheetId="8" r:id="rId8"/>
  </sheets>
  <definedNames>
    <definedName name="_xlnm.Print_Area" localSheetId="2">'HCMQAP127_pos1ap2'!$A$1:$N$28</definedName>
    <definedName name="_xlnm.Print_Area" localSheetId="3">'HCMQAP127_pos2ap2'!$A$1:$N$28</definedName>
    <definedName name="_xlnm.Print_Area" localSheetId="4">'HCMQAP127_pos3ap2'!$A$1:$N$28</definedName>
    <definedName name="_xlnm.Print_Area" localSheetId="5">'HCMQAP127_pos4ap2'!$A$1:$N$28</definedName>
    <definedName name="_xlnm.Print_Area" localSheetId="1">'HCMQAP127_pos5ap2'!$A$1:$N$28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<sst xmlns="http://schemas.openxmlformats.org/spreadsheetml/2006/main" count="505" uniqueCount="188">
  <si>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</si>
  <si>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</si>
  <si>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</si>
  <si>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</si>
  <si>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</si>
  <si>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</si>
  <si>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</si>
  <si>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</si>
  <si>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</si>
  <si>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</si>
  <si>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</si>
  <si>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</si>
  <si>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</si>
  <si>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</si>
  <si>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</si>
  <si>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hcmqap127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</si>
  <si>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</si>
  <si>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</si>
  <si>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</si>
  <si>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</si>
  <si>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</si>
  <si>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</si>
  <si>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</si>
  <si>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</si>
  <si>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</si>
  <si>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</si>
  <si>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</si>
  <si>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</si>
  <si>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</si>
  <si>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</si>
  <si>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</si>
  <si>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</si>
  <si>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</si>
  <si>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</si>
  <si>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</si>
  <si>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</si>
  <si>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</si>
  <si>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</si>
  <si>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</si>
  <si>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</si>
  <si>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</si>
  <si>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</si>
  <si>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</si>
  <si>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</si>
  <si>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</si>
  <si>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</si>
  <si>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</si>
  <si>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</si>
  <si>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</si>
  <si>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</si>
  <si>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</si>
  <si>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</si>
  <si>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</si>
  <si>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</si>
  <si>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</si>
  <si>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</si>
  <si>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</si>
  <si>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</si>
  <si>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</si>
  <si>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</si>
  <si>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</si>
  <si>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</si>
  <si>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</si>
  <si>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</si>
  <si>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</si>
  <si>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</si>
  <si>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</si>
  <si>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</si>
  <si>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HCMQAP127_pos5ap2</t>
  </si>
  <si>
    <t>±12.5</t>
  </si>
  <si>
    <t>THCMQAP127_pos5ap2.xls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</si>
  <si>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</si>
  <si>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t>HCMQAP127_pos1ap2</t>
  </si>
  <si>
    <t>THCMQAP127_pos1ap2.xls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</si>
  <si>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 mT)</t>
    </r>
  </si>
  <si>
    <t>HCMQAP127_pos2ap2</t>
  </si>
  <si>
    <t>THCMQAP127_pos2ap2.xls</t>
  </si>
  <si>
    <t>HCMQAP127_pos3ap2</t>
  </si>
  <si>
    <t>THCMQAP127_pos3ap2.xls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</si>
  <si>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</si>
  <si>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HCMQAP127_pos4ap2</t>
  </si>
  <si>
    <t>THCMQAP127_pos4ap2.xls</t>
  </si>
  <si>
    <t>Sommaire : Valeurs intégrales calculées avec les fichiers: HCMQAP127_pos5ap2+HCMQAP127_pos1ap2+HCMQAP127_pos2ap2+HCMQAP127_pos3ap2+HCMQAP127_pos4ap2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</si>
  <si>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</si>
  <si>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</si>
  <si>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</si>
  <si>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</si>
  <si>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</si>
  <si>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</si>
  <si>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</si>
  <si>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</si>
  <si>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</si>
  <si>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</si>
  <si>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</si>
  <si>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</si>
  <si>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</si>
  <si>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</si>
  <si>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</si>
  <si>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</si>
  <si>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</si>
  <si>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</si>
  <si>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</si>
  <si>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</si>
  <si>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</si>
  <si>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</si>
  <si>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</si>
  <si>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</si>
  <si>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</si>
  <si>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</si>
  <si>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</si>
  <si>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</si>
  <si>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</si>
  <si>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</si>
  <si>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</si>
  <si>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</si>
  <si>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</si>
  <si>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</si>
  <si>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</si>
  <si>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</si>
  <si>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</si>
  <si>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</si>
  <si>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</si>
  <si>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</si>
  <si>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</si>
  <si>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</si>
  <si>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</si>
  <si>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</t>
    </r>
  </si>
  <si>
    <t>Gradient (T/m)</t>
  </si>
  <si>
    <t xml:space="preserve"> Tue 11/11/2003       08:08:34</t>
  </si>
  <si>
    <t>SIEGMUND</t>
  </si>
  <si>
    <t>HCMQAP127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</si>
  <si>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</si>
  <si>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</si>
  <si>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</si>
  <si>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</si>
  <si>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</si>
  <si>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</si>
  <si>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</si>
  <si>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</si>
  <si>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</si>
  <si>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a13*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</si>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</sst>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2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Lmag_hcmqap!$A$5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Lmag_hcmqap!$A$18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2551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95250</xdr:rowOff>
    </xdr:from>
    <xdr:to>
      <xdr:col>6</xdr:col>
      <xdr:colOff>790575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52400" y="5915025"/>
        <a:ext cx="5324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37936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2578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37936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2578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37936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2578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37936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77</v>
      </c>
      <c r="H5" s="25">
        <v>2578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37936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80</v>
      </c>
      <c r="H6" s="25">
        <v>2578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4.1998678E-05</v>
      </c>
      <c r="L2" s="54">
        <v>9.589111838884978E-08</v>
      </c>
      <c r="M2" s="54">
        <v>6.0343108E-05</v>
      </c>
      <c r="N2" s="55">
        <v>1.6159738622808311E-07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-3.1338444000000005E-05</v>
      </c>
      <c r="L3" s="54">
        <v>1.6313235244407715E-07</v>
      </c>
      <c r="M3" s="54">
        <v>1.0556743999999999E-05</v>
      </c>
      <c r="N3" s="55">
        <v>7.02689366932114E-08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-0.0020826687588209047</v>
      </c>
      <c r="L4" s="54">
        <v>-4.825444102546692E-05</v>
      </c>
      <c r="M4" s="54">
        <v>7.411113497778457E-08</v>
      </c>
      <c r="N4" s="55">
        <v>11.582688999999998</v>
      </c>
    </row>
    <row r="5" spans="1:14" ht="15" customHeight="1" thickBot="1">
      <c r="A5" t="s">
        <v>18</v>
      </c>
      <c r="B5" s="58">
        <v>37936.33576388889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2578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-4.1471442</v>
      </c>
      <c r="E8" s="77">
        <v>0.012259354903858892</v>
      </c>
      <c r="F8" s="78">
        <v>9.360777199999998</v>
      </c>
      <c r="G8" s="77">
        <v>0.030181307605438357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-1.7099296000000002</v>
      </c>
      <c r="E9" s="80">
        <v>0.019901531105394197</v>
      </c>
      <c r="F9" s="80">
        <v>1.5291442</v>
      </c>
      <c r="G9" s="80">
        <v>0.03118023700615512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-0.71047873</v>
      </c>
      <c r="E10" s="80">
        <v>0.0097083774155399</v>
      </c>
      <c r="F10" s="80">
        <v>-0.406910026</v>
      </c>
      <c r="G10" s="80">
        <v>0.019543344008179066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4">
        <v>14.719438</v>
      </c>
      <c r="E11" s="77">
        <v>0.008164845744283854</v>
      </c>
      <c r="F11" s="77">
        <v>1.0482849699999999</v>
      </c>
      <c r="G11" s="77">
        <v>0.007600764976226587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0.27125231000000005</v>
      </c>
      <c r="E12" s="80">
        <v>0.0067628221630017535</v>
      </c>
      <c r="F12" s="80">
        <v>0.49614536</v>
      </c>
      <c r="G12" s="80">
        <v>0.007452023320244252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19.076539</v>
      </c>
      <c r="D13" s="83">
        <v>-0.06334187000000001</v>
      </c>
      <c r="E13" s="80">
        <v>0.003757026699807839</v>
      </c>
      <c r="F13" s="80">
        <v>0.07393996099999998</v>
      </c>
      <c r="G13" s="80">
        <v>0.00431979185273029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0.062173756000000004</v>
      </c>
      <c r="E14" s="80">
        <v>0.005647492536536333</v>
      </c>
      <c r="F14" s="80">
        <v>0.06823614060000001</v>
      </c>
      <c r="G14" s="80">
        <v>0.0019117477531112245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-0.3188625</v>
      </c>
      <c r="E15" s="77">
        <v>0.004835228256451352</v>
      </c>
      <c r="F15" s="77">
        <v>0.22410623</v>
      </c>
      <c r="G15" s="77">
        <v>0.003843908582758021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0.010311892820000002</v>
      </c>
      <c r="E16" s="80">
        <v>0.0012358393149933785</v>
      </c>
      <c r="F16" s="80">
        <v>0.050332343</v>
      </c>
      <c r="G16" s="80">
        <v>0.0027078832159689713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0.38100001215934753</v>
      </c>
      <c r="D17" s="83">
        <v>-0.01223185289</v>
      </c>
      <c r="E17" s="80">
        <v>0.0014092744373275742</v>
      </c>
      <c r="F17" s="80">
        <v>0.004955944000000001</v>
      </c>
      <c r="G17" s="80">
        <v>0.004635377458396888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2.5429999828338623</v>
      </c>
      <c r="D18" s="83">
        <v>-0.0057385674</v>
      </c>
      <c r="E18" s="80">
        <v>0.003308917210116406</v>
      </c>
      <c r="F18" s="80">
        <v>0.043847145</v>
      </c>
      <c r="G18" s="80">
        <v>0.0029684403954349566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0.3089999854564667</v>
      </c>
      <c r="D19" s="83">
        <v>-0.13686757000000002</v>
      </c>
      <c r="E19" s="80">
        <v>0.0014323125101015893</v>
      </c>
      <c r="F19" s="80">
        <v>-0.022310923</v>
      </c>
      <c r="G19" s="80">
        <v>0.0023164710636971236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0.3312119</v>
      </c>
      <c r="D20" s="88">
        <v>-0.0005377383549999999</v>
      </c>
      <c r="E20" s="89">
        <v>0.00141583309832952</v>
      </c>
      <c r="F20" s="89">
        <v>0.006167334079999999</v>
      </c>
      <c r="G20" s="89">
        <v>0.0014558792279613611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0.5002295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0.6636397556651249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-2.0832276999999997</v>
      </c>
      <c r="I25" s="101" t="s">
        <v>65</v>
      </c>
      <c r="J25" s="102"/>
      <c r="K25" s="101"/>
      <c r="L25" s="104">
        <v>14.756719026063074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10.23830820026597</v>
      </c>
      <c r="I26" s="106" t="s">
        <v>67</v>
      </c>
      <c r="J26" s="107"/>
      <c r="K26" s="106"/>
      <c r="L26" s="109">
        <v>0.3897395235680658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HCMQAP127_pos5ap2res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3.3115864699999995E-05</v>
      </c>
      <c r="L2" s="54">
        <v>1.7960224979258977E-07</v>
      </c>
      <c r="M2" s="54">
        <v>6.271297999999999E-05</v>
      </c>
      <c r="N2" s="55">
        <v>1.8588415760932455E-07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-3.05886653E-05</v>
      </c>
      <c r="L3" s="54">
        <v>1.1533540990868372E-07</v>
      </c>
      <c r="M3" s="54">
        <v>1.2880500000000001E-05</v>
      </c>
      <c r="N3" s="55">
        <v>1.3501438815901971E-07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-0.0022527952963057956</v>
      </c>
      <c r="L4" s="54">
        <v>4.65225778428416E-06</v>
      </c>
      <c r="M4" s="54">
        <v>6.321029091312419E-08</v>
      </c>
      <c r="N4" s="55">
        <v>-1.0325507999999999</v>
      </c>
    </row>
    <row r="5" spans="1:14" ht="15" customHeight="1" thickBot="1">
      <c r="A5" t="s">
        <v>18</v>
      </c>
      <c r="B5" s="58">
        <v>37936.31793981481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2578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-0.20393124399999998</v>
      </c>
      <c r="E8" s="77">
        <v>0.018361685994751555</v>
      </c>
      <c r="F8" s="77">
        <v>1.2167697</v>
      </c>
      <c r="G8" s="77">
        <v>0.017862013292469656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-0.05027271</v>
      </c>
      <c r="E9" s="80">
        <v>0.016746604166648218</v>
      </c>
      <c r="F9" s="80">
        <v>-0.61497983</v>
      </c>
      <c r="G9" s="80">
        <v>0.027371359019432162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0.37028547</v>
      </c>
      <c r="E10" s="80">
        <v>0.006176174222818415</v>
      </c>
      <c r="F10" s="80">
        <v>0.14658155949999999</v>
      </c>
      <c r="G10" s="80">
        <v>0.01290473579910597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3.9325789999999996</v>
      </c>
      <c r="E11" s="77">
        <v>0.013018606907106964</v>
      </c>
      <c r="F11" s="77">
        <v>-0.25244831100000004</v>
      </c>
      <c r="G11" s="77">
        <v>0.009653654338636438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0.0097263702</v>
      </c>
      <c r="E12" s="80">
        <v>0.01043097628557714</v>
      </c>
      <c r="F12" s="80">
        <v>0.014351479</v>
      </c>
      <c r="G12" s="80">
        <v>0.011142450583943102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18.713379</v>
      </c>
      <c r="D13" s="83">
        <v>0.026986369000000003</v>
      </c>
      <c r="E13" s="80">
        <v>0.00567233980861372</v>
      </c>
      <c r="F13" s="80">
        <v>-0.29176512099999996</v>
      </c>
      <c r="G13" s="80">
        <v>0.005721794823947136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0.10800106200000001</v>
      </c>
      <c r="E14" s="80">
        <v>0.004214691391182034</v>
      </c>
      <c r="F14" s="80">
        <v>0.022650331099999997</v>
      </c>
      <c r="G14" s="80">
        <v>0.0022203011296372923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-0.33050772000000006</v>
      </c>
      <c r="E15" s="77">
        <v>0.005134186608855966</v>
      </c>
      <c r="F15" s="77">
        <v>0.0254971357</v>
      </c>
      <c r="G15" s="77">
        <v>0.005017702635269439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-0.036164832</v>
      </c>
      <c r="E16" s="80">
        <v>0.0032451324226933863</v>
      </c>
      <c r="F16" s="80">
        <v>0.0090251323</v>
      </c>
      <c r="G16" s="80">
        <v>0.004430104487152562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0.3919999897480011</v>
      </c>
      <c r="D17" s="83">
        <v>-0.0169711563</v>
      </c>
      <c r="E17" s="80">
        <v>0.0010405740140401953</v>
      </c>
      <c r="F17" s="80">
        <v>-0.012745982</v>
      </c>
      <c r="G17" s="80">
        <v>0.002299291633161395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5.085999965667725</v>
      </c>
      <c r="D18" s="83">
        <v>0.03131027500000001</v>
      </c>
      <c r="E18" s="80">
        <v>0.0013780363582610773</v>
      </c>
      <c r="F18" s="80">
        <v>0.04533509</v>
      </c>
      <c r="G18" s="80">
        <v>0.002532840709653914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0.3409999907016754</v>
      </c>
      <c r="D19" s="114">
        <v>-0.19328238999999997</v>
      </c>
      <c r="E19" s="80">
        <v>0.002670402474423323</v>
      </c>
      <c r="F19" s="80">
        <v>0.0093346601</v>
      </c>
      <c r="G19" s="80">
        <v>0.0022070501753016294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0.2508804</v>
      </c>
      <c r="D20" s="88">
        <v>-0.0041786236000000004</v>
      </c>
      <c r="E20" s="89">
        <v>0.0008948255911442384</v>
      </c>
      <c r="F20" s="89">
        <v>-0.0015293525509999998</v>
      </c>
      <c r="G20" s="89">
        <v>0.0009285595517953229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0.47272869999999995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-0.059160852943891465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-2.2528000999999995</v>
      </c>
      <c r="I25" s="101" t="s">
        <v>65</v>
      </c>
      <c r="J25" s="102"/>
      <c r="K25" s="101"/>
      <c r="L25" s="104">
        <v>3.940673513622735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1.233740837906194</v>
      </c>
      <c r="I26" s="106" t="s">
        <v>67</v>
      </c>
      <c r="J26" s="107"/>
      <c r="K26" s="106"/>
      <c r="L26" s="109">
        <v>0.3314897538514617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HCMQAP127_pos1ap2res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6.1493668E-05</v>
      </c>
      <c r="L2" s="54">
        <v>1.4942648334991697E-07</v>
      </c>
      <c r="M2" s="54">
        <v>4.934414599999999E-05</v>
      </c>
      <c r="N2" s="55">
        <v>1.90776514341677E-07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-2.928683E-05</v>
      </c>
      <c r="L3" s="54">
        <v>1.0388811062761045E-07</v>
      </c>
      <c r="M3" s="54">
        <v>1.2749078E-05</v>
      </c>
      <c r="N3" s="55">
        <v>1.6924718649378423E-07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-0.003750027924755643</v>
      </c>
      <c r="L4" s="54">
        <v>-9.78852437156511E-06</v>
      </c>
      <c r="M4" s="54">
        <v>3.452912200170234E-08</v>
      </c>
      <c r="N4" s="55">
        <v>1.3051239000000001</v>
      </c>
    </row>
    <row r="5" spans="1:14" ht="15" customHeight="1" thickBot="1">
      <c r="A5" t="s">
        <v>18</v>
      </c>
      <c r="B5" s="58">
        <v>37936.32236111111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2578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-0.26863752820000003</v>
      </c>
      <c r="E8" s="77">
        <v>0.006840498220602436</v>
      </c>
      <c r="F8" s="77">
        <v>1.9883435999999999</v>
      </c>
      <c r="G8" s="77">
        <v>0.014733582481536008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-0.1560785</v>
      </c>
      <c r="E9" s="80">
        <v>0.007975532972284757</v>
      </c>
      <c r="F9" s="80">
        <v>-0.27312697999999996</v>
      </c>
      <c r="G9" s="80">
        <v>0.007072295551418238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0.299901699</v>
      </c>
      <c r="E10" s="80">
        <v>0.0049471989758129616</v>
      </c>
      <c r="F10" s="80">
        <v>1.1032357000000002</v>
      </c>
      <c r="G10" s="80">
        <v>0.007309666672290811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3.0370362</v>
      </c>
      <c r="E11" s="77">
        <v>0.002560815350721232</v>
      </c>
      <c r="F11" s="77">
        <v>0.54882927</v>
      </c>
      <c r="G11" s="77">
        <v>0.0032745915894233112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-0.06239789999999999</v>
      </c>
      <c r="E12" s="80">
        <v>0.0020171490532110326</v>
      </c>
      <c r="F12" s="80">
        <v>-0.058189729999999995</v>
      </c>
      <c r="G12" s="80">
        <v>0.0018328268829954323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18.807984</v>
      </c>
      <c r="D13" s="83">
        <v>-0.107516978</v>
      </c>
      <c r="E13" s="80">
        <v>0.0015305578232710688</v>
      </c>
      <c r="F13" s="80">
        <v>-0.05460699</v>
      </c>
      <c r="G13" s="80">
        <v>0.004155642870411184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0.059501978999999997</v>
      </c>
      <c r="E14" s="80">
        <v>0.0020455753305622325</v>
      </c>
      <c r="F14" s="80">
        <v>0.012705664900000002</v>
      </c>
      <c r="G14" s="80">
        <v>0.002467267168979441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-0.14934793</v>
      </c>
      <c r="E15" s="77">
        <v>0.001793948645197439</v>
      </c>
      <c r="F15" s="77">
        <v>0.130921049</v>
      </c>
      <c r="G15" s="77">
        <v>0.002205354332233045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-0.035716128</v>
      </c>
      <c r="E16" s="80">
        <v>0.0018948033216104694</v>
      </c>
      <c r="F16" s="80">
        <v>-0.0274835877</v>
      </c>
      <c r="G16" s="80">
        <v>0.0017773188926551587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-0.32899999618530273</v>
      </c>
      <c r="D17" s="83">
        <v>0.00102426529</v>
      </c>
      <c r="E17" s="80">
        <v>0.0006162583439339854</v>
      </c>
      <c r="F17" s="80">
        <v>0.002028428999999999</v>
      </c>
      <c r="G17" s="80">
        <v>0.0016905431565310605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40.689998626708984</v>
      </c>
      <c r="D18" s="83">
        <v>0.029292040000000002</v>
      </c>
      <c r="E18" s="80">
        <v>0.0020138219694054</v>
      </c>
      <c r="F18" s="80">
        <v>0.0074175329</v>
      </c>
      <c r="G18" s="80">
        <v>0.000938529426393088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-0.3919999897480011</v>
      </c>
      <c r="D19" s="114">
        <v>-0.16712953000000003</v>
      </c>
      <c r="E19" s="80">
        <v>0.0007707155627049025</v>
      </c>
      <c r="F19" s="80">
        <v>0.023057783</v>
      </c>
      <c r="G19" s="80">
        <v>0.0010444702569944466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0.278185</v>
      </c>
      <c r="D20" s="88">
        <v>-0.00166525155</v>
      </c>
      <c r="E20" s="89">
        <v>0.0002031522948269091</v>
      </c>
      <c r="F20" s="89">
        <v>-0.0029738560899999996</v>
      </c>
      <c r="G20" s="89">
        <v>0.0004886534961673947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0.2244297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0.074778154374059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-3.7500407</v>
      </c>
      <c r="I25" s="101" t="s">
        <v>65</v>
      </c>
      <c r="J25" s="102"/>
      <c r="K25" s="101"/>
      <c r="L25" s="104">
        <v>3.086227867108839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2.006408830029006</v>
      </c>
      <c r="I26" s="106" t="s">
        <v>67</v>
      </c>
      <c r="J26" s="107"/>
      <c r="K26" s="106"/>
      <c r="L26" s="109">
        <v>0.19860796878913317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HCMQAP127_pos2ap2res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6.142056500000001E-05</v>
      </c>
      <c r="L2" s="54">
        <v>9.88556336236437E-08</v>
      </c>
      <c r="M2" s="54">
        <v>4.1985282E-05</v>
      </c>
      <c r="N2" s="55">
        <v>1.9733947863047204E-07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-2.7294825E-05</v>
      </c>
      <c r="L3" s="54">
        <v>1.8606571199436094E-07</v>
      </c>
      <c r="M3" s="54">
        <v>1.0623146E-05</v>
      </c>
      <c r="N3" s="55">
        <v>3.077994806590537E-07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-0.0037496251835252405</v>
      </c>
      <c r="L4" s="54">
        <v>-3.937335813616342E-05</v>
      </c>
      <c r="M4" s="54">
        <v>5.5130186331224926E-08</v>
      </c>
      <c r="N4" s="55">
        <v>5.2501128999999995</v>
      </c>
    </row>
    <row r="5" spans="1:14" ht="15" customHeight="1" thickBot="1">
      <c r="A5" t="s">
        <v>18</v>
      </c>
      <c r="B5" s="58">
        <v>37936.32686342593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2578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2.1856253000000003</v>
      </c>
      <c r="E8" s="77">
        <v>0.010184343874759041</v>
      </c>
      <c r="F8" s="77">
        <v>2.158251</v>
      </c>
      <c r="G8" s="77">
        <v>0.010135730338811788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0.06489440999999999</v>
      </c>
      <c r="E9" s="80">
        <v>0.011046265946889062</v>
      </c>
      <c r="F9" s="115">
        <v>4.0458108</v>
      </c>
      <c r="G9" s="80">
        <v>0.013210213808198826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-0.5197559199999999</v>
      </c>
      <c r="E10" s="80">
        <v>0.0042311962910836715</v>
      </c>
      <c r="F10" s="80">
        <v>0.61895749</v>
      </c>
      <c r="G10" s="80">
        <v>0.010396373793272863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3.5541449999999997</v>
      </c>
      <c r="E11" s="77">
        <v>0.0022230197257156205</v>
      </c>
      <c r="F11" s="77">
        <v>-0.14993665</v>
      </c>
      <c r="G11" s="77">
        <v>0.005400271379662365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-0.13618345999999998</v>
      </c>
      <c r="E12" s="80">
        <v>0.008233139277663167</v>
      </c>
      <c r="F12" s="80">
        <v>0.28456581000000003</v>
      </c>
      <c r="G12" s="80">
        <v>0.004750336315609261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18.902588</v>
      </c>
      <c r="D13" s="83">
        <v>-0.093823112</v>
      </c>
      <c r="E13" s="80">
        <v>0.002597666196761541</v>
      </c>
      <c r="F13" s="80">
        <v>0.25271347552000006</v>
      </c>
      <c r="G13" s="80">
        <v>0.005124189481894336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-0.03828534</v>
      </c>
      <c r="E14" s="80">
        <v>0.0028134792164488825</v>
      </c>
      <c r="F14" s="80">
        <v>0.06392838</v>
      </c>
      <c r="G14" s="80">
        <v>0.0035975383625987275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-0.082973193</v>
      </c>
      <c r="E15" s="77">
        <v>0.0021954208557032535</v>
      </c>
      <c r="F15" s="77">
        <v>0.013371743000000002</v>
      </c>
      <c r="G15" s="77">
        <v>0.0017387920041183485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-0.031906659000000004</v>
      </c>
      <c r="E16" s="80">
        <v>0.0013883423609844046</v>
      </c>
      <c r="F16" s="80">
        <v>0.02877392203</v>
      </c>
      <c r="G16" s="80">
        <v>0.0023830268292454374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0.41499999165534973</v>
      </c>
      <c r="D17" s="83">
        <v>0.0083960054</v>
      </c>
      <c r="E17" s="80">
        <v>0.0009764768292972183</v>
      </c>
      <c r="F17" s="80">
        <v>-0.003992203</v>
      </c>
      <c r="G17" s="80">
        <v>0.0011016173053315739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4.068999767303467</v>
      </c>
      <c r="D18" s="83">
        <v>0.045760217</v>
      </c>
      <c r="E18" s="80">
        <v>0.0014576475015778015</v>
      </c>
      <c r="F18" s="80">
        <v>0.027363702999999996</v>
      </c>
      <c r="G18" s="80">
        <v>0.0016505843457352656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0.36399999260902405</v>
      </c>
      <c r="D19" s="114">
        <v>-0.17117065999999997</v>
      </c>
      <c r="E19" s="80">
        <v>0.0007926403815108312</v>
      </c>
      <c r="F19" s="80">
        <v>0.013511465</v>
      </c>
      <c r="G19" s="80">
        <v>0.0005127562419610238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0.276438</v>
      </c>
      <c r="D20" s="88">
        <v>0.002596194009</v>
      </c>
      <c r="E20" s="89">
        <v>0.0011110339452668188</v>
      </c>
      <c r="F20" s="89">
        <v>-0.0037957360999999997</v>
      </c>
      <c r="G20" s="89">
        <v>0.0011334642497572395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0.1932677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0.30080956522015917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-3.7498319</v>
      </c>
      <c r="I25" s="101" t="s">
        <v>65</v>
      </c>
      <c r="J25" s="102"/>
      <c r="K25" s="101"/>
      <c r="L25" s="104">
        <v>3.5573062392825023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3.0716453784577884</v>
      </c>
      <c r="I26" s="106" t="s">
        <v>67</v>
      </c>
      <c r="J26" s="107"/>
      <c r="K26" s="106"/>
      <c r="L26" s="109">
        <v>0.08404376400110421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HCMQAP127_pos3ap2res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5.5620867000000004E-05</v>
      </c>
      <c r="L2" s="54">
        <v>1.2838172960514094E-07</v>
      </c>
      <c r="M2" s="54">
        <v>8.946990999999999E-05</v>
      </c>
      <c r="N2" s="55">
        <v>2.5076525044401667E-07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-2.7743201E-05</v>
      </c>
      <c r="L3" s="54">
        <v>4.0123839036657007E-07</v>
      </c>
      <c r="M3" s="54">
        <v>9.432544E-06</v>
      </c>
      <c r="N3" s="55">
        <v>1.699440613672545E-07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-0.0037501877754933144</v>
      </c>
      <c r="L4" s="54">
        <v>-6.021087041152364E-05</v>
      </c>
      <c r="M4" s="54">
        <v>4.720744508098733E-08</v>
      </c>
      <c r="N4" s="55">
        <v>8.027024399999998</v>
      </c>
    </row>
    <row r="5" spans="1:14" ht="15" customHeight="1" thickBot="1">
      <c r="A5" t="s">
        <v>18</v>
      </c>
      <c r="B5" s="58">
        <v>37936.33131944444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2578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1.0349501499999998</v>
      </c>
      <c r="E8" s="77">
        <v>0.007473299823522375</v>
      </c>
      <c r="F8" s="77">
        <v>2.2975478</v>
      </c>
      <c r="G8" s="77">
        <v>0.01026379463261221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0.288370341</v>
      </c>
      <c r="E9" s="80">
        <v>0.012667365620919725</v>
      </c>
      <c r="F9" s="115">
        <v>4.6743421</v>
      </c>
      <c r="G9" s="80">
        <v>0.012301199179213768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0.116155776</v>
      </c>
      <c r="E10" s="80">
        <v>0.003583709273475858</v>
      </c>
      <c r="F10" s="80">
        <v>0.8503408499999999</v>
      </c>
      <c r="G10" s="80">
        <v>0.00527272199353152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3.2987832</v>
      </c>
      <c r="E11" s="77">
        <v>0.005672382749785395</v>
      </c>
      <c r="F11" s="77">
        <v>-0.30050386700000004</v>
      </c>
      <c r="G11" s="77">
        <v>0.005537884171414126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-0.022106610500000002</v>
      </c>
      <c r="E12" s="80">
        <v>0.004339389932567241</v>
      </c>
      <c r="F12" s="80">
        <v>0.070272787</v>
      </c>
      <c r="G12" s="80">
        <v>0.0051188248669148785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18.994141</v>
      </c>
      <c r="D13" s="83">
        <v>-0.037448463</v>
      </c>
      <c r="E13" s="80">
        <v>0.002370900497753056</v>
      </c>
      <c r="F13" s="80">
        <v>0.35984350000000004</v>
      </c>
      <c r="G13" s="80">
        <v>0.003145429266092809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0.088411759</v>
      </c>
      <c r="E14" s="80">
        <v>0.0047698013849020475</v>
      </c>
      <c r="F14" s="80">
        <v>0.061471425</v>
      </c>
      <c r="G14" s="80">
        <v>0.0018424987158395267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-0.080479174</v>
      </c>
      <c r="E15" s="77">
        <v>0.0021104510200438886</v>
      </c>
      <c r="F15" s="77">
        <v>0.049414726</v>
      </c>
      <c r="G15" s="77">
        <v>0.001990889741491028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-0.036830264</v>
      </c>
      <c r="E16" s="80">
        <v>0.0014811300212216074</v>
      </c>
      <c r="F16" s="80">
        <v>0.0255866804</v>
      </c>
      <c r="G16" s="80">
        <v>0.002376537330387745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-0.12300000339746475</v>
      </c>
      <c r="D17" s="83">
        <v>0.00489118855</v>
      </c>
      <c r="E17" s="80">
        <v>0.000520374123735422</v>
      </c>
      <c r="F17" s="80">
        <v>0.010168581</v>
      </c>
      <c r="G17" s="80">
        <v>0.0013800450780007104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29.5</v>
      </c>
      <c r="D18" s="83">
        <v>0.047655654</v>
      </c>
      <c r="E18" s="80">
        <v>0.0011372490650881759</v>
      </c>
      <c r="F18" s="80">
        <v>0.039671824</v>
      </c>
      <c r="G18" s="80">
        <v>0.001166099796451271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-0.1850000023841858</v>
      </c>
      <c r="D19" s="114">
        <v>-0.16654212</v>
      </c>
      <c r="E19" s="80">
        <v>0.0011260536877082128</v>
      </c>
      <c r="F19" s="80">
        <v>0.020889894</v>
      </c>
      <c r="G19" s="80">
        <v>0.0006978146802511776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0.24555449999999998</v>
      </c>
      <c r="D20" s="88">
        <v>-3.2247318000000035E-05</v>
      </c>
      <c r="E20" s="89">
        <v>0.0005739815007014031</v>
      </c>
      <c r="F20" s="89">
        <v>-5.029349999999995E-05</v>
      </c>
      <c r="G20" s="89">
        <v>0.000974501832464311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0.40952960000000005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0.4599150086421206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-3.7506711</v>
      </c>
      <c r="I25" s="101" t="s">
        <v>65</v>
      </c>
      <c r="J25" s="102"/>
      <c r="K25" s="101"/>
      <c r="L25" s="104">
        <v>3.312442176806139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2.519890415527997</v>
      </c>
      <c r="I26" s="106" t="s">
        <v>67</v>
      </c>
      <c r="J26" s="107"/>
      <c r="K26" s="106"/>
      <c r="L26" s="109">
        <v>0.09443893579121565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HCMQAP127_pos4ap2res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72</v>
      </c>
      <c r="C1" s="121" t="s">
        <v>75</v>
      </c>
      <c r="D1" s="121" t="s">
        <v>77</v>
      </c>
      <c r="E1" s="121" t="s">
        <v>80</v>
      </c>
      <c r="F1" s="128" t="s">
        <v>68</v>
      </c>
      <c r="G1" s="162" t="s">
        <v>120</v>
      </c>
    </row>
    <row r="2" spans="1:7" ht="13.5" thickBot="1">
      <c r="A2" s="140" t="s">
        <v>89</v>
      </c>
      <c r="B2" s="132">
        <v>-2.2528000999999995</v>
      </c>
      <c r="C2" s="123">
        <v>-3.7500407</v>
      </c>
      <c r="D2" s="123">
        <v>-3.7498319</v>
      </c>
      <c r="E2" s="123">
        <v>-3.7506711</v>
      </c>
      <c r="F2" s="129">
        <v>-2.0832276999999997</v>
      </c>
      <c r="G2" s="163">
        <v>3.116748029124139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7" t="s">
        <v>121</v>
      </c>
    </row>
    <row r="4" spans="1:7" ht="12.75">
      <c r="A4" s="145" t="s">
        <v>90</v>
      </c>
      <c r="B4" s="146">
        <v>-0.20393124399999998</v>
      </c>
      <c r="C4" s="147">
        <v>-0.26863752820000003</v>
      </c>
      <c r="D4" s="147">
        <v>2.1856253000000003</v>
      </c>
      <c r="E4" s="147">
        <v>1.0349501499999998</v>
      </c>
      <c r="F4" s="152">
        <v>-4.1471442</v>
      </c>
      <c r="G4" s="158">
        <v>0.12646921257985932</v>
      </c>
    </row>
    <row r="5" spans="1:7" ht="12.75">
      <c r="A5" s="140" t="s">
        <v>92</v>
      </c>
      <c r="B5" s="134">
        <v>-0.05027271</v>
      </c>
      <c r="C5" s="118">
        <v>-0.1560785</v>
      </c>
      <c r="D5" s="118">
        <v>0.06489440999999999</v>
      </c>
      <c r="E5" s="118">
        <v>0.288370341</v>
      </c>
      <c r="F5" s="153">
        <v>-1.7099296000000002</v>
      </c>
      <c r="G5" s="159">
        <v>-0.188354595392875</v>
      </c>
    </row>
    <row r="6" spans="1:7" ht="12.75">
      <c r="A6" s="140" t="s">
        <v>94</v>
      </c>
      <c r="B6" s="134">
        <v>0.37028547</v>
      </c>
      <c r="C6" s="118">
        <v>0.299901699</v>
      </c>
      <c r="D6" s="118">
        <v>-0.5197559199999999</v>
      </c>
      <c r="E6" s="118">
        <v>0.116155776</v>
      </c>
      <c r="F6" s="153">
        <v>-0.71047873</v>
      </c>
      <c r="G6" s="159">
        <v>-0.06637774486786262</v>
      </c>
    </row>
    <row r="7" spans="1:7" ht="12.75">
      <c r="A7" s="140" t="s">
        <v>96</v>
      </c>
      <c r="B7" s="133">
        <v>3.9325789999999996</v>
      </c>
      <c r="C7" s="117">
        <v>3.0370362</v>
      </c>
      <c r="D7" s="117">
        <v>3.5541449999999997</v>
      </c>
      <c r="E7" s="117">
        <v>3.2987832</v>
      </c>
      <c r="F7" s="154">
        <v>14.719438</v>
      </c>
      <c r="G7" s="159">
        <v>4.915279912807948</v>
      </c>
    </row>
    <row r="8" spans="1:7" ht="12.75">
      <c r="A8" s="140" t="s">
        <v>98</v>
      </c>
      <c r="B8" s="134">
        <v>0.0097263702</v>
      </c>
      <c r="C8" s="118">
        <v>-0.06239789999999999</v>
      </c>
      <c r="D8" s="118">
        <v>-0.13618345999999998</v>
      </c>
      <c r="E8" s="118">
        <v>-0.022106610500000002</v>
      </c>
      <c r="F8" s="153">
        <v>0.27125231000000005</v>
      </c>
      <c r="G8" s="159">
        <v>-0.015435240433473548</v>
      </c>
    </row>
    <row r="9" spans="1:7" ht="12.75">
      <c r="A9" s="140" t="s">
        <v>100</v>
      </c>
      <c r="B9" s="134">
        <v>0.026986369000000003</v>
      </c>
      <c r="C9" s="118">
        <v>-0.107516978</v>
      </c>
      <c r="D9" s="118">
        <v>-0.093823112</v>
      </c>
      <c r="E9" s="118">
        <v>-0.037448463</v>
      </c>
      <c r="F9" s="153">
        <v>-0.06334187000000001</v>
      </c>
      <c r="G9" s="159">
        <v>-0.06201693894397231</v>
      </c>
    </row>
    <row r="10" spans="1:7" ht="12.75">
      <c r="A10" s="140" t="s">
        <v>102</v>
      </c>
      <c r="B10" s="134">
        <v>0.10800106200000001</v>
      </c>
      <c r="C10" s="118">
        <v>0.059501978999999997</v>
      </c>
      <c r="D10" s="118">
        <v>-0.03828534</v>
      </c>
      <c r="E10" s="118">
        <v>0.088411759</v>
      </c>
      <c r="F10" s="153">
        <v>0.062173756000000004</v>
      </c>
      <c r="G10" s="159">
        <v>0.05029980949393595</v>
      </c>
    </row>
    <row r="11" spans="1:7" ht="12.75">
      <c r="A11" s="140" t="s">
        <v>104</v>
      </c>
      <c r="B11" s="133">
        <v>-0.33050772000000006</v>
      </c>
      <c r="C11" s="117">
        <v>-0.14934793</v>
      </c>
      <c r="D11" s="117">
        <v>-0.082973193</v>
      </c>
      <c r="E11" s="117">
        <v>-0.080479174</v>
      </c>
      <c r="F11" s="155">
        <v>-0.3188625</v>
      </c>
      <c r="G11" s="159">
        <v>-0.16564760705384765</v>
      </c>
    </row>
    <row r="12" spans="1:7" ht="12.75">
      <c r="A12" s="140" t="s">
        <v>106</v>
      </c>
      <c r="B12" s="134">
        <v>-0.036164832</v>
      </c>
      <c r="C12" s="118">
        <v>-0.035716128</v>
      </c>
      <c r="D12" s="118">
        <v>-0.031906659000000004</v>
      </c>
      <c r="E12" s="118">
        <v>-0.036830264</v>
      </c>
      <c r="F12" s="153">
        <v>0.010311892820000002</v>
      </c>
      <c r="G12" s="159">
        <v>-0.028980707178690977</v>
      </c>
    </row>
    <row r="13" spans="1:7" ht="12.75">
      <c r="A13" s="140" t="s">
        <v>108</v>
      </c>
      <c r="B13" s="134">
        <v>-0.0169711563</v>
      </c>
      <c r="C13" s="118">
        <v>0.00102426529</v>
      </c>
      <c r="D13" s="118">
        <v>0.0083960054</v>
      </c>
      <c r="E13" s="118">
        <v>0.00489118855</v>
      </c>
      <c r="F13" s="153">
        <v>-0.01223185289</v>
      </c>
      <c r="G13" s="159">
        <v>-0.0006444311647884337</v>
      </c>
    </row>
    <row r="14" spans="1:7" ht="12.75">
      <c r="A14" s="140" t="s">
        <v>110</v>
      </c>
      <c r="B14" s="134">
        <v>0.03131027500000001</v>
      </c>
      <c r="C14" s="118">
        <v>0.029292040000000002</v>
      </c>
      <c r="D14" s="118">
        <v>0.045760217</v>
      </c>
      <c r="E14" s="118">
        <v>0.047655654</v>
      </c>
      <c r="F14" s="153">
        <v>-0.0057385674</v>
      </c>
      <c r="G14" s="159">
        <v>0.03328257249761311</v>
      </c>
    </row>
    <row r="15" spans="1:7" ht="12.75">
      <c r="A15" s="140" t="s">
        <v>112</v>
      </c>
      <c r="B15" s="135">
        <v>-0.19328238999999997</v>
      </c>
      <c r="C15" s="119">
        <v>-0.16712953000000003</v>
      </c>
      <c r="D15" s="119">
        <v>-0.17117065999999997</v>
      </c>
      <c r="E15" s="119">
        <v>-0.16654212</v>
      </c>
      <c r="F15" s="153">
        <v>-0.13686757000000002</v>
      </c>
      <c r="G15" s="159">
        <v>-0.1676957217869616</v>
      </c>
    </row>
    <row r="16" spans="1:7" ht="12.75">
      <c r="A16" s="140" t="s">
        <v>114</v>
      </c>
      <c r="B16" s="134">
        <v>-0.0041786236000000004</v>
      </c>
      <c r="C16" s="118">
        <v>-0.00166525155</v>
      </c>
      <c r="D16" s="118">
        <v>0.002596194009</v>
      </c>
      <c r="E16" s="118">
        <v>-3.2247318000000035E-05</v>
      </c>
      <c r="F16" s="153">
        <v>-0.0005377383549999999</v>
      </c>
      <c r="G16" s="159">
        <v>-0.0004596427225068001</v>
      </c>
    </row>
    <row r="17" spans="1:7" ht="12.75">
      <c r="A17" s="140" t="s">
        <v>91</v>
      </c>
      <c r="B17" s="133">
        <v>1.2167697</v>
      </c>
      <c r="C17" s="117">
        <v>1.9883435999999999</v>
      </c>
      <c r="D17" s="117">
        <v>2.158251</v>
      </c>
      <c r="E17" s="117">
        <v>2.2975478</v>
      </c>
      <c r="F17" s="154">
        <v>9.360777199999998</v>
      </c>
      <c r="G17" s="159">
        <v>2.9774709124662473</v>
      </c>
    </row>
    <row r="18" spans="1:7" ht="12.75">
      <c r="A18" s="140" t="s">
        <v>93</v>
      </c>
      <c r="B18" s="134">
        <v>-0.61497983</v>
      </c>
      <c r="C18" s="118">
        <v>-0.27312697999999996</v>
      </c>
      <c r="D18" s="119">
        <v>4.0458108</v>
      </c>
      <c r="E18" s="119">
        <v>4.6743421</v>
      </c>
      <c r="F18" s="153">
        <v>1.5291442</v>
      </c>
      <c r="G18" s="160">
        <v>2.147933679073175</v>
      </c>
    </row>
    <row r="19" spans="1:7" ht="12.75">
      <c r="A19" s="140" t="s">
        <v>95</v>
      </c>
      <c r="B19" s="134">
        <v>0.14658155949999999</v>
      </c>
      <c r="C19" s="118">
        <v>1.1032357000000002</v>
      </c>
      <c r="D19" s="118">
        <v>0.61895749</v>
      </c>
      <c r="E19" s="118">
        <v>0.8503408499999999</v>
      </c>
      <c r="F19" s="153">
        <v>-0.406910026</v>
      </c>
      <c r="G19" s="159">
        <v>0.5857636416714344</v>
      </c>
    </row>
    <row r="20" spans="1:7" ht="12.75">
      <c r="A20" s="140" t="s">
        <v>97</v>
      </c>
      <c r="B20" s="133">
        <v>-0.25244831100000004</v>
      </c>
      <c r="C20" s="117">
        <v>0.54882927</v>
      </c>
      <c r="D20" s="117">
        <v>-0.14993665</v>
      </c>
      <c r="E20" s="117">
        <v>-0.30050386700000004</v>
      </c>
      <c r="F20" s="155">
        <v>1.0482849699999999</v>
      </c>
      <c r="G20" s="159">
        <v>0.12728292453789775</v>
      </c>
    </row>
    <row r="21" spans="1:7" ht="12.75">
      <c r="A21" s="140" t="s">
        <v>99</v>
      </c>
      <c r="B21" s="134">
        <v>0.014351479</v>
      </c>
      <c r="C21" s="118">
        <v>-0.058189729999999995</v>
      </c>
      <c r="D21" s="118">
        <v>0.28456581000000003</v>
      </c>
      <c r="E21" s="118">
        <v>0.070272787</v>
      </c>
      <c r="F21" s="153">
        <v>0.49614536</v>
      </c>
      <c r="G21" s="159">
        <v>0.13975780228432555</v>
      </c>
    </row>
    <row r="22" spans="1:7" ht="12.75">
      <c r="A22" s="140" t="s">
        <v>101</v>
      </c>
      <c r="B22" s="134">
        <v>-0.29176512099999996</v>
      </c>
      <c r="C22" s="118">
        <v>-0.05460699</v>
      </c>
      <c r="D22" s="118">
        <v>0.25271347552000006</v>
      </c>
      <c r="E22" s="118">
        <v>0.35984350000000004</v>
      </c>
      <c r="F22" s="153">
        <v>0.07393996099999998</v>
      </c>
      <c r="G22" s="159">
        <v>0.10196305930139482</v>
      </c>
    </row>
    <row r="23" spans="1:7" ht="12.75">
      <c r="A23" s="140" t="s">
        <v>103</v>
      </c>
      <c r="B23" s="134">
        <v>0.022650331099999997</v>
      </c>
      <c r="C23" s="118">
        <v>0.012705664900000002</v>
      </c>
      <c r="D23" s="118">
        <v>0.06392838</v>
      </c>
      <c r="E23" s="118">
        <v>0.061471425</v>
      </c>
      <c r="F23" s="153">
        <v>0.06823614060000001</v>
      </c>
      <c r="G23" s="159">
        <v>0.045622901916840965</v>
      </c>
    </row>
    <row r="24" spans="1:7" ht="12.75">
      <c r="A24" s="140" t="s">
        <v>105</v>
      </c>
      <c r="B24" s="133">
        <v>0.0254971357</v>
      </c>
      <c r="C24" s="117">
        <v>0.130921049</v>
      </c>
      <c r="D24" s="117">
        <v>0.013371743000000002</v>
      </c>
      <c r="E24" s="117">
        <v>0.049414726</v>
      </c>
      <c r="F24" s="155">
        <v>0.22410623</v>
      </c>
      <c r="G24" s="159">
        <v>0.08024495260888895</v>
      </c>
    </row>
    <row r="25" spans="1:7" ht="12.75">
      <c r="A25" s="140" t="s">
        <v>107</v>
      </c>
      <c r="B25" s="134">
        <v>0.0090251323</v>
      </c>
      <c r="C25" s="118">
        <v>-0.0274835877</v>
      </c>
      <c r="D25" s="118">
        <v>0.02877392203</v>
      </c>
      <c r="E25" s="118">
        <v>0.0255866804</v>
      </c>
      <c r="F25" s="153">
        <v>0.050332343</v>
      </c>
      <c r="G25" s="159">
        <v>0.014498735085638181</v>
      </c>
    </row>
    <row r="26" spans="1:7" ht="12.75">
      <c r="A26" s="140" t="s">
        <v>109</v>
      </c>
      <c r="B26" s="134">
        <v>-0.012745982</v>
      </c>
      <c r="C26" s="118">
        <v>0.002028428999999999</v>
      </c>
      <c r="D26" s="118">
        <v>-0.003992203</v>
      </c>
      <c r="E26" s="118">
        <v>0.010168581</v>
      </c>
      <c r="F26" s="153">
        <v>0.004955944000000001</v>
      </c>
      <c r="G26" s="159">
        <v>0.0007946464895980682</v>
      </c>
    </row>
    <row r="27" spans="1:7" ht="12.75">
      <c r="A27" s="140" t="s">
        <v>111</v>
      </c>
      <c r="B27" s="134">
        <v>0.04533509</v>
      </c>
      <c r="C27" s="118">
        <v>0.0074175329</v>
      </c>
      <c r="D27" s="118">
        <v>0.027363702999999996</v>
      </c>
      <c r="E27" s="118">
        <v>0.039671824</v>
      </c>
      <c r="F27" s="153">
        <v>0.043847145</v>
      </c>
      <c r="G27" s="159">
        <v>0.03032711733665268</v>
      </c>
    </row>
    <row r="28" spans="1:7" ht="12.75">
      <c r="A28" s="140" t="s">
        <v>113</v>
      </c>
      <c r="B28" s="134">
        <v>0.0093346601</v>
      </c>
      <c r="C28" s="118">
        <v>0.023057783</v>
      </c>
      <c r="D28" s="118">
        <v>0.013511465</v>
      </c>
      <c r="E28" s="118">
        <v>0.020889894</v>
      </c>
      <c r="F28" s="153">
        <v>-0.022310923</v>
      </c>
      <c r="G28" s="159">
        <v>0.012192216824780479</v>
      </c>
    </row>
    <row r="29" spans="1:7" ht="13.5" thickBot="1">
      <c r="A29" s="141" t="s">
        <v>115</v>
      </c>
      <c r="B29" s="136">
        <v>-0.0015293525509999998</v>
      </c>
      <c r="C29" s="120">
        <v>-0.0029738560899999996</v>
      </c>
      <c r="D29" s="120">
        <v>-0.0037957360999999997</v>
      </c>
      <c r="E29" s="120">
        <v>-5.029349999999995E-05</v>
      </c>
      <c r="F29" s="156">
        <v>0.006167334079999999</v>
      </c>
      <c r="G29" s="161">
        <v>-0.0010375246699628807</v>
      </c>
    </row>
    <row r="30" spans="1:7" ht="13.5" thickTop="1">
      <c r="A30" s="142" t="s">
        <v>116</v>
      </c>
      <c r="B30" s="137">
        <v>-0.059160852943891465</v>
      </c>
      <c r="C30" s="126">
        <v>0.074778154374059</v>
      </c>
      <c r="D30" s="126">
        <v>0.30080956522015917</v>
      </c>
      <c r="E30" s="126">
        <v>0.4599150086421206</v>
      </c>
      <c r="F30" s="122">
        <v>0.6636397556651249</v>
      </c>
      <c r="G30" s="162" t="s">
        <v>127</v>
      </c>
    </row>
    <row r="31" spans="1:7" ht="13.5" thickBot="1">
      <c r="A31" s="143" t="s">
        <v>117</v>
      </c>
      <c r="B31" s="132">
        <v>18.713379</v>
      </c>
      <c r="C31" s="123">
        <v>18.807984</v>
      </c>
      <c r="D31" s="123">
        <v>18.902588</v>
      </c>
      <c r="E31" s="123">
        <v>18.994141</v>
      </c>
      <c r="F31" s="124">
        <v>19.076539</v>
      </c>
      <c r="G31" s="164">
        <v>-209.48</v>
      </c>
    </row>
    <row r="32" spans="1:7" ht="15.75" thickBot="1" thickTop="1">
      <c r="A32" s="144" t="s">
        <v>118</v>
      </c>
      <c r="B32" s="138">
        <v>0.36649999022483826</v>
      </c>
      <c r="C32" s="127">
        <v>-0.3604999929666519</v>
      </c>
      <c r="D32" s="127">
        <v>0.3894999921321869</v>
      </c>
      <c r="E32" s="127">
        <v>-0.15400000289082527</v>
      </c>
      <c r="F32" s="125">
        <v>0.3449999988079071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5" bestFit="1" customWidth="1"/>
    <col min="2" max="2" width="15.66015625" style="165" bestFit="1" customWidth="1"/>
    <col min="3" max="3" width="14.8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128</v>
      </c>
      <c r="B1" s="165" t="s">
        <v>129</v>
      </c>
      <c r="C1" s="165" t="s">
        <v>130</v>
      </c>
      <c r="D1" s="165" t="s">
        <v>131</v>
      </c>
      <c r="E1" s="165" t="s">
        <v>28</v>
      </c>
    </row>
    <row r="3" spans="1:7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</row>
    <row r="4" spans="1:7" ht="12.75">
      <c r="A4" s="165" t="s">
        <v>134</v>
      </c>
      <c r="B4" s="165">
        <f>0.002252*1.0033</f>
        <v>0.0022594316000000003</v>
      </c>
      <c r="C4" s="165">
        <f>0.003748*1.0033</f>
        <v>0.0037603684</v>
      </c>
      <c r="D4" s="165">
        <f>0.003748*1.0033</f>
        <v>0.0037603684</v>
      </c>
      <c r="E4" s="165">
        <f>0.003749*1.0033</f>
        <v>0.0037613717000000006</v>
      </c>
      <c r="F4" s="165">
        <f>0.002082*1.0033</f>
        <v>0.0020888706000000003</v>
      </c>
      <c r="G4" s="165">
        <f>0.011682*1.0033</f>
        <v>0.0117205506</v>
      </c>
    </row>
    <row r="5" spans="1:7" ht="12.75">
      <c r="A5" s="165" t="s">
        <v>135</v>
      </c>
      <c r="B5" s="165">
        <v>5.747134</v>
      </c>
      <c r="C5" s="165">
        <v>3.373781</v>
      </c>
      <c r="D5" s="165">
        <v>0.126078</v>
      </c>
      <c r="E5" s="165">
        <v>-3.365522</v>
      </c>
      <c r="F5" s="165">
        <v>-6.410973</v>
      </c>
      <c r="G5" s="165">
        <v>5.034214</v>
      </c>
    </row>
    <row r="6" spans="1:7" ht="12.75">
      <c r="A6" s="165" t="s">
        <v>136</v>
      </c>
      <c r="B6" s="166">
        <v>13.84087</v>
      </c>
      <c r="C6" s="166">
        <v>-2.899154</v>
      </c>
      <c r="D6" s="166">
        <v>-1.449041</v>
      </c>
      <c r="E6" s="166">
        <v>15.92344</v>
      </c>
      <c r="F6" s="166">
        <v>-35.82816</v>
      </c>
      <c r="G6" s="166">
        <v>-0.00212683</v>
      </c>
    </row>
    <row r="7" spans="1:7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90</v>
      </c>
      <c r="B8" s="166">
        <v>-0.22273</v>
      </c>
      <c r="C8" s="166">
        <v>-0.2684335</v>
      </c>
      <c r="D8" s="166">
        <v>2.098909</v>
      </c>
      <c r="E8" s="166">
        <v>1.133429</v>
      </c>
      <c r="F8" s="166">
        <v>-3.888933</v>
      </c>
      <c r="G8" s="166">
        <v>0.1612736</v>
      </c>
    </row>
    <row r="9" spans="1:7" ht="12.75">
      <c r="A9" s="165" t="s">
        <v>92</v>
      </c>
      <c r="B9" s="166">
        <v>-0.0259891</v>
      </c>
      <c r="C9" s="166">
        <v>-0.1739352</v>
      </c>
      <c r="D9" s="166">
        <v>0.04849346</v>
      </c>
      <c r="E9" s="166">
        <v>0.3729227</v>
      </c>
      <c r="F9" s="166">
        <v>-1.706922</v>
      </c>
      <c r="G9" s="166">
        <v>-0.1722646</v>
      </c>
    </row>
    <row r="10" spans="1:7" ht="12.75">
      <c r="A10" s="165" t="s">
        <v>94</v>
      </c>
      <c r="B10" s="166">
        <v>0.392999</v>
      </c>
      <c r="C10" s="166">
        <v>0.2617498</v>
      </c>
      <c r="D10" s="166">
        <v>-0.5128315</v>
      </c>
      <c r="E10" s="166">
        <v>0.1527317</v>
      </c>
      <c r="F10" s="166">
        <v>-0.9500669</v>
      </c>
      <c r="G10" s="166">
        <v>-0.09380801</v>
      </c>
    </row>
    <row r="11" spans="1:7" ht="12.75">
      <c r="A11" s="165" t="s">
        <v>96</v>
      </c>
      <c r="B11" s="166">
        <v>3.937486</v>
      </c>
      <c r="C11" s="166">
        <v>3.026044</v>
      </c>
      <c r="D11" s="166">
        <v>3.538237</v>
      </c>
      <c r="E11" s="166">
        <v>3.29224</v>
      </c>
      <c r="F11" s="166">
        <v>14.77025</v>
      </c>
      <c r="G11" s="166">
        <v>4.914599</v>
      </c>
    </row>
    <row r="12" spans="1:7" ht="12.75">
      <c r="A12" s="165" t="s">
        <v>98</v>
      </c>
      <c r="B12" s="166">
        <v>-0.02521631</v>
      </c>
      <c r="C12" s="166">
        <v>-0.07051065</v>
      </c>
      <c r="D12" s="166">
        <v>-0.1620089</v>
      </c>
      <c r="E12" s="166">
        <v>-0.01944028</v>
      </c>
      <c r="F12" s="166">
        <v>0.2835557</v>
      </c>
      <c r="G12" s="166">
        <v>-0.02636449</v>
      </c>
    </row>
    <row r="13" spans="1:7" ht="12.75">
      <c r="A13" s="165" t="s">
        <v>100</v>
      </c>
      <c r="B13" s="166">
        <v>0.04065744</v>
      </c>
      <c r="C13" s="166">
        <v>-0.1118163</v>
      </c>
      <c r="D13" s="166">
        <v>-0.1031209</v>
      </c>
      <c r="E13" s="166">
        <v>-0.02835653</v>
      </c>
      <c r="F13" s="166">
        <v>-0.05998827</v>
      </c>
      <c r="G13" s="166">
        <v>-0.06067223</v>
      </c>
    </row>
    <row r="14" spans="1:7" ht="12.75">
      <c r="A14" s="165" t="s">
        <v>102</v>
      </c>
      <c r="B14" s="166">
        <v>0.1019884</v>
      </c>
      <c r="C14" s="166">
        <v>0.04978095</v>
      </c>
      <c r="D14" s="166">
        <v>-0.04183906</v>
      </c>
      <c r="E14" s="166">
        <v>0.08920289</v>
      </c>
      <c r="F14" s="166">
        <v>0.09497482</v>
      </c>
      <c r="G14" s="166">
        <v>0.05081271</v>
      </c>
    </row>
    <row r="15" spans="1:7" ht="12.75">
      <c r="A15" s="165" t="s">
        <v>104</v>
      </c>
      <c r="B15" s="166">
        <v>-0.3326626</v>
      </c>
      <c r="C15" s="166">
        <v>-0.1527853</v>
      </c>
      <c r="D15" s="166">
        <v>-0.08626487</v>
      </c>
      <c r="E15" s="166">
        <v>-0.07870439</v>
      </c>
      <c r="F15" s="166">
        <v>-0.2999401</v>
      </c>
      <c r="G15" s="166">
        <v>-0.1646136</v>
      </c>
    </row>
    <row r="16" spans="1:7" ht="12.75">
      <c r="A16" s="165" t="s">
        <v>106</v>
      </c>
      <c r="B16" s="166">
        <v>-0.03680864</v>
      </c>
      <c r="C16" s="166">
        <v>-0.03235605</v>
      </c>
      <c r="D16" s="166">
        <v>-0.02968503</v>
      </c>
      <c r="E16" s="166">
        <v>-0.03360264</v>
      </c>
      <c r="F16" s="166">
        <v>0.01592438</v>
      </c>
      <c r="G16" s="166">
        <v>-0.02620326</v>
      </c>
    </row>
    <row r="17" spans="1:7" ht="12.75">
      <c r="A17" s="165" t="s">
        <v>108</v>
      </c>
      <c r="B17" s="166">
        <v>-0.008190648</v>
      </c>
      <c r="C17" s="166">
        <v>0.001928379</v>
      </c>
      <c r="D17" s="166">
        <v>0.00746635</v>
      </c>
      <c r="E17" s="166">
        <v>0.009583674</v>
      </c>
      <c r="F17" s="166">
        <v>-0.004051542</v>
      </c>
      <c r="G17" s="166">
        <v>0.002841341</v>
      </c>
    </row>
    <row r="18" spans="1:7" ht="12.75">
      <c r="A18" s="165" t="s">
        <v>110</v>
      </c>
      <c r="B18" s="166">
        <v>0.02726255</v>
      </c>
      <c r="C18" s="166">
        <v>0.02916418</v>
      </c>
      <c r="D18" s="166">
        <v>0.04570856</v>
      </c>
      <c r="E18" s="166">
        <v>0.04913188</v>
      </c>
      <c r="F18" s="166">
        <v>1.217892E-05</v>
      </c>
      <c r="G18" s="166">
        <v>0.03378116</v>
      </c>
    </row>
    <row r="19" spans="1:7" ht="12.75">
      <c r="A19" s="165" t="s">
        <v>112</v>
      </c>
      <c r="B19" s="166">
        <v>-0.1934371</v>
      </c>
      <c r="C19" s="166">
        <v>-0.1680142</v>
      </c>
      <c r="D19" s="166">
        <v>-0.1711681</v>
      </c>
      <c r="E19" s="166">
        <v>-0.1653753</v>
      </c>
      <c r="F19" s="166">
        <v>-0.138289</v>
      </c>
      <c r="G19" s="166">
        <v>-0.1678388</v>
      </c>
    </row>
    <row r="20" spans="1:7" ht="12.75">
      <c r="A20" s="165" t="s">
        <v>114</v>
      </c>
      <c r="B20" s="166">
        <v>-0.004035395</v>
      </c>
      <c r="C20" s="166">
        <v>-0.001513956</v>
      </c>
      <c r="D20" s="166">
        <v>0.002613417</v>
      </c>
      <c r="E20" s="166">
        <v>-3.265608E-05</v>
      </c>
      <c r="F20" s="166">
        <v>6.596833E-05</v>
      </c>
      <c r="G20" s="166">
        <v>-0.0003178686</v>
      </c>
    </row>
    <row r="21" spans="1:7" ht="12.75">
      <c r="A21" s="165" t="s">
        <v>138</v>
      </c>
      <c r="B21" s="166">
        <v>-81.47329</v>
      </c>
      <c r="C21" s="166">
        <v>64.49179</v>
      </c>
      <c r="D21" s="166">
        <v>82.94754</v>
      </c>
      <c r="E21" s="166">
        <v>-44.57654</v>
      </c>
      <c r="F21" s="166">
        <v>-97.05596</v>
      </c>
      <c r="G21" s="166">
        <v>-0.0001622588</v>
      </c>
    </row>
    <row r="22" spans="1:7" ht="12.75">
      <c r="A22" s="165" t="s">
        <v>139</v>
      </c>
      <c r="B22" s="166">
        <v>114.9477</v>
      </c>
      <c r="C22" s="166">
        <v>67.47665</v>
      </c>
      <c r="D22" s="166">
        <v>2.521562</v>
      </c>
      <c r="E22" s="166">
        <v>-67.31146</v>
      </c>
      <c r="F22" s="166">
        <v>-128.2265</v>
      </c>
      <c r="G22" s="166">
        <v>0</v>
      </c>
    </row>
    <row r="23" spans="1:7" ht="12.75">
      <c r="A23" s="165" t="s">
        <v>91</v>
      </c>
      <c r="B23" s="166">
        <v>1.222563</v>
      </c>
      <c r="C23" s="166">
        <v>1.988653</v>
      </c>
      <c r="D23" s="166">
        <v>2.164604</v>
      </c>
      <c r="E23" s="166">
        <v>2.311793</v>
      </c>
      <c r="F23" s="166">
        <v>9.483174</v>
      </c>
      <c r="G23" s="166">
        <v>2.999611</v>
      </c>
    </row>
    <row r="24" spans="1:7" ht="12.75">
      <c r="A24" s="165" t="s">
        <v>93</v>
      </c>
      <c r="B24" s="166">
        <v>-0.6245544</v>
      </c>
      <c r="C24" s="166">
        <v>-0.2722534</v>
      </c>
      <c r="D24" s="166">
        <v>4.025751</v>
      </c>
      <c r="E24" s="166">
        <v>4.671927</v>
      </c>
      <c r="F24" s="166">
        <v>1.633879</v>
      </c>
      <c r="G24" s="166">
        <v>2.155395</v>
      </c>
    </row>
    <row r="25" spans="1:7" ht="12.75">
      <c r="A25" s="165" t="s">
        <v>95</v>
      </c>
      <c r="B25" s="166">
        <v>-0.02323252</v>
      </c>
      <c r="C25" s="166">
        <v>1.191214</v>
      </c>
      <c r="D25" s="166">
        <v>0.7529442</v>
      </c>
      <c r="E25" s="166">
        <v>0.7616146</v>
      </c>
      <c r="F25" s="166">
        <v>-1.126349</v>
      </c>
      <c r="G25" s="166">
        <v>0.4971434</v>
      </c>
    </row>
    <row r="26" spans="1:7" ht="12.75">
      <c r="A26" s="165" t="s">
        <v>97</v>
      </c>
      <c r="B26" s="166">
        <v>-0.1222043</v>
      </c>
      <c r="C26" s="166">
        <v>0.6014391</v>
      </c>
      <c r="D26" s="166">
        <v>-0.1615099</v>
      </c>
      <c r="E26" s="166">
        <v>-0.3711785</v>
      </c>
      <c r="F26" s="166">
        <v>0.4449762</v>
      </c>
      <c r="G26" s="166">
        <v>0.05815491</v>
      </c>
    </row>
    <row r="27" spans="1:7" ht="12.75">
      <c r="A27" s="165" t="s">
        <v>99</v>
      </c>
      <c r="B27" s="166">
        <v>-0.003991855</v>
      </c>
      <c r="C27" s="166">
        <v>-0.07483881</v>
      </c>
      <c r="D27" s="166">
        <v>0.2685272</v>
      </c>
      <c r="E27" s="166">
        <v>0.06606653</v>
      </c>
      <c r="F27" s="166">
        <v>0.4740733</v>
      </c>
      <c r="G27" s="166">
        <v>0.1252782</v>
      </c>
    </row>
    <row r="28" spans="1:7" ht="12.75">
      <c r="A28" s="165" t="s">
        <v>101</v>
      </c>
      <c r="B28" s="166">
        <v>-0.2961449</v>
      </c>
      <c r="C28" s="166">
        <v>-0.05373853</v>
      </c>
      <c r="D28" s="166">
        <v>0.2509087</v>
      </c>
      <c r="E28" s="166">
        <v>0.3589479</v>
      </c>
      <c r="F28" s="166">
        <v>0.06613675</v>
      </c>
      <c r="G28" s="166">
        <v>0.09985333</v>
      </c>
    </row>
    <row r="29" spans="1:7" ht="12.75">
      <c r="A29" s="165" t="s">
        <v>103</v>
      </c>
      <c r="B29" s="166">
        <v>0.0563398</v>
      </c>
      <c r="C29" s="166">
        <v>0.009127443</v>
      </c>
      <c r="D29" s="166">
        <v>0.06087298</v>
      </c>
      <c r="E29" s="166">
        <v>0.065194</v>
      </c>
      <c r="F29" s="166">
        <v>0.08623711</v>
      </c>
      <c r="G29" s="166">
        <v>0.05219479</v>
      </c>
    </row>
    <row r="30" spans="1:7" ht="12.75">
      <c r="A30" s="165" t="s">
        <v>105</v>
      </c>
      <c r="B30" s="166">
        <v>0.01065325</v>
      </c>
      <c r="C30" s="166">
        <v>0.1259327</v>
      </c>
      <c r="D30" s="166">
        <v>0.01322622</v>
      </c>
      <c r="E30" s="166">
        <v>0.05572804</v>
      </c>
      <c r="F30" s="166">
        <v>0.2421165</v>
      </c>
      <c r="G30" s="166">
        <v>0.08079831</v>
      </c>
    </row>
    <row r="31" spans="1:7" ht="12.75">
      <c r="A31" s="165" t="s">
        <v>107</v>
      </c>
      <c r="B31" s="166">
        <v>0.01458419</v>
      </c>
      <c r="C31" s="166">
        <v>-0.0232057</v>
      </c>
      <c r="D31" s="166">
        <v>0.03444037</v>
      </c>
      <c r="E31" s="166">
        <v>0.03132555</v>
      </c>
      <c r="F31" s="166">
        <v>0.05633277</v>
      </c>
      <c r="G31" s="166">
        <v>0.01987905</v>
      </c>
    </row>
    <row r="32" spans="1:7" ht="12.75">
      <c r="A32" s="165" t="s">
        <v>109</v>
      </c>
      <c r="B32" s="166">
        <v>-0.01590217</v>
      </c>
      <c r="C32" s="166">
        <v>0.004385464</v>
      </c>
      <c r="D32" s="166">
        <v>0.0008153556</v>
      </c>
      <c r="E32" s="166">
        <v>0.008119085</v>
      </c>
      <c r="F32" s="166">
        <v>0.004088715</v>
      </c>
      <c r="G32" s="166">
        <v>0.001452933</v>
      </c>
    </row>
    <row r="33" spans="1:7" ht="12.75">
      <c r="A33" s="165" t="s">
        <v>140</v>
      </c>
      <c r="B33" s="166">
        <v>0.0534724</v>
      </c>
      <c r="C33" s="166">
        <v>0.004086215</v>
      </c>
      <c r="D33" s="166">
        <v>0.02155096</v>
      </c>
      <c r="E33" s="166">
        <v>0.04055882</v>
      </c>
      <c r="F33" s="166">
        <v>0.04941608</v>
      </c>
      <c r="G33" s="166">
        <v>0.03025799</v>
      </c>
    </row>
    <row r="34" spans="1:7" ht="12.75">
      <c r="A34" s="165" t="s">
        <v>113</v>
      </c>
      <c r="B34" s="166">
        <v>-0.006215875</v>
      </c>
      <c r="C34" s="166">
        <v>0.01512534</v>
      </c>
      <c r="D34" s="166">
        <v>0.0132167</v>
      </c>
      <c r="E34" s="166">
        <v>0.02870112</v>
      </c>
      <c r="F34" s="166">
        <v>-0.01001371</v>
      </c>
      <c r="G34" s="166">
        <v>0.01150302</v>
      </c>
    </row>
    <row r="35" spans="1:7" ht="12.75">
      <c r="A35" s="165" t="s">
        <v>115</v>
      </c>
      <c r="B35" s="166">
        <v>-0.001883996</v>
      </c>
      <c r="C35" s="166">
        <v>-0.003053375</v>
      </c>
      <c r="D35" s="166">
        <v>-0.003788527</v>
      </c>
      <c r="E35" s="166">
        <v>-4.784897E-05</v>
      </c>
      <c r="F35" s="166">
        <v>0.006191764</v>
      </c>
      <c r="G35" s="166">
        <v>-0.00110241</v>
      </c>
    </row>
    <row r="36" spans="1:6" ht="12.75">
      <c r="A36" s="165" t="s">
        <v>141</v>
      </c>
      <c r="B36" s="166">
        <v>19.07654</v>
      </c>
      <c r="C36" s="166">
        <v>19.08569</v>
      </c>
      <c r="D36" s="166">
        <v>19.104</v>
      </c>
      <c r="E36" s="166">
        <v>19.11011</v>
      </c>
      <c r="F36" s="166">
        <v>19.12232</v>
      </c>
    </row>
    <row r="37" spans="1:6" ht="12.75">
      <c r="A37" s="165" t="s">
        <v>142</v>
      </c>
      <c r="B37" s="166">
        <v>0.3392538</v>
      </c>
      <c r="C37" s="166">
        <v>0.332133</v>
      </c>
      <c r="D37" s="166">
        <v>0.3250122</v>
      </c>
      <c r="E37" s="166">
        <v>0.3214518</v>
      </c>
      <c r="F37" s="166">
        <v>0.3184001</v>
      </c>
    </row>
    <row r="38" spans="1:7" ht="12.75">
      <c r="A38" s="165" t="s">
        <v>143</v>
      </c>
      <c r="B38" s="166">
        <v>-2.193449E-05</v>
      </c>
      <c r="C38" s="166">
        <v>0</v>
      </c>
      <c r="D38" s="166">
        <v>0</v>
      </c>
      <c r="E38" s="166">
        <v>-2.757869E-05</v>
      </c>
      <c r="F38" s="166">
        <v>5.878254E-05</v>
      </c>
      <c r="G38" s="166">
        <v>0.0002733732</v>
      </c>
    </row>
    <row r="39" spans="1:7" ht="12.75">
      <c r="A39" s="165" t="s">
        <v>144</v>
      </c>
      <c r="B39" s="166">
        <v>0.0001387567</v>
      </c>
      <c r="C39" s="166">
        <v>-0.0001096643</v>
      </c>
      <c r="D39" s="166">
        <v>-0.0001410114</v>
      </c>
      <c r="E39" s="166">
        <v>7.559448E-05</v>
      </c>
      <c r="F39" s="166">
        <v>0.0001657489</v>
      </c>
      <c r="G39" s="166">
        <v>0.0003341561</v>
      </c>
    </row>
    <row r="40" spans="2:5" ht="12.75">
      <c r="B40" s="165" t="s">
        <v>145</v>
      </c>
      <c r="C40" s="165">
        <v>0.003748</v>
      </c>
      <c r="D40" s="165" t="s">
        <v>146</v>
      </c>
      <c r="E40" s="165">
        <v>3.116748</v>
      </c>
    </row>
    <row r="42" ht="12.75">
      <c r="A42" s="165" t="s">
        <v>147</v>
      </c>
    </row>
    <row r="50" spans="1:7" ht="12.75">
      <c r="A50" s="165" t="s">
        <v>148</v>
      </c>
      <c r="B50" s="165">
        <f>-0.017/(B7*B7+B22*B22)*(B21*B22+B6*B7)</f>
        <v>-2.1934502359485672E-05</v>
      </c>
      <c r="C50" s="165">
        <f>-0.017/(C7*C7+C22*C22)*(C21*C22+C6*C7)</f>
        <v>4.1885837995728325E-06</v>
      </c>
      <c r="D50" s="165">
        <f>-0.017/(D7*D7+D22*D22)*(D21*D22+D6*D7)</f>
        <v>2.4278127936072167E-06</v>
      </c>
      <c r="E50" s="165">
        <f>-0.017/(E7*E7+E22*E22)*(E21*E22+E6*E7)</f>
        <v>-2.7578685494069154E-05</v>
      </c>
      <c r="F50" s="165">
        <f>-0.017/(F7*F7+F22*F22)*(F21*F22+F6*F7)</f>
        <v>5.878253212597648E-05</v>
      </c>
      <c r="G50" s="165">
        <f>(B50*B$4+C50*C$4+D50*D$4+E50*E$4+F50*F$4)/SUM(B$4:F$4)</f>
        <v>-3.598115998013436E-07</v>
      </c>
    </row>
    <row r="51" spans="1:7" ht="12.75">
      <c r="A51" s="165" t="s">
        <v>149</v>
      </c>
      <c r="B51" s="165">
        <f>-0.017/(B7*B7+B22*B22)*(B21*B7-B6*B22)</f>
        <v>0.00013875672505968677</v>
      </c>
      <c r="C51" s="165">
        <f>-0.017/(C7*C7+C22*C22)*(C21*C7-C6*C22)</f>
        <v>-0.00010966430616030394</v>
      </c>
      <c r="D51" s="165">
        <f>-0.017/(D7*D7+D22*D22)*(D21*D7-D6*D22)</f>
        <v>-0.00014101143018804837</v>
      </c>
      <c r="E51" s="165">
        <f>-0.017/(E7*E7+E22*E22)*(E21*E7-E6*E22)</f>
        <v>7.559448184145134E-05</v>
      </c>
      <c r="F51" s="165">
        <f>-0.017/(F7*F7+F22*F22)*(F21*F7-F6*F22)</f>
        <v>0.00016574887983556515</v>
      </c>
      <c r="G51" s="165">
        <f>(B51*B$4+C51*C$4+D51*D$4+E51*E$4+F51*F$4)/SUM(B$4:F$4)</f>
        <v>9.24555646728278E-08</v>
      </c>
    </row>
    <row r="58" ht="12.75">
      <c r="A58" s="165" t="s">
        <v>151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153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156</v>
      </c>
      <c r="B62" s="165">
        <f>B7+(2/0.017)*(B8*B50-B23*B51)</f>
        <v>9999.980617251018</v>
      </c>
      <c r="C62" s="165">
        <f>C7+(2/0.017)*(C8*C50-C23*C51)</f>
        <v>10000.025524693556</v>
      </c>
      <c r="D62" s="165">
        <f>D7+(2/0.017)*(D8*D50-D23*D51)</f>
        <v>10000.03650937223</v>
      </c>
      <c r="E62" s="165">
        <f>E7+(2/0.017)*(E8*E50-E23*E51)</f>
        <v>9999.975762673426</v>
      </c>
      <c r="F62" s="165">
        <f>F7+(2/0.017)*(F8*F50-F23*F51)</f>
        <v>9999.78818508273</v>
      </c>
    </row>
    <row r="63" spans="1:6" ht="12.75">
      <c r="A63" s="165" t="s">
        <v>157</v>
      </c>
      <c r="B63" s="165">
        <f>B8+(3/0.017)*(B9*B50-B24*B51)</f>
        <v>-0.20733626215160791</v>
      </c>
      <c r="C63" s="165">
        <f>C8+(3/0.017)*(C9*C50-C24*C51)</f>
        <v>-0.27383085688911984</v>
      </c>
      <c r="D63" s="165">
        <f>D8+(3/0.017)*(D9*D50-D24*D51)</f>
        <v>2.199108053964746</v>
      </c>
      <c r="E63" s="165">
        <f>E8+(3/0.017)*(E9*E50-E24*E51)</f>
        <v>1.069289596713591</v>
      </c>
      <c r="F63" s="165">
        <f>F8+(3/0.017)*(F9*F50-F24*F51)</f>
        <v>-3.9544302020008923</v>
      </c>
    </row>
    <row r="64" spans="1:6" ht="12.75">
      <c r="A64" s="165" t="s">
        <v>158</v>
      </c>
      <c r="B64" s="165">
        <f>B9+(4/0.017)*(B10*B50-B25*B51)</f>
        <v>-0.027258880965339256</v>
      </c>
      <c r="C64" s="165">
        <f>C9+(4/0.017)*(C10*C50-C25*C51)</f>
        <v>-0.1429399017011149</v>
      </c>
      <c r="D64" s="165">
        <f>D9+(4/0.017)*(D10*D50-D25*D51)</f>
        <v>0.0731825610863838</v>
      </c>
      <c r="E64" s="165">
        <f>E9+(4/0.017)*(E10*E50-E25*E51)</f>
        <v>0.3583848175131391</v>
      </c>
      <c r="F64" s="165">
        <f>F9+(4/0.017)*(F10*F50-F25*F51)</f>
        <v>-1.6761352360040396</v>
      </c>
    </row>
    <row r="65" spans="1:6" ht="12.75">
      <c r="A65" s="165" t="s">
        <v>159</v>
      </c>
      <c r="B65" s="165">
        <f>B10+(5/0.017)*(B11*B50-B26*B51)</f>
        <v>0.37258425661728517</v>
      </c>
      <c r="C65" s="165">
        <f>C10+(5/0.017)*(C11*C50-C26*C51)</f>
        <v>0.2848766354336389</v>
      </c>
      <c r="D65" s="165">
        <f>D10+(5/0.017)*(D11*D50-D26*D51)</f>
        <v>-0.5170034308626806</v>
      </c>
      <c r="E65" s="165">
        <f>E10+(5/0.017)*(E11*E50-E26*E51)</f>
        <v>0.1342797573079979</v>
      </c>
      <c r="F65" s="165">
        <f>F10+(5/0.017)*(F11*F50-F26*F51)</f>
        <v>-0.7163967857558183</v>
      </c>
    </row>
    <row r="66" spans="1:6" ht="12.75">
      <c r="A66" s="165" t="s">
        <v>160</v>
      </c>
      <c r="B66" s="165">
        <f>B11+(6/0.017)*(B12*B50-B27*B51)</f>
        <v>3.937876707272202</v>
      </c>
      <c r="C66" s="165">
        <f>C11+(6/0.017)*(C12*C50-C27*C51)</f>
        <v>3.0230431226098355</v>
      </c>
      <c r="D66" s="165">
        <f>D11+(6/0.017)*(D12*D50-D27*D51)</f>
        <v>3.5514624390245744</v>
      </c>
      <c r="E66" s="165">
        <f>E11+(6/0.017)*(E12*E50-E27*E51)</f>
        <v>3.290666543152573</v>
      </c>
      <c r="F66" s="165">
        <f>F11+(6/0.017)*(F12*F50-F27*F51)</f>
        <v>14.748399765979931</v>
      </c>
    </row>
    <row r="67" spans="1:6" ht="12.75">
      <c r="A67" s="165" t="s">
        <v>161</v>
      </c>
      <c r="B67" s="165">
        <f>B12+(7/0.017)*(B13*B50-B28*B51)</f>
        <v>-0.008663247042669145</v>
      </c>
      <c r="C67" s="165">
        <f>C12+(7/0.017)*(C13*C50-C28*C51)</f>
        <v>-0.07313011199086059</v>
      </c>
      <c r="D67" s="165">
        <f>D12+(7/0.017)*(D13*D50-D28*D51)</f>
        <v>-0.1475433438380465</v>
      </c>
      <c r="E67" s="165">
        <f>E12+(7/0.017)*(E13*E50-E28*E51)</f>
        <v>-0.030291286635413393</v>
      </c>
      <c r="F67" s="165">
        <f>F12+(7/0.017)*(F13*F50-F28*F51)</f>
        <v>0.2775899069142088</v>
      </c>
    </row>
    <row r="68" spans="1:6" ht="12.75">
      <c r="A68" s="165" t="s">
        <v>162</v>
      </c>
      <c r="B68" s="165">
        <f>B13+(8/0.017)*(B14*B50-B29*B51)</f>
        <v>0.03592586779343158</v>
      </c>
      <c r="C68" s="165">
        <f>C13+(8/0.017)*(C14*C50-C29*C51)</f>
        <v>-0.11124713934855997</v>
      </c>
      <c r="D68" s="165">
        <f>D13+(8/0.017)*(D14*D50-D29*D51)</f>
        <v>-0.09912927244025037</v>
      </c>
      <c r="E68" s="165">
        <f>E13+(8/0.017)*(E14*E50-E29*E51)</f>
        <v>-0.03183342651653818</v>
      </c>
      <c r="F68" s="165">
        <f>F13+(8/0.017)*(F14*F50-F29*F51)</f>
        <v>-0.06408749069409297</v>
      </c>
    </row>
    <row r="69" spans="1:6" ht="12.75">
      <c r="A69" s="165" t="s">
        <v>163</v>
      </c>
      <c r="B69" s="165">
        <f>B14+(9/0.017)*(B15*B50-B30*B51)</f>
        <v>0.10506882391354912</v>
      </c>
      <c r="C69" s="165">
        <f>C14+(9/0.017)*(C15*C50-C30*C51)</f>
        <v>0.05675349783670632</v>
      </c>
      <c r="D69" s="165">
        <f>D14+(9/0.017)*(D15*D50-D30*D51)</f>
        <v>-0.04096255887126987</v>
      </c>
      <c r="E69" s="165">
        <f>E14+(9/0.017)*(E15*E50-E30*E51)</f>
        <v>0.08812174187051507</v>
      </c>
      <c r="F69" s="165">
        <f>F14+(9/0.017)*(F15*F50-F30*F51)</f>
        <v>0.06439505558473907</v>
      </c>
    </row>
    <row r="70" spans="1:6" ht="12.75">
      <c r="A70" s="165" t="s">
        <v>164</v>
      </c>
      <c r="B70" s="165">
        <f>B15+(10/0.017)*(B16*B50-B31*B51)</f>
        <v>-0.33337805602418746</v>
      </c>
      <c r="C70" s="165">
        <f>C15+(10/0.017)*(C16*C50-C31*C51)</f>
        <v>-0.15436198412724256</v>
      </c>
      <c r="D70" s="165">
        <f>D15+(10/0.017)*(D16*D50-D31*D51)</f>
        <v>-0.08345050756806296</v>
      </c>
      <c r="E70" s="165">
        <f>E15+(10/0.017)*(E16*E50-E31*E51)</f>
        <v>-0.07955222651783414</v>
      </c>
      <c r="F70" s="165">
        <f>F15+(10/0.017)*(F16*F50-F31*F51)</f>
        <v>-0.3048818753803519</v>
      </c>
    </row>
    <row r="71" spans="1:6" ht="12.75">
      <c r="A71" s="165" t="s">
        <v>165</v>
      </c>
      <c r="B71" s="165">
        <f>B16+(11/0.017)*(B17*B50-B32*B51)</f>
        <v>-0.03526463417631381</v>
      </c>
      <c r="C71" s="165">
        <f>C16+(11/0.017)*(C17*C50-C32*C51)</f>
        <v>-0.03203963432460658</v>
      </c>
      <c r="D71" s="165">
        <f>D16+(11/0.017)*(D17*D50-D32*D51)</f>
        <v>-0.029598905591028634</v>
      </c>
      <c r="E71" s="165">
        <f>E16+(11/0.017)*(E17*E50-E32*E51)</f>
        <v>-0.03417079851188114</v>
      </c>
      <c r="F71" s="165">
        <f>F16+(11/0.017)*(F17*F50-F32*F51)</f>
        <v>0.015331764816534836</v>
      </c>
    </row>
    <row r="72" spans="1:6" ht="12.75">
      <c r="A72" s="165" t="s">
        <v>166</v>
      </c>
      <c r="B72" s="165">
        <f>B17+(12/0.017)*(B18*B50-B33*B51)</f>
        <v>-0.013850162521681548</v>
      </c>
      <c r="C72" s="165">
        <f>C17+(12/0.017)*(C18*C50-C33*C51)</f>
        <v>0.0023309215021218724</v>
      </c>
      <c r="D72" s="165">
        <f>D17+(12/0.017)*(D18*D50-D33*D51)</f>
        <v>0.009689811307014674</v>
      </c>
      <c r="E72" s="165">
        <f>E17+(12/0.017)*(E18*E50-E33*E51)</f>
        <v>0.006462957071821384</v>
      </c>
      <c r="F72" s="165">
        <f>F17+(12/0.017)*(F18*F50-F33*F51)</f>
        <v>-0.009832678939841306</v>
      </c>
    </row>
    <row r="73" spans="1:6" ht="12.75">
      <c r="A73" s="165" t="s">
        <v>167</v>
      </c>
      <c r="B73" s="165">
        <f>B18+(13/0.017)*(B19*B50-B34*B51)</f>
        <v>0.03116671075303834</v>
      </c>
      <c r="C73" s="165">
        <f>C18+(13/0.017)*(C19*C50-C34*C51)</f>
        <v>0.029894449922598033</v>
      </c>
      <c r="D73" s="165">
        <f>D18+(13/0.017)*(D19*D50-D34*D51)</f>
        <v>0.04681596245072213</v>
      </c>
      <c r="E73" s="165">
        <f>E18+(13/0.017)*(E19*E50-E34*E51)</f>
        <v>0.05096043483545496</v>
      </c>
      <c r="F73" s="165">
        <f>F18+(13/0.017)*(F19*F50-F34*F51)</f>
        <v>-0.004934868892101325</v>
      </c>
    </row>
    <row r="74" spans="1:6" ht="12.75">
      <c r="A74" s="165" t="s">
        <v>168</v>
      </c>
      <c r="B74" s="165">
        <f>B19+(14/0.017)*(B20*B50-B35*B51)</f>
        <v>-0.1931489211208304</v>
      </c>
      <c r="C74" s="165">
        <f>C19+(14/0.017)*(C20*C50-C35*C51)</f>
        <v>-0.1682951780090329</v>
      </c>
      <c r="D74" s="165">
        <f>D19+(14/0.017)*(D20*D50-D35*D51)</f>
        <v>-0.17160282530158102</v>
      </c>
      <c r="E74" s="165">
        <f>E19+(14/0.017)*(E20*E50-E35*E51)</f>
        <v>-0.16537157951659118</v>
      </c>
      <c r="F74" s="165">
        <f>F19+(14/0.017)*(F20*F50-F35*F51)</f>
        <v>-0.13913097660377655</v>
      </c>
    </row>
    <row r="75" spans="1:6" ht="12.75">
      <c r="A75" s="165" t="s">
        <v>169</v>
      </c>
      <c r="B75" s="166">
        <f>B20</f>
        <v>-0.004035395</v>
      </c>
      <c r="C75" s="166">
        <f>C20</f>
        <v>-0.001513956</v>
      </c>
      <c r="D75" s="166">
        <f>D20</f>
        <v>0.002613417</v>
      </c>
      <c r="E75" s="166">
        <f>E20</f>
        <v>-3.265608E-05</v>
      </c>
      <c r="F75" s="166">
        <f>F20</f>
        <v>6.596833E-05</v>
      </c>
    </row>
    <row r="78" ht="12.75">
      <c r="A78" s="165" t="s">
        <v>151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170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171</v>
      </c>
      <c r="B82" s="165">
        <f>B22+(2/0.017)*(B8*B51+B23*B50)</f>
        <v>114.94090922395522</v>
      </c>
      <c r="C82" s="165">
        <f>C22+(2/0.017)*(C8*C51+C23*C50)</f>
        <v>67.48109320156077</v>
      </c>
      <c r="D82" s="165">
        <f>D22+(2/0.017)*(D8*D51+D23*D50)</f>
        <v>2.487360246277615</v>
      </c>
      <c r="E82" s="165">
        <f>E22+(2/0.017)*(E8*E51+E23*E50)</f>
        <v>-67.30888061577826</v>
      </c>
      <c r="F82" s="165">
        <f>F22+(2/0.017)*(F8*F51+F23*F50)</f>
        <v>-128.23675191861108</v>
      </c>
    </row>
    <row r="83" spans="1:6" ht="12.75">
      <c r="A83" s="165" t="s">
        <v>172</v>
      </c>
      <c r="B83" s="165">
        <f>B23+(3/0.017)*(B9*B51+B24*B50)</f>
        <v>1.224344140157149</v>
      </c>
      <c r="C83" s="165">
        <f>C23+(3/0.017)*(C9*C51+C24*C50)</f>
        <v>1.9918178459136886</v>
      </c>
      <c r="D83" s="165">
        <f>D23+(3/0.017)*(D9*D51+D24*D50)</f>
        <v>2.1651220536998195</v>
      </c>
      <c r="E83" s="165">
        <f>E23+(3/0.017)*(E9*E51+E24*E50)</f>
        <v>2.2940304046274997</v>
      </c>
      <c r="F83" s="165">
        <f>F23+(3/0.017)*(F9*F51+F24*F50)</f>
        <v>9.450195729766019</v>
      </c>
    </row>
    <row r="84" spans="1:6" ht="12.75">
      <c r="A84" s="165" t="s">
        <v>173</v>
      </c>
      <c r="B84" s="165">
        <f>B24+(4/0.017)*(B10*B51+B25*B50)</f>
        <v>-0.6116036122455321</v>
      </c>
      <c r="C84" s="165">
        <f>C24+(4/0.017)*(C10*C51+C25*C50)</f>
        <v>-0.2778334260099703</v>
      </c>
      <c r="D84" s="165">
        <f>D24+(4/0.017)*(D10*D51+D25*D50)</f>
        <v>4.043196437840497</v>
      </c>
      <c r="E84" s="165">
        <f>E24+(4/0.017)*(E10*E51+E25*E50)</f>
        <v>4.669701433929688</v>
      </c>
      <c r="F84" s="165">
        <f>F24+(4/0.017)*(F10*F51+F25*F50)</f>
        <v>1.5812479010067273</v>
      </c>
    </row>
    <row r="85" spans="1:6" ht="12.75">
      <c r="A85" s="165" t="s">
        <v>174</v>
      </c>
      <c r="B85" s="165">
        <f>B25+(5/0.017)*(B11*B51+B26*B50)</f>
        <v>0.13824781906913386</v>
      </c>
      <c r="C85" s="165">
        <f>C25+(5/0.017)*(C11*C51+C26*C50)</f>
        <v>1.0943522830588643</v>
      </c>
      <c r="D85" s="165">
        <f>D25+(5/0.017)*(D11*D51+D26*D50)</f>
        <v>0.60608420720124</v>
      </c>
      <c r="E85" s="165">
        <f>E25+(5/0.017)*(E11*E51+E26*E50)</f>
        <v>0.8378239505915765</v>
      </c>
      <c r="F85" s="165">
        <f>F25+(5/0.017)*(F11*F51+F26*F50)</f>
        <v>-0.3986109940696909</v>
      </c>
    </row>
    <row r="86" spans="1:6" ht="12.75">
      <c r="A86" s="165" t="s">
        <v>175</v>
      </c>
      <c r="B86" s="165">
        <f>B26+(6/0.017)*(B12*B51+B27*B50)</f>
        <v>-0.12340831408497892</v>
      </c>
      <c r="C86" s="165">
        <f>C26+(6/0.017)*(C12*C51+C27*C50)</f>
        <v>0.604057582193653</v>
      </c>
      <c r="D86" s="165">
        <f>D26+(6/0.017)*(D12*D51+D27*D50)</f>
        <v>-0.15321682689513505</v>
      </c>
      <c r="E86" s="165">
        <f>E26+(6/0.017)*(E12*E51+E27*E50)</f>
        <v>-0.3723402432750614</v>
      </c>
      <c r="F86" s="165">
        <f>F26+(6/0.017)*(F12*F51+F27*F50)</f>
        <v>0.47139958892940254</v>
      </c>
    </row>
    <row r="87" spans="1:6" ht="12.75">
      <c r="A87" s="165" t="s">
        <v>176</v>
      </c>
      <c r="B87" s="165">
        <f>B27+(7/0.017)*(B13*B51+B28*B50)</f>
        <v>0.0010058502717983833</v>
      </c>
      <c r="C87" s="165">
        <f>C27+(7/0.017)*(C13*C51+C28*C50)</f>
        <v>-0.06988232880322408</v>
      </c>
      <c r="D87" s="165">
        <f>D27+(7/0.017)*(D13*D51+D28*D50)</f>
        <v>0.2747655938001272</v>
      </c>
      <c r="E87" s="165">
        <f>E27+(7/0.017)*(E13*E51+E28*E50)</f>
        <v>0.06110768535028252</v>
      </c>
      <c r="F87" s="165">
        <f>F27+(7/0.017)*(F13*F51+F28*F50)</f>
        <v>0.471579939972392</v>
      </c>
    </row>
    <row r="88" spans="1:6" ht="12.75">
      <c r="A88" s="165" t="s">
        <v>177</v>
      </c>
      <c r="B88" s="165">
        <f>B28+(8/0.017)*(B14*B51+B29*B50)</f>
        <v>-0.2900668807519791</v>
      </c>
      <c r="C88" s="165">
        <f>C28+(8/0.017)*(C14*C51+C29*C50)</f>
        <v>-0.05628957107382092</v>
      </c>
      <c r="D88" s="165">
        <f>D28+(8/0.017)*(D14*D51+D29*D50)</f>
        <v>0.25375461712374237</v>
      </c>
      <c r="E88" s="165">
        <f>E28+(8/0.017)*(E14*E51+E29*E50)</f>
        <v>0.3612750912593928</v>
      </c>
      <c r="F88" s="165">
        <f>F28+(8/0.017)*(F14*F51+F29*F50)</f>
        <v>0.07593025857252272</v>
      </c>
    </row>
    <row r="89" spans="1:6" ht="12.75">
      <c r="A89" s="165" t="s">
        <v>178</v>
      </c>
      <c r="B89" s="165">
        <f>B29+(9/0.017)*(B15*B51+B30*B50)</f>
        <v>0.03177888117835791</v>
      </c>
      <c r="C89" s="165">
        <f>C29+(9/0.017)*(C15*C51+C30*C50)</f>
        <v>0.01827704077926195</v>
      </c>
      <c r="D89" s="165">
        <f>D29+(9/0.017)*(D15*D51+D30*D50)</f>
        <v>0.06732992066578342</v>
      </c>
      <c r="E89" s="165">
        <f>E29+(9/0.017)*(E15*E51+E30*E50)</f>
        <v>0.061230546292851434</v>
      </c>
      <c r="F89" s="165">
        <f>F29+(9/0.017)*(F15*F51+F30*F50)</f>
        <v>0.06745224930120026</v>
      </c>
    </row>
    <row r="90" spans="1:6" ht="12.75">
      <c r="A90" s="165" t="s">
        <v>179</v>
      </c>
      <c r="B90" s="165">
        <f>B30+(10/0.017)*(B16*B51+B31*B50)</f>
        <v>0.007460695123372249</v>
      </c>
      <c r="C90" s="165">
        <f>C30+(10/0.017)*(C16*C51+C31*C50)</f>
        <v>0.12796276162015316</v>
      </c>
      <c r="D90" s="165">
        <f>D30+(10/0.017)*(D16*D51+D31*D50)</f>
        <v>0.01573771606257511</v>
      </c>
      <c r="E90" s="165">
        <f>E30+(10/0.017)*(E16*E51+E31*E50)</f>
        <v>0.05372563314665672</v>
      </c>
      <c r="F90" s="165">
        <f>F30+(10/0.017)*(F16*F51+F31*F50)</f>
        <v>0.24561698882902713</v>
      </c>
    </row>
    <row r="91" spans="1:6" ht="12.75">
      <c r="A91" s="165" t="s">
        <v>180</v>
      </c>
      <c r="B91" s="165">
        <f>B31+(11/0.017)*(B17*B51+B32*B50)</f>
        <v>0.014074500918863645</v>
      </c>
      <c r="C91" s="165">
        <f>C31+(11/0.017)*(C17*C51+C32*C50)</f>
        <v>-0.023330650592790353</v>
      </c>
      <c r="D91" s="165">
        <f>D31+(11/0.017)*(D17*D51+D32*D50)</f>
        <v>0.03376040101345278</v>
      </c>
      <c r="E91" s="165">
        <f>E31+(11/0.017)*(E17*E51+E32*E50)</f>
        <v>0.0316494412331165</v>
      </c>
      <c r="F91" s="165">
        <f>F31+(11/0.017)*(F17*F51+F32*F50)</f>
        <v>0.05605376242353423</v>
      </c>
    </row>
    <row r="92" spans="1:6" ht="12.75">
      <c r="A92" s="165" t="s">
        <v>181</v>
      </c>
      <c r="B92" s="165">
        <f>B32+(12/0.017)*(B18*B51+B33*B50)</f>
        <v>-0.014059837055899811</v>
      </c>
      <c r="C92" s="165">
        <f>C32+(12/0.017)*(C18*C51+C33*C50)</f>
        <v>0.0021399434514233124</v>
      </c>
      <c r="D92" s="165">
        <f>D32+(12/0.017)*(D18*D51+D33*D50)</f>
        <v>-0.0036974263207296735</v>
      </c>
      <c r="E92" s="165">
        <f>E32+(12/0.017)*(E18*E51+E33*E50)</f>
        <v>0.009951230931557038</v>
      </c>
      <c r="F92" s="165">
        <f>F32+(12/0.017)*(F18*F51+F33*F50)</f>
        <v>0.006140588613520539</v>
      </c>
    </row>
    <row r="93" spans="1:6" ht="12.75">
      <c r="A93" s="165" t="s">
        <v>182</v>
      </c>
      <c r="B93" s="165">
        <f>B33+(13/0.017)*(B19*B51+B34*B50)</f>
        <v>0.03305142159467872</v>
      </c>
      <c r="C93" s="165">
        <f>C33+(13/0.017)*(C19*C51+C34*C50)</f>
        <v>0.0182244907345972</v>
      </c>
      <c r="D93" s="165">
        <f>D33+(13/0.017)*(D19*D51+D34*D50)</f>
        <v>0.04003294243176247</v>
      </c>
      <c r="E93" s="165">
        <f>E33+(13/0.017)*(E19*E51+E34*E50)</f>
        <v>0.030393585260537218</v>
      </c>
      <c r="F93" s="165">
        <f>F33+(13/0.017)*(F19*F51+F34*F50)</f>
        <v>0.03143793794390448</v>
      </c>
    </row>
    <row r="94" spans="1:6" ht="12.75">
      <c r="A94" s="165" t="s">
        <v>183</v>
      </c>
      <c r="B94" s="165">
        <f>B34+(14/0.017)*(B20*B51+B35*B50)</f>
        <v>-0.006642968618671154</v>
      </c>
      <c r="C94" s="165">
        <f>C34+(14/0.017)*(C20*C51+C35*C50)</f>
        <v>0.015251535684784406</v>
      </c>
      <c r="D94" s="165">
        <f>D34+(14/0.017)*(D20*D51+D35*D50)</f>
        <v>0.012905636879744588</v>
      </c>
      <c r="E94" s="165">
        <f>E34+(14/0.017)*(E20*E51+E35*E50)</f>
        <v>0.028700173758322105</v>
      </c>
      <c r="F94" s="165">
        <f>F34+(14/0.017)*(F20*F51+F35*F50)</f>
        <v>-0.009704967388077634</v>
      </c>
    </row>
    <row r="95" spans="1:6" ht="12.75">
      <c r="A95" s="165" t="s">
        <v>184</v>
      </c>
      <c r="B95" s="166">
        <f>B35</f>
        <v>-0.001883996</v>
      </c>
      <c r="C95" s="166">
        <f>C35</f>
        <v>-0.003053375</v>
      </c>
      <c r="D95" s="166">
        <f>D35</f>
        <v>-0.003788527</v>
      </c>
      <c r="E95" s="166">
        <f>E35</f>
        <v>-4.784897E-05</v>
      </c>
      <c r="F95" s="166">
        <f>F35</f>
        <v>0.006191764</v>
      </c>
    </row>
    <row r="98" ht="12.75">
      <c r="A98" s="165" t="s">
        <v>152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154</v>
      </c>
      <c r="H100" s="165" t="s">
        <v>155</v>
      </c>
      <c r="I100" s="165" t="s">
        <v>150</v>
      </c>
      <c r="K100" s="165" t="s">
        <v>185</v>
      </c>
    </row>
    <row r="101" spans="1:9" ht="12.75">
      <c r="A101" s="165" t="s">
        <v>153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156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10000.000000000004</v>
      </c>
    </row>
    <row r="103" spans="1:11" ht="12.75">
      <c r="A103" s="165" t="s">
        <v>157</v>
      </c>
      <c r="B103" s="165">
        <f>B63*10000/B62</f>
        <v>-0.2073366640270593</v>
      </c>
      <c r="C103" s="165">
        <f>C63*10000/C62</f>
        <v>-0.27383015794603305</v>
      </c>
      <c r="D103" s="165">
        <f>D63*10000/D62</f>
        <v>2.1991000251886064</v>
      </c>
      <c r="E103" s="165">
        <f>E63*10000/E62</f>
        <v>1.0692921883919884</v>
      </c>
      <c r="F103" s="165">
        <f>F63*10000/F62</f>
        <v>-3.9545139645057157</v>
      </c>
      <c r="G103" s="165">
        <f>AVERAGE(C103:E103)</f>
        <v>0.9981873518781873</v>
      </c>
      <c r="H103" s="165">
        <f>STDEV(C103:E103)</f>
        <v>1.237997514535599</v>
      </c>
      <c r="I103" s="165">
        <f>(B103*B4+C103*C4+D103*D4+E103*E4+F103*F4)/SUM(B4:F4)</f>
        <v>0.1620429831964113</v>
      </c>
      <c r="K103" s="165">
        <f>(LN(H103)+LN(H123))/2-LN(K114*K115^3)</f>
        <v>-4.7148807938571835</v>
      </c>
    </row>
    <row r="104" spans="1:11" ht="12.75">
      <c r="A104" s="165" t="s">
        <v>158</v>
      </c>
      <c r="B104" s="165">
        <f>B64*10000/B62</f>
        <v>-0.027258933800646392</v>
      </c>
      <c r="C104" s="165">
        <f>C64*10000/C62</f>
        <v>-0.14293953685232738</v>
      </c>
      <c r="D104" s="165">
        <f>D64*10000/D62</f>
        <v>0.07318229390242292</v>
      </c>
      <c r="E104" s="165">
        <f>E64*10000/E62</f>
        <v>0.35838568614423055</v>
      </c>
      <c r="F104" s="165">
        <f>F64*10000/F62</f>
        <v>-1.6761707398006978</v>
      </c>
      <c r="G104" s="165">
        <f>AVERAGE(C104:E104)</f>
        <v>0.09620948106477538</v>
      </c>
      <c r="H104" s="165">
        <f>STDEV(C104:E104)</f>
        <v>0.2514546347049396</v>
      </c>
      <c r="I104" s="165">
        <f>(B104*B4+C104*C4+D104*D4+E104*E4+F104*F4)/SUM(B4:F4)</f>
        <v>-0.15848493538774186</v>
      </c>
      <c r="K104" s="165">
        <f>(LN(H104)+LN(H124))/2-LN(K114*K115^4)</f>
        <v>-3.4819928947850416</v>
      </c>
    </row>
    <row r="105" spans="1:11" ht="12.75">
      <c r="A105" s="165" t="s">
        <v>159</v>
      </c>
      <c r="B105" s="165">
        <f>B65*10000/B62</f>
        <v>0.372584978789397</v>
      </c>
      <c r="C105" s="165">
        <f>C65*10000/C62</f>
        <v>0.2848759082966128</v>
      </c>
      <c r="D105" s="165">
        <f>D65*10000/D62</f>
        <v>-0.5170015433225018</v>
      </c>
      <c r="E105" s="165">
        <f>E65*10000/E62</f>
        <v>0.13428008276701972</v>
      </c>
      <c r="F105" s="165">
        <f>F65*10000/F62</f>
        <v>-0.7164119604298312</v>
      </c>
      <c r="G105" s="165">
        <f>AVERAGE(C105:E105)</f>
        <v>-0.032615184086289765</v>
      </c>
      <c r="H105" s="165">
        <f>STDEV(C105:E105)</f>
        <v>0.42619524214533344</v>
      </c>
      <c r="I105" s="165">
        <f>(B105*B4+C105*C4+D105*D4+E105*E4+F105*F4)/SUM(B4:F4)</f>
        <v>-0.06541492901756606</v>
      </c>
      <c r="K105" s="165">
        <f>(LN(H105)+LN(H125))/2-LN(K114*K115^5)</f>
        <v>-3.8271586599295544</v>
      </c>
    </row>
    <row r="106" spans="1:11" ht="12.75">
      <c r="A106" s="165" t="s">
        <v>160</v>
      </c>
      <c r="B106" s="165">
        <f>B66*10000/B62</f>
        <v>3.9378843399745698</v>
      </c>
      <c r="C106" s="165">
        <f>C66*10000/C62</f>
        <v>3.0230354064046</v>
      </c>
      <c r="D106" s="165">
        <f>D66*10000/D62</f>
        <v>3.5514494729054977</v>
      </c>
      <c r="E106" s="165">
        <f>E66*10000/E62</f>
        <v>3.2906745188678697</v>
      </c>
      <c r="F106" s="165">
        <f>F66*10000/F62</f>
        <v>14.748712165704653</v>
      </c>
      <c r="G106" s="165">
        <f>AVERAGE(C106:E106)</f>
        <v>3.2883864660593223</v>
      </c>
      <c r="H106" s="165">
        <f>STDEV(C106:E106)</f>
        <v>0.2642144636620859</v>
      </c>
      <c r="I106" s="165">
        <f>(B106*B4+C106*C4+D106*D4+E106*E4+F106*F4)/SUM(B4:F4)</f>
        <v>4.913848280474339</v>
      </c>
      <c r="K106" s="165">
        <f>(LN(H106)+LN(H126))/2-LN(K114*K115^6)</f>
        <v>-3.10451227271993</v>
      </c>
    </row>
    <row r="107" spans="1:11" ht="12.75">
      <c r="A107" s="165" t="s">
        <v>161</v>
      </c>
      <c r="B107" s="165">
        <f>B67*10000/B62</f>
        <v>-0.008663263834455972</v>
      </c>
      <c r="C107" s="165">
        <f>C67*10000/C62</f>
        <v>-0.07312992532896721</v>
      </c>
      <c r="D107" s="165">
        <f>D67*10000/D62</f>
        <v>-0.1475428051685271</v>
      </c>
      <c r="E107" s="165">
        <f>E67*10000/E62</f>
        <v>-0.03029136005357199</v>
      </c>
      <c r="F107" s="165">
        <f>F67*10000/F62</f>
        <v>0.2775957868070705</v>
      </c>
      <c r="G107" s="165">
        <f>AVERAGE(C107:E107)</f>
        <v>-0.08365469685035543</v>
      </c>
      <c r="H107" s="165">
        <f>STDEV(C107:E107)</f>
        <v>0.05933003840441538</v>
      </c>
      <c r="I107" s="165">
        <f>(B107*B4+C107*C4+D107*D4+E107*E4+F107*F4)/SUM(B4:F4)</f>
        <v>-0.02453295749202928</v>
      </c>
      <c r="K107" s="165">
        <f>(LN(H107)+LN(H127))/2-LN(K114*K115^7)</f>
        <v>-3.8000610998000965</v>
      </c>
    </row>
    <row r="108" spans="1:9" ht="12.75">
      <c r="A108" s="165" t="s">
        <v>162</v>
      </c>
      <c r="B108" s="165">
        <f>B68*10000/B62</f>
        <v>0.035925937427774286</v>
      </c>
      <c r="C108" s="165">
        <f>C68*10000/C62</f>
        <v>-0.11124685539437067</v>
      </c>
      <c r="D108" s="165">
        <f>D68*10000/D62</f>
        <v>-0.09912891052682105</v>
      </c>
      <c r="E108" s="165">
        <f>E68*10000/E62</f>
        <v>-0.03183350367244063</v>
      </c>
      <c r="F108" s="165">
        <f>F68*10000/F62</f>
        <v>-0.06408884819150072</v>
      </c>
      <c r="G108" s="165">
        <f>AVERAGE(C108:E108)</f>
        <v>-0.08073642319787745</v>
      </c>
      <c r="H108" s="165">
        <f>STDEV(C108:E108)</f>
        <v>0.042782388906380045</v>
      </c>
      <c r="I108" s="165">
        <f>(B108*B4+C108*C4+D108*D4+E108*E4+F108*F4)/SUM(B4:F4)</f>
        <v>-0.0616445180555853</v>
      </c>
    </row>
    <row r="109" spans="1:9" ht="12.75">
      <c r="A109" s="165" t="s">
        <v>163</v>
      </c>
      <c r="B109" s="165">
        <f>B69*10000/B62</f>
        <v>0.10506902756620783</v>
      </c>
      <c r="C109" s="165">
        <f>C69*10000/C62</f>
        <v>0.056753352975512025</v>
      </c>
      <c r="D109" s="165">
        <f>D69*10000/D62</f>
        <v>-0.04096240932008494</v>
      </c>
      <c r="E109" s="165">
        <f>E69*10000/E62</f>
        <v>0.08812195545457634</v>
      </c>
      <c r="F109" s="165">
        <f>F69*10000/F62</f>
        <v>0.064396419596968</v>
      </c>
      <c r="G109" s="165">
        <f>AVERAGE(C109:E109)</f>
        <v>0.03463763303666781</v>
      </c>
      <c r="H109" s="165">
        <f>STDEV(C109:E109)</f>
        <v>0.06732400841178054</v>
      </c>
      <c r="I109" s="165">
        <f>(B109*B4+C109*C4+D109*D4+E109*E4+F109*F4)/SUM(B4:F4)</f>
        <v>0.048799182457136846</v>
      </c>
    </row>
    <row r="110" spans="1:11" ht="12.75">
      <c r="A110" s="165" t="s">
        <v>164</v>
      </c>
      <c r="B110" s="165">
        <f>B70*10000/B62</f>
        <v>-0.33337870220375754</v>
      </c>
      <c r="C110" s="165">
        <f>C70*10000/C62</f>
        <v>-0.1543615901240141</v>
      </c>
      <c r="D110" s="165">
        <f>D70*10000/D62</f>
        <v>-0.08345020289661094</v>
      </c>
      <c r="E110" s="165">
        <f>E70*10000/E62</f>
        <v>-0.07955241933163085</v>
      </c>
      <c r="F110" s="165">
        <f>F70*10000/F62</f>
        <v>-0.3048883333700628</v>
      </c>
      <c r="G110" s="165">
        <f>AVERAGE(C110:E110)</f>
        <v>-0.1057880707840853</v>
      </c>
      <c r="H110" s="165">
        <f>STDEV(C110:E110)</f>
        <v>0.042111023081607545</v>
      </c>
      <c r="I110" s="165">
        <f>(B110*B4+C110*C4+D110*D4+E110*E4+F110*F4)/SUM(B4:F4)</f>
        <v>-0.16529346991173502</v>
      </c>
      <c r="K110" s="165">
        <f>EXP(AVERAGE(K103:K107))</f>
        <v>0.022692492315075672</v>
      </c>
    </row>
    <row r="111" spans="1:9" ht="12.75">
      <c r="A111" s="165" t="s">
        <v>165</v>
      </c>
      <c r="B111" s="165">
        <f>B71*10000/B62</f>
        <v>-0.03526470252900151</v>
      </c>
      <c r="C111" s="165">
        <f>C71*10000/C62</f>
        <v>-0.03203955254463055</v>
      </c>
      <c r="D111" s="165">
        <f>D71*10000/D62</f>
        <v>-0.029598797527676985</v>
      </c>
      <c r="E111" s="165">
        <f>E71*10000/E62</f>
        <v>-0.03417088133296216</v>
      </c>
      <c r="F111" s="165">
        <f>F71*10000/F62</f>
        <v>0.015332089573063283</v>
      </c>
      <c r="G111" s="165">
        <f>AVERAGE(C111:E111)</f>
        <v>-0.03193641046842323</v>
      </c>
      <c r="H111" s="165">
        <f>STDEV(C111:E111)</f>
        <v>0.002287786331052602</v>
      </c>
      <c r="I111" s="165">
        <f>(B111*B4+C111*C4+D111*D4+E111*E4+F111*F4)/SUM(B4:F4)</f>
        <v>-0.026100639950733518</v>
      </c>
    </row>
    <row r="112" spans="1:9" ht="12.75">
      <c r="A112" s="165" t="s">
        <v>166</v>
      </c>
      <c r="B112" s="165">
        <f>B72*10000/B62</f>
        <v>-0.013850189367155935</v>
      </c>
      <c r="C112" s="165">
        <f>C72*10000/C62</f>
        <v>0.002330915552531354</v>
      </c>
      <c r="D112" s="165">
        <f>D72*10000/D62</f>
        <v>0.009689775930251047</v>
      </c>
      <c r="E112" s="165">
        <f>E72*10000/E62</f>
        <v>0.0064629727363394686</v>
      </c>
      <c r="F112" s="165">
        <f>F72*10000/F62</f>
        <v>-0.009832887215060504</v>
      </c>
      <c r="G112" s="165">
        <f>AVERAGE(C112:E112)</f>
        <v>0.006161221406373957</v>
      </c>
      <c r="H112" s="165">
        <f>STDEV(C112:E112)</f>
        <v>0.0036886985392608545</v>
      </c>
      <c r="I112" s="165">
        <f>(B112*B4+C112*C4+D112*D4+E112*E4+F112*F4)/SUM(B4:F4)</f>
        <v>0.0011310442794411689</v>
      </c>
    </row>
    <row r="113" spans="1:9" ht="12.75">
      <c r="A113" s="165" t="s">
        <v>167</v>
      </c>
      <c r="B113" s="165">
        <f>B73*10000/B62</f>
        <v>0.031166771162808544</v>
      </c>
      <c r="C113" s="165">
        <f>C73*10000/C62</f>
        <v>0.02989437361812547</v>
      </c>
      <c r="D113" s="165">
        <f>D73*10000/D62</f>
        <v>0.04681579152920621</v>
      </c>
      <c r="E113" s="165">
        <f>E73*10000/E62</f>
        <v>0.05096055835022447</v>
      </c>
      <c r="F113" s="165">
        <f>F73*10000/F62</f>
        <v>-0.00493497342220004</v>
      </c>
      <c r="G113" s="165">
        <f>AVERAGE(C113:E113)</f>
        <v>0.04255690783251872</v>
      </c>
      <c r="H113" s="165">
        <f>STDEV(C113:E113)</f>
        <v>0.011160179324193815</v>
      </c>
      <c r="I113" s="165">
        <f>(B113*B4+C113*C4+D113*D4+E113*E4+F113*F4)/SUM(B4:F4)</f>
        <v>0.03456407896660986</v>
      </c>
    </row>
    <row r="114" spans="1:11" ht="12.75">
      <c r="A114" s="165" t="s">
        <v>168</v>
      </c>
      <c r="B114" s="165">
        <f>B74*10000/B62</f>
        <v>-0.19314929549726145</v>
      </c>
      <c r="C114" s="165">
        <f>C74*10000/C62</f>
        <v>-0.1682947484418448</v>
      </c>
      <c r="D114" s="165">
        <f>D74*10000/D62</f>
        <v>-0.1716021987927259</v>
      </c>
      <c r="E114" s="165">
        <f>E74*10000/E62</f>
        <v>-0.16537198033406053</v>
      </c>
      <c r="F114" s="165">
        <f>F74*10000/F62</f>
        <v>-0.13913392366782965</v>
      </c>
      <c r="G114" s="165">
        <f>AVERAGE(C114:E114)</f>
        <v>-0.16842297585621044</v>
      </c>
      <c r="H114" s="165">
        <f>STDEV(C114:E114)</f>
        <v>0.0031170879379648683</v>
      </c>
      <c r="I114" s="165">
        <f>(B114*B4+C114*C4+D114*D4+E114*E4+F114*F4)/SUM(B4:F4)</f>
        <v>-0.1680828265642094</v>
      </c>
      <c r="J114" s="165" t="s">
        <v>186</v>
      </c>
      <c r="K114" s="165">
        <v>285</v>
      </c>
    </row>
    <row r="115" spans="1:11" ht="12.75">
      <c r="A115" s="165" t="s">
        <v>169</v>
      </c>
      <c r="B115" s="165">
        <f>B75*10000/B62</f>
        <v>-0.004035402821719993</v>
      </c>
      <c r="C115" s="165">
        <f>C75*10000/C62</f>
        <v>-0.0015139521356835677</v>
      </c>
      <c r="D115" s="165">
        <f>D75*10000/D62</f>
        <v>0.00261340745861343</v>
      </c>
      <c r="E115" s="165">
        <f>E75*10000/E62</f>
        <v>-3.265615914979939E-05</v>
      </c>
      <c r="F115" s="165">
        <f>F75*10000/F62</f>
        <v>6.596972733723382E-05</v>
      </c>
      <c r="G115" s="165">
        <f>AVERAGE(C115:E115)</f>
        <v>0.000355599721260021</v>
      </c>
      <c r="H115" s="165">
        <f>STDEV(C115:E115)</f>
        <v>0.0020908924593731437</v>
      </c>
      <c r="I115" s="165">
        <f>(B115*B4+C115*C4+D115*D4+E115*E4+F115*F4)/SUM(B4:F4)</f>
        <v>-0.00031786684463115596</v>
      </c>
      <c r="J115" s="165" t="s">
        <v>187</v>
      </c>
      <c r="K115" s="165">
        <v>0.5536</v>
      </c>
    </row>
    <row r="118" ht="12.75">
      <c r="A118" s="165" t="s">
        <v>152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154</v>
      </c>
      <c r="H120" s="165" t="s">
        <v>155</v>
      </c>
      <c r="I120" s="165" t="s">
        <v>150</v>
      </c>
    </row>
    <row r="121" spans="1:9" ht="12.75">
      <c r="A121" s="165" t="s">
        <v>170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171</v>
      </c>
      <c r="B122" s="165">
        <f>B82*10000/B62</f>
        <v>114.94113201146617</v>
      </c>
      <c r="C122" s="165">
        <f>C82*10000/C62</f>
        <v>67.48092095857794</v>
      </c>
      <c r="D122" s="165">
        <f>D82*10000/D62</f>
        <v>2.4873511651146596</v>
      </c>
      <c r="E122" s="165">
        <f>E82*10000/E62</f>
        <v>-67.30904375490576</v>
      </c>
      <c r="F122" s="165">
        <f>F82*10000/F62</f>
        <v>-128.23946822184627</v>
      </c>
      <c r="G122" s="165">
        <f>AVERAGE(C122:E122)</f>
        <v>0.8864094562622805</v>
      </c>
      <c r="H122" s="165">
        <f>STDEV(C122:E122)</f>
        <v>67.40924200457903</v>
      </c>
      <c r="I122" s="165">
        <f>(B122*B4+C122*C4+D122*D4+E122*E4+F122*F4)/SUM(B4:F4)</f>
        <v>0.11248060430040474</v>
      </c>
    </row>
    <row r="123" spans="1:9" ht="12.75">
      <c r="A123" s="165" t="s">
        <v>172</v>
      </c>
      <c r="B123" s="165">
        <f>B83*10000/B62</f>
        <v>1.2243465132772624</v>
      </c>
      <c r="C123" s="165">
        <f>C83*10000/C62</f>
        <v>1.9918127618726518</v>
      </c>
      <c r="D123" s="165">
        <f>D83*10000/D62</f>
        <v>2.1651141490039807</v>
      </c>
      <c r="E123" s="165">
        <f>E83*10000/E62</f>
        <v>2.2940359647573847</v>
      </c>
      <c r="F123" s="165">
        <f>F83*10000/F62</f>
        <v>9.45039590324866</v>
      </c>
      <c r="G123" s="165">
        <f>AVERAGE(C123:E123)</f>
        <v>2.1503209585446723</v>
      </c>
      <c r="H123" s="165">
        <f>STDEV(C123:E123)</f>
        <v>0.15165370075751733</v>
      </c>
      <c r="I123" s="165">
        <f>(B123*B4+C123*C4+D123*D4+E123*E4+F123*F4)/SUM(B4:F4)</f>
        <v>2.9920698062972697</v>
      </c>
    </row>
    <row r="124" spans="1:9" ht="12.75">
      <c r="A124" s="165" t="s">
        <v>173</v>
      </c>
      <c r="B124" s="165">
        <f>B84*10000/B62</f>
        <v>-0.6116047977037591</v>
      </c>
      <c r="C124" s="165">
        <f>C84*10000/C62</f>
        <v>-0.27783271685047456</v>
      </c>
      <c r="D124" s="165">
        <f>D84*10000/D62</f>
        <v>4.043181676438015</v>
      </c>
      <c r="E124" s="165">
        <f>E84*10000/E62</f>
        <v>4.669712752064985</v>
      </c>
      <c r="F124" s="165">
        <f>F84*10000/F62</f>
        <v>1.5812813949055113</v>
      </c>
      <c r="G124" s="165">
        <f>AVERAGE(C124:E124)</f>
        <v>2.8116872372175084</v>
      </c>
      <c r="H124" s="165">
        <f>STDEV(C124:E124)</f>
        <v>2.6938792580811315</v>
      </c>
      <c r="I124" s="165">
        <f>(B124*B4+C124*C4+D124*D4+E124*E4+F124*F4)/SUM(B4:F4)</f>
        <v>2.152524222850641</v>
      </c>
    </row>
    <row r="125" spans="1:9" ht="12.75">
      <c r="A125" s="165" t="s">
        <v>174</v>
      </c>
      <c r="B125" s="165">
        <f>B85*10000/B62</f>
        <v>0.13824808703193067</v>
      </c>
      <c r="C125" s="165">
        <f>C85*10000/C62</f>
        <v>1.0943494897653274</v>
      </c>
      <c r="D125" s="165">
        <f>D85*10000/D62</f>
        <v>0.6060819944339264</v>
      </c>
      <c r="E125" s="165">
        <f>E85*10000/E62</f>
        <v>0.8378259812577685</v>
      </c>
      <c r="F125" s="165">
        <f>F85*10000/F62</f>
        <v>-0.3986194374240069</v>
      </c>
      <c r="G125" s="165">
        <f>AVERAGE(C125:E125)</f>
        <v>0.8460858218190075</v>
      </c>
      <c r="H125" s="165">
        <f>STDEV(C125:E125)</f>
        <v>0.24423852168294963</v>
      </c>
      <c r="I125" s="165">
        <f>(B125*B4+C125*C4+D125*D4+E125*E4+F125*F4)/SUM(B4:F4)</f>
        <v>0.5774206194103154</v>
      </c>
    </row>
    <row r="126" spans="1:9" ht="12.75">
      <c r="A126" s="165" t="s">
        <v>175</v>
      </c>
      <c r="B126" s="165">
        <f>B86*10000/B62</f>
        <v>-0.12340855328467998</v>
      </c>
      <c r="C126" s="165">
        <f>C86*10000/C62</f>
        <v>0.6040560403591209</v>
      </c>
      <c r="D126" s="165">
        <f>D86*10000/D62</f>
        <v>-0.1532162675121608</v>
      </c>
      <c r="E126" s="165">
        <f>E86*10000/E62</f>
        <v>-0.37234114573045596</v>
      </c>
      <c r="F126" s="165">
        <f>F86*10000/F62</f>
        <v>0.4714095740873961</v>
      </c>
      <c r="G126" s="165">
        <f>AVERAGE(C126:E126)</f>
        <v>0.02616620903883471</v>
      </c>
      <c r="H126" s="165">
        <f>STDEV(C126:E126)</f>
        <v>0.5123196472136192</v>
      </c>
      <c r="I126" s="165">
        <f>(B126*B4+C126*C4+D126*D4+E126*E4+F126*F4)/SUM(B4:F4)</f>
        <v>0.06402202866292998</v>
      </c>
    </row>
    <row r="127" spans="1:9" ht="12.75">
      <c r="A127" s="165" t="s">
        <v>176</v>
      </c>
      <c r="B127" s="165">
        <f>B87*10000/B62</f>
        <v>0.0010058522214164954</v>
      </c>
      <c r="C127" s="165">
        <f>C87*10000/C62</f>
        <v>-0.0698821504311766</v>
      </c>
      <c r="D127" s="165">
        <f>D87*10000/D62</f>
        <v>0.27476459065185566</v>
      </c>
      <c r="E127" s="165">
        <f>E87*10000/E62</f>
        <v>0.0611078334593341</v>
      </c>
      <c r="F127" s="165">
        <f>F87*10000/F62</f>
        <v>0.47158992895057056</v>
      </c>
      <c r="G127" s="165">
        <f>AVERAGE(C127:E127)</f>
        <v>0.08866342456000438</v>
      </c>
      <c r="H127" s="165">
        <f>STDEV(C127:E127)</f>
        <v>0.1739678906737366</v>
      </c>
      <c r="I127" s="165">
        <f>(B127*B4+C127*C4+D127*D4+E127*E4+F127*F4)/SUM(B4:F4)</f>
        <v>0.12716529076730643</v>
      </c>
    </row>
    <row r="128" spans="1:9" ht="12.75">
      <c r="A128" s="165" t="s">
        <v>177</v>
      </c>
      <c r="B128" s="165">
        <f>B88*10000/B62</f>
        <v>-0.29006744298242265</v>
      </c>
      <c r="C128" s="165">
        <f>C88*10000/C62</f>
        <v>-0.05628942739678245</v>
      </c>
      <c r="D128" s="165">
        <f>D88*10000/D62</f>
        <v>0.2537536906849476</v>
      </c>
      <c r="E128" s="165">
        <f>E88*10000/E62</f>
        <v>0.3612759668957521</v>
      </c>
      <c r="F128" s="165">
        <f>F88*10000/F62</f>
        <v>0.07593186692273375</v>
      </c>
      <c r="G128" s="165">
        <f>AVERAGE(C128:E128)</f>
        <v>0.1862467433946391</v>
      </c>
      <c r="H128" s="165">
        <f>STDEV(C128:E128)</f>
        <v>0.21681352720024719</v>
      </c>
      <c r="I128" s="165">
        <f>(B128*B4+C128*C4+D128*D4+E128*E4+F128*F4)/SUM(B4:F4)</f>
        <v>0.10266242531824465</v>
      </c>
    </row>
    <row r="129" spans="1:9" ht="12.75">
      <c r="A129" s="165" t="s">
        <v>178</v>
      </c>
      <c r="B129" s="165">
        <f>B89*10000/B62</f>
        <v>0.03177894277468498</v>
      </c>
      <c r="C129" s="165">
        <f>C89*10000/C62</f>
        <v>0.01827699412779453</v>
      </c>
      <c r="D129" s="165">
        <f>D89*10000/D62</f>
        <v>0.06732967484936729</v>
      </c>
      <c r="E129" s="165">
        <f>E89*10000/E62</f>
        <v>0.06123069469968581</v>
      </c>
      <c r="F129" s="165">
        <f>F89*10000/F62</f>
        <v>0.06745367807072428</v>
      </c>
      <c r="G129" s="165">
        <f>AVERAGE(C129:E129)</f>
        <v>0.048945787892282544</v>
      </c>
      <c r="H129" s="165">
        <f>STDEV(C129:E129)</f>
        <v>0.02673444543922833</v>
      </c>
      <c r="I129" s="165">
        <f>(B129*B4+C129*C4+D129*D4+E129*E4+F129*F4)/SUM(B4:F4)</f>
        <v>0.048938468876523734</v>
      </c>
    </row>
    <row r="130" spans="1:9" ht="12.75">
      <c r="A130" s="165" t="s">
        <v>179</v>
      </c>
      <c r="B130" s="165">
        <f>B90*10000/B62</f>
        <v>0.007460709584278359</v>
      </c>
      <c r="C130" s="165">
        <f>C90*10000/C62</f>
        <v>0.12796243499995916</v>
      </c>
      <c r="D130" s="165">
        <f>D90*10000/D62</f>
        <v>0.015737658605371505</v>
      </c>
      <c r="E130" s="165">
        <f>E90*10000/E62</f>
        <v>0.05372576336354393</v>
      </c>
      <c r="F130" s="165">
        <f>F90*10000/F62</f>
        <v>0.2456221914734438</v>
      </c>
      <c r="G130" s="165">
        <f>AVERAGE(C130:E130)</f>
        <v>0.06580861898962485</v>
      </c>
      <c r="H130" s="165">
        <f>STDEV(C130:E130)</f>
        <v>0.05707973948139862</v>
      </c>
      <c r="I130" s="165">
        <f>(B130*B4+C130*C4+D130*D4+E130*E4+F130*F4)/SUM(B4:F4)</f>
        <v>0.08140398987831123</v>
      </c>
    </row>
    <row r="131" spans="1:9" ht="12.75">
      <c r="A131" s="165" t="s">
        <v>180</v>
      </c>
      <c r="B131" s="165">
        <f>B91*10000/B62</f>
        <v>0.014074528199168358</v>
      </c>
      <c r="C131" s="165">
        <f>C91*10000/C62</f>
        <v>-0.02333059104217167</v>
      </c>
      <c r="D131" s="165">
        <f>D91*10000/D62</f>
        <v>0.03376027775679806</v>
      </c>
      <c r="E131" s="165">
        <f>E91*10000/E62</f>
        <v>0.03164951794308673</v>
      </c>
      <c r="F131" s="165">
        <f>F91*10000/F62</f>
        <v>0.05605494975098863</v>
      </c>
      <c r="G131" s="165">
        <f>AVERAGE(C131:E131)</f>
        <v>0.014026401552571038</v>
      </c>
      <c r="H131" s="165">
        <f>STDEV(C131:E131)</f>
        <v>0.03236931414998688</v>
      </c>
      <c r="I131" s="165">
        <f>(B131*B4+C131*C4+D131*D4+E131*E4+F131*F4)/SUM(B4:F4)</f>
        <v>0.019651245359852198</v>
      </c>
    </row>
    <row r="132" spans="1:9" ht="12.75">
      <c r="A132" s="165" t="s">
        <v>181</v>
      </c>
      <c r="B132" s="165">
        <f>B92*10000/B62</f>
        <v>-0.014059864307781871</v>
      </c>
      <c r="C132" s="165">
        <f>C92*10000/C62</f>
        <v>0.002139937989297172</v>
      </c>
      <c r="D132" s="165">
        <f>D92*10000/D62</f>
        <v>-0.003697412821707574</v>
      </c>
      <c r="E132" s="165">
        <f>E92*10000/E62</f>
        <v>0.009951255050738886</v>
      </c>
      <c r="F132" s="165">
        <f>F92*10000/F62</f>
        <v>0.006140718683102522</v>
      </c>
      <c r="G132" s="165">
        <f>AVERAGE(C132:E132)</f>
        <v>0.0027979267394428278</v>
      </c>
      <c r="H132" s="165">
        <f>STDEV(C132:E132)</f>
        <v>0.006848083350075167</v>
      </c>
      <c r="I132" s="165">
        <f>(B132*B4+C132*C4+D132*D4+E132*E4+F132*F4)/SUM(B4:F4)</f>
        <v>0.0008082676288876418</v>
      </c>
    </row>
    <row r="133" spans="1:9" ht="12.75">
      <c r="A133" s="165" t="s">
        <v>182</v>
      </c>
      <c r="B133" s="165">
        <f>B93*10000/B62</f>
        <v>0.03305148565754372</v>
      </c>
      <c r="C133" s="165">
        <f>C93*10000/C62</f>
        <v>0.018224444217261812</v>
      </c>
      <c r="D133" s="165">
        <f>D93*10000/D62</f>
        <v>0.04003279627453641</v>
      </c>
      <c r="E133" s="165">
        <f>E93*10000/E62</f>
        <v>0.030393658926640938</v>
      </c>
      <c r="F133" s="165">
        <f>F93*10000/F62</f>
        <v>0.03143860386043206</v>
      </c>
      <c r="G133" s="165">
        <f>AVERAGE(C133:E133)</f>
        <v>0.029550299806146388</v>
      </c>
      <c r="H133" s="165">
        <f>STDEV(C133:E133)</f>
        <v>0.010928609052303917</v>
      </c>
      <c r="I133" s="165">
        <f>(B133*B4+C133*C4+D133*D4+E133*E4+F133*F4)/SUM(B4:F4)</f>
        <v>0.030308818513219375</v>
      </c>
    </row>
    <row r="134" spans="1:9" ht="12.75">
      <c r="A134" s="165" t="s">
        <v>183</v>
      </c>
      <c r="B134" s="165">
        <f>B94*10000/B62</f>
        <v>-0.006642981494595434</v>
      </c>
      <c r="C134" s="165">
        <f>C94*10000/C62</f>
        <v>0.01525149675580631</v>
      </c>
      <c r="D134" s="165">
        <f>D94*10000/D62</f>
        <v>0.01290558976224654</v>
      </c>
      <c r="E134" s="165">
        <f>E94*10000/E62</f>
        <v>0.028700243320039114</v>
      </c>
      <c r="F134" s="165">
        <f>F94*10000/F62</f>
        <v>-0.009705172958118355</v>
      </c>
      <c r="G134" s="165">
        <f>AVERAGE(C134:E134)</f>
        <v>0.018952443279363986</v>
      </c>
      <c r="H134" s="165">
        <f>STDEV(C134:E134)</f>
        <v>0.008522941049329606</v>
      </c>
      <c r="I134" s="165">
        <f>(B134*B4+C134*C4+D134*D4+E134*E4+F134*F4)/SUM(B4:F4)</f>
        <v>0.01142331395159236</v>
      </c>
    </row>
    <row r="135" spans="1:9" ht="12.75">
      <c r="A135" s="165" t="s">
        <v>184</v>
      </c>
      <c r="B135" s="165">
        <f>B95*10000/B62</f>
        <v>-0.0018839996517092334</v>
      </c>
      <c r="C135" s="165">
        <f>C95*10000/C62</f>
        <v>-0.0030533672063737744</v>
      </c>
      <c r="D135" s="165">
        <f>D95*10000/D62</f>
        <v>-0.0037885131683762533</v>
      </c>
      <c r="E135" s="165">
        <f>E95*10000/E62</f>
        <v>-4.78490859733923E-05</v>
      </c>
      <c r="F135" s="165">
        <f>F95*10000/F62</f>
        <v>0.006191895153575969</v>
      </c>
      <c r="G135" s="165">
        <f>AVERAGE(C135:E135)</f>
        <v>-0.002296576486907807</v>
      </c>
      <c r="H135" s="165">
        <f>STDEV(C135:E135)</f>
        <v>0.001981840328872907</v>
      </c>
      <c r="I135" s="165">
        <f>(B135*B4+C135*C4+D135*D4+E135*E4+F135*F4)/SUM(B4:F4)</f>
        <v>-0.0011023811139213929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2005-10-05T09:13:28Z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-1418696912</vt:i4>
  </property>
  <property fmtid="{D5CDD505-2E9C-101B-9397-08002B2CF9AE}" pid="3" name="_EmailSubject">
    <vt:lpwstr>WFM result of apertures 94, 119, 127, 128, 129 and 131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