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128_pos1ap2" sheetId="2" r:id="rId2"/>
    <sheet name="HCMQAP128_pos2ap2" sheetId="3" r:id="rId3"/>
    <sheet name="HCMQAP128_pos3ap2" sheetId="4" r:id="rId4"/>
    <sheet name="HCMQAP128_pos4ap2" sheetId="5" r:id="rId5"/>
    <sheet name="HCMQAP128_pos5ap2" sheetId="6" r:id="rId6"/>
    <sheet name="Lmag_hcmqap" sheetId="7" r:id="rId7"/>
    <sheet name="Result_HCMQAP" sheetId="8" r:id="rId8"/>
  </sheets>
  <definedNames>
    <definedName name="_xlnm.Print_Area" localSheetId="1">'HCMQAP128_pos1ap2'!$A$1:$N$28</definedName>
    <definedName name="_xlnm.Print_Area" localSheetId="2">'HCMQAP128_pos2ap2'!$A$1:$N$28</definedName>
    <definedName name="_xlnm.Print_Area" localSheetId="3">'HCMQAP128_pos3ap2'!$A$1:$N$28</definedName>
    <definedName name="_xlnm.Print_Area" localSheetId="4">'HCMQAP128_pos4ap2'!$A$1:$N$28</definedName>
    <definedName name="_xlnm.Print_Area" localSheetId="5">'HCMQAP128_pos5ap2'!$A$1:$N$28</definedName>
    <definedName name="_xlnm.Print_Area" localSheetId="6">'Lmag_hcmqap'!$A$1:$G$54</definedName>
    <definedName name="_xlnm.Print_Area" localSheetId="0">'Sommaire'!$A$1:$N$16</definedName>
  </definedNames>
  <calcPr fullCalcOnLoad="1"/>
</workbook>
</file>

<file path=xl/sharedStrings.xml><?xml version="1.0" encoding="utf-8"?>
<sst xmlns="http://schemas.openxmlformats.org/spreadsheetml/2006/main" count="510" uniqueCount="190">
  <si>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</si>
  <si>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</si>
  <si>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</si>
  <si>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</si>
  <si>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</si>
  <si>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</si>
  <si>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</si>
  <si>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</si>
  <si>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</si>
  <si>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</si>
  <si>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</si>
  <si>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</si>
  <si>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</si>
  <si>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</si>
  <si>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</si>
  <si>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hcmqap128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</si>
  <si>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</si>
  <si>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</si>
  <si>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</si>
  <si>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</si>
  <si>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</si>
  <si>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</si>
  <si>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</si>
  <si>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</si>
  <si>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</si>
  <si>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</si>
  <si>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</si>
  <si>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</si>
  <si>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taupe_quadrupole#12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</si>
  <si>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</si>
  <si>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</si>
  <si>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</si>
  <si>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</si>
  <si>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</si>
  <si>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</si>
  <si>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</si>
  <si>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</si>
  <si>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</si>
  <si>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</si>
  <si>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</si>
  <si>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</si>
  <si>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</si>
  <si>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</si>
  <si>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</si>
  <si>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</si>
  <si>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</si>
  <si>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</si>
  <si>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</si>
  <si>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</si>
  <si>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</si>
  <si>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</si>
  <si>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</si>
  <si>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</si>
  <si>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</si>
  <si>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</si>
  <si>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</si>
  <si>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</si>
  <si>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</si>
  <si>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</si>
  <si>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-2.252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</si>
  <si>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</si>
  <si>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</si>
  <si>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</si>
  <si>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</si>
  <si>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</si>
  <si>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</si>
  <si>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</si>
  <si>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</si>
  <si>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HCMQAP128_pos1ap2</t>
  </si>
  <si>
    <t>14/11/2003</t>
  </si>
  <si>
    <t>±12.5</t>
  </si>
  <si>
    <t>THCMQAP128_pos1ap2.xls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</si>
  <si>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-3.757 mT)</t>
    </r>
  </si>
  <si>
    <t>HCMQAP128_pos2ap2</t>
  </si>
  <si>
    <t>THCMQAP128_pos2ap2.xls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</si>
  <si>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-3.752 mT)</t>
    </r>
  </si>
  <si>
    <t>HCMQAP128_pos3ap2</t>
  </si>
  <si>
    <t>THCMQAP128_pos3ap2.xls</t>
  </si>
  <si>
    <t>HCMQAP128_pos4ap2</t>
  </si>
  <si>
    <t>THCMQAP128_pos4ap2.xls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</si>
  <si>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-2.085 mT)</t>
    </r>
  </si>
  <si>
    <t>HCMQAP128_pos5ap2</t>
  </si>
  <si>
    <t>THCMQAP128_pos5ap2.xls</t>
  </si>
  <si>
    <t>Sommaire : Valeurs intégrales calculées avec les fichiers: HCMQAP128_pos1ap2+HCMQAP128_pos2ap2+HCMQAP128_pos3ap2+HCMQAP128_pos4ap2+HCMQAP128_pos5ap2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</si>
  <si>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</si>
  <si>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</si>
  <si>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</si>
  <si>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</si>
  <si>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</si>
  <si>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</si>
  <si>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</si>
  <si>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</si>
  <si>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</si>
  <si>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</si>
  <si>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</si>
  <si>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</si>
  <si>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</si>
  <si>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</si>
  <si>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</si>
  <si>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</si>
  <si>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</si>
  <si>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</si>
  <si>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</si>
  <si>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</si>
  <si>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</si>
  <si>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</si>
  <si>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</si>
  <si>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</si>
  <si>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</si>
  <si>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</si>
  <si>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</si>
  <si>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</si>
  <si>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</si>
  <si>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</si>
  <si>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</si>
  <si>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</si>
  <si>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</si>
  <si>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</si>
  <si>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</si>
  <si>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</si>
  <si>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</si>
  <si>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</si>
  <si>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</si>
  <si>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</si>
  <si>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</si>
  <si>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</si>
  <si>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</si>
  <si>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=-3.754</t>
    </r>
  </si>
  <si>
    <t>Gradient (T/m)</t>
  </si>
  <si>
    <t xml:space="preserve"> Fri 14/11/2003       07:19:46</t>
  </si>
  <si>
    <t>SIEGMUND</t>
  </si>
  <si>
    <t>HCMQAP128</t>
  </si>
  <si>
    <t>Aperture2</t>
  </si>
  <si>
    <t>Position</t>
  </si>
  <si>
    <t>Integrales</t>
  </si>
  <si>
    <t>Cn (mT)</t>
  </si>
  <si>
    <t>Angle(Horiz,Cn)</t>
  </si>
  <si>
    <t>b1</t>
  </si>
  <si>
    <t>b2</t>
  </si>
  <si>
    <t>a1</t>
  </si>
  <si>
    <t>a2</t>
  </si>
  <si>
    <t>a7*</t>
  </si>
  <si>
    <t>a13*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</si>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</sst>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3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5" fillId="3" borderId="15" xfId="0" applyNumberFormat="1" applyFont="1" applyFill="1" applyBorder="1" applyAlignment="1">
      <alignment horizontal="center"/>
    </xf>
    <xf numFmtId="173" fontId="5" fillId="3" borderId="10" xfId="0" applyNumberFormat="1" applyFont="1" applyFill="1" applyBorder="1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0" fillId="0" borderId="66" xfId="0" applyNumberFormat="1" applyFont="1" applyBorder="1" applyAlignment="1">
      <alignment horizontal="center"/>
    </xf>
    <xf numFmtId="179" fontId="10" fillId="0" borderId="67" xfId="0" applyNumberFormat="1" applyFont="1" applyBorder="1" applyAlignment="1">
      <alignment horizontal="center"/>
    </xf>
    <xf numFmtId="2" fontId="10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128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1578480"/>
        <c:axId val="38662001"/>
      </c:lineChart>
      <c:catAx>
        <c:axId val="415784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8662001"/>
        <c:crosses val="autoZero"/>
        <c:auto val="1"/>
        <c:lblOffset val="100"/>
        <c:noMultiLvlLbl val="0"/>
      </c:catAx>
      <c:valAx>
        <c:axId val="38662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4157848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28575</xdr:rowOff>
    </xdr:from>
    <xdr:to>
      <xdr:col>7</xdr:col>
      <xdr:colOff>19050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171450" y="6010275"/>
        <a:ext cx="5381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7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1</v>
      </c>
      <c r="F2" s="26"/>
      <c r="G2" s="26" t="s">
        <v>68</v>
      </c>
      <c r="H2" s="25">
        <v>2588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2</v>
      </c>
      <c r="F3" s="26"/>
      <c r="G3" s="26" t="s">
        <v>73</v>
      </c>
      <c r="H3" s="25">
        <v>2588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3</v>
      </c>
      <c r="F4" s="26"/>
      <c r="G4" s="26" t="s">
        <v>76</v>
      </c>
      <c r="H4" s="25">
        <v>2588</v>
      </c>
      <c r="I4" s="27" t="s">
        <v>77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4</v>
      </c>
      <c r="F5" s="26"/>
      <c r="G5" s="26" t="s">
        <v>78</v>
      </c>
      <c r="H5" s="25">
        <v>2588</v>
      </c>
      <c r="I5" s="27" t="s">
        <v>79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5</v>
      </c>
      <c r="F6" s="26"/>
      <c r="G6" s="26" t="s">
        <v>81</v>
      </c>
      <c r="H6" s="25">
        <v>2588</v>
      </c>
      <c r="I6" s="27" t="s">
        <v>82</v>
      </c>
      <c r="J6" s="30"/>
      <c r="K6" s="28"/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5" customHeight="1">
      <c r="A10" s="40"/>
      <c r="B10" s="24"/>
      <c r="C10" s="24"/>
      <c r="D10" s="25"/>
      <c r="E10" s="25"/>
      <c r="F10" s="26"/>
      <c r="G10" s="26"/>
      <c r="H10" s="25"/>
      <c r="I10" s="27"/>
      <c r="J10" s="30"/>
      <c r="K10" s="28"/>
      <c r="L10" s="28"/>
      <c r="M10" s="28"/>
      <c r="N10" s="28"/>
    </row>
    <row r="11" spans="1:14" s="29" customFormat="1" ht="18" customHeight="1">
      <c r="A11" s="41"/>
      <c r="B11" s="24"/>
      <c r="C11" s="24"/>
      <c r="D11" s="25"/>
      <c r="E11" s="33"/>
      <c r="F11" s="34"/>
      <c r="G11" s="4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38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8" customHeight="1">
      <c r="A13" s="40"/>
      <c r="B13" s="24"/>
      <c r="C13" s="24"/>
      <c r="D13" s="25"/>
      <c r="E13" s="33"/>
      <c r="F13" s="34"/>
      <c r="G13" s="34"/>
      <c r="H13" s="33"/>
      <c r="I13" s="35"/>
      <c r="J13" s="36"/>
      <c r="K13" s="37"/>
      <c r="L13" s="37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7"/>
      <c r="J14" s="30"/>
      <c r="K14" s="31"/>
      <c r="L14" s="28"/>
      <c r="M14" s="28"/>
      <c r="N14" s="28"/>
    </row>
    <row r="15" spans="1:14" s="29" customFormat="1" ht="15" customHeight="1">
      <c r="A15" s="40"/>
      <c r="B15" s="24"/>
      <c r="C15" s="24"/>
      <c r="D15" s="25"/>
      <c r="E15" s="25"/>
      <c r="F15" s="26"/>
      <c r="G15" s="26"/>
      <c r="H15" s="25"/>
      <c r="I15" s="28"/>
      <c r="J15" s="30"/>
      <c r="K15" s="31"/>
      <c r="L15" s="28"/>
      <c r="M15" s="28"/>
      <c r="N15" s="28"/>
    </row>
    <row r="16" spans="1:14" s="2" customFormat="1" ht="18" customHeight="1">
      <c r="A16" s="42"/>
      <c r="B16" s="20"/>
      <c r="C16" s="20"/>
      <c r="D16" s="15"/>
      <c r="E16" s="15"/>
      <c r="F16" s="22"/>
      <c r="G16" s="22"/>
      <c r="H16" s="15"/>
      <c r="I16" s="23"/>
      <c r="J16" s="17"/>
      <c r="K16"/>
      <c r="L16" s="4"/>
      <c r="M16" s="4"/>
      <c r="N16" s="4"/>
    </row>
    <row r="17" spans="10:14" ht="15" customHeight="1">
      <c r="J17" s="32"/>
      <c r="M17"/>
      <c r="N17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3.240937192E-05</v>
      </c>
      <c r="L2" s="55">
        <v>1.316717441239862E-07</v>
      </c>
      <c r="M2" s="55">
        <v>6.5973328E-05</v>
      </c>
      <c r="N2" s="56">
        <v>1.3325544137277205E-07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-3.176777008E-05</v>
      </c>
      <c r="L3" s="55">
        <v>1.2885089240397503E-07</v>
      </c>
      <c r="M3" s="55">
        <v>1.2300568E-05</v>
      </c>
      <c r="N3" s="56">
        <v>1.3694867197597753E-07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-0.0022524366140846647</v>
      </c>
      <c r="L4" s="55">
        <v>5.278901651996771E-06</v>
      </c>
      <c r="M4" s="55">
        <v>6.769977673502233E-08</v>
      </c>
      <c r="N4" s="56">
        <v>-1.1718180999999999</v>
      </c>
    </row>
    <row r="5" spans="1:14" ht="15" customHeight="1" thickBot="1">
      <c r="A5" t="s">
        <v>18</v>
      </c>
      <c r="B5" s="59">
        <v>37939.28403935185</v>
      </c>
      <c r="D5" s="60"/>
      <c r="E5" s="61" t="s">
        <v>59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2588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-1.3270813000000001</v>
      </c>
      <c r="E8" s="78">
        <v>0.011439393872051685</v>
      </c>
      <c r="F8" s="78">
        <v>0.176810657</v>
      </c>
      <c r="G8" s="78">
        <v>0.009599477075849112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0.175372623</v>
      </c>
      <c r="E9" s="80">
        <v>0.019249108036830498</v>
      </c>
      <c r="F9" s="84">
        <v>2.8833165000000003</v>
      </c>
      <c r="G9" s="80">
        <v>0.025086022440792194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0.7740602599999999</v>
      </c>
      <c r="E10" s="80">
        <v>0.004544642809557641</v>
      </c>
      <c r="F10" s="80">
        <v>-0.8387070299999999</v>
      </c>
      <c r="G10" s="80">
        <v>0.013852699719108135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1</v>
      </c>
      <c r="D11" s="77">
        <v>3.1472736</v>
      </c>
      <c r="E11" s="78">
        <v>0.017587113624439987</v>
      </c>
      <c r="F11" s="78">
        <v>0.18816038000000002</v>
      </c>
      <c r="G11" s="78">
        <v>0.009156036544192838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5">
        <v>0.7499</v>
      </c>
      <c r="D12" s="83">
        <v>0.27621972</v>
      </c>
      <c r="E12" s="80">
        <v>0.002500309468167634</v>
      </c>
      <c r="F12" s="80">
        <v>0.16199647</v>
      </c>
      <c r="G12" s="80">
        <v>0.009265090324362703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17.82837</v>
      </c>
      <c r="D13" s="83">
        <v>0.067883212</v>
      </c>
      <c r="E13" s="80">
        <v>0.0036259987708251885</v>
      </c>
      <c r="F13" s="80">
        <v>0.22346352</v>
      </c>
      <c r="G13" s="80">
        <v>0.005177651295481026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-0.0401157616</v>
      </c>
      <c r="E14" s="80">
        <v>0.002869375250250074</v>
      </c>
      <c r="F14" s="80">
        <v>-0.0080940961</v>
      </c>
      <c r="G14" s="80">
        <v>0.005799629509164841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-0.26493409</v>
      </c>
      <c r="E15" s="78">
        <v>0.0026051264098703327</v>
      </c>
      <c r="F15" s="78">
        <v>0.05521150700000001</v>
      </c>
      <c r="G15" s="78">
        <v>0.003805429089002418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0.028549327999999995</v>
      </c>
      <c r="E16" s="80">
        <v>0.0027074267250926775</v>
      </c>
      <c r="F16" s="80">
        <v>0.020766855999999997</v>
      </c>
      <c r="G16" s="80">
        <v>0.003016865584414404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0.3630000054836273</v>
      </c>
      <c r="D17" s="83">
        <v>-0.003917413</v>
      </c>
      <c r="E17" s="80">
        <v>0.0036768075020548324</v>
      </c>
      <c r="F17" s="80">
        <v>0.01240239217</v>
      </c>
      <c r="G17" s="80">
        <v>0.0022894445535731112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5.59499979019165</v>
      </c>
      <c r="D18" s="83">
        <v>0.030503502</v>
      </c>
      <c r="E18" s="80">
        <v>0.0016112305914288791</v>
      </c>
      <c r="F18" s="80">
        <v>0.061824835</v>
      </c>
      <c r="G18" s="80">
        <v>0.0022090317824355146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0.3490000069141388</v>
      </c>
      <c r="D19" s="87">
        <v>-0.19593336</v>
      </c>
      <c r="E19" s="80">
        <v>0.0009243250723641157</v>
      </c>
      <c r="F19" s="80">
        <v>0.015595168000000001</v>
      </c>
      <c r="G19" s="80">
        <v>0.0016948985212147738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0.24576950000000003</v>
      </c>
      <c r="D20" s="89">
        <v>-0.00203733576</v>
      </c>
      <c r="E20" s="90">
        <v>0.0005301093199627562</v>
      </c>
      <c r="F20" s="90">
        <v>-0.00096492141</v>
      </c>
      <c r="G20" s="90">
        <v>0.0020351922627561596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0.4973451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-0.06714028819801438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-2.2524428000000003</v>
      </c>
      <c r="I25" s="102" t="s">
        <v>49</v>
      </c>
      <c r="J25" s="103"/>
      <c r="K25" s="102"/>
      <c r="L25" s="105">
        <v>3.1528931859260165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1.3388079717563912</v>
      </c>
      <c r="I26" s="107" t="s">
        <v>53</v>
      </c>
      <c r="J26" s="108"/>
      <c r="K26" s="107"/>
      <c r="L26" s="110">
        <v>0.27062590886561316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HCMQAP128_pos1ap2res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5.8601927E-05</v>
      </c>
      <c r="L2" s="55">
        <v>1.078272552992296E-07</v>
      </c>
      <c r="M2" s="55">
        <v>6.8804927E-05</v>
      </c>
      <c r="N2" s="56">
        <v>2.215464096902036E-07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-2.9437247000000002E-05</v>
      </c>
      <c r="L3" s="55">
        <v>2.2093019663692278E-07</v>
      </c>
      <c r="M3" s="55">
        <v>1.1488389E-05</v>
      </c>
      <c r="N3" s="56">
        <v>1.021202424302688E-07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-0.003756647982464838</v>
      </c>
      <c r="L4" s="55">
        <v>-1.6766944146864604E-05</v>
      </c>
      <c r="M4" s="55">
        <v>2.8406750742111923E-08</v>
      </c>
      <c r="N4" s="56">
        <v>2.2316215</v>
      </c>
    </row>
    <row r="5" spans="1:14" ht="15" customHeight="1" thickBot="1">
      <c r="A5" t="s">
        <v>18</v>
      </c>
      <c r="B5" s="59">
        <v>37939.2884837963</v>
      </c>
      <c r="D5" s="60"/>
      <c r="E5" s="61" t="s">
        <v>72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2588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-0.106554298</v>
      </c>
      <c r="E8" s="78">
        <v>0.00964293127952159</v>
      </c>
      <c r="F8" s="78">
        <v>-0.37850637000000004</v>
      </c>
      <c r="G8" s="78">
        <v>0.011925595458283264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-0.45190736000000004</v>
      </c>
      <c r="E9" s="80">
        <v>0.010076777221531314</v>
      </c>
      <c r="F9" s="80">
        <v>0.8977247399999999</v>
      </c>
      <c r="G9" s="80">
        <v>0.008088037459942783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0.45256695999999996</v>
      </c>
      <c r="E10" s="80">
        <v>0.005768697630352885</v>
      </c>
      <c r="F10" s="80">
        <v>-0.7789153799999999</v>
      </c>
      <c r="G10" s="80">
        <v>0.010556593912134555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2</v>
      </c>
      <c r="D11" s="77">
        <v>2.5168004</v>
      </c>
      <c r="E11" s="78">
        <v>0.004240658043348081</v>
      </c>
      <c r="F11" s="78">
        <v>-0.5405163</v>
      </c>
      <c r="G11" s="78">
        <v>0.00507423786277192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5">
        <v>0.7499</v>
      </c>
      <c r="D12" s="83">
        <v>-0.06312208899999999</v>
      </c>
      <c r="E12" s="80">
        <v>0.0038013352014384418</v>
      </c>
      <c r="F12" s="80">
        <v>0.35723957</v>
      </c>
      <c r="G12" s="80">
        <v>0.0014435197503306452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17.971802</v>
      </c>
      <c r="D13" s="83">
        <v>-0.17282837</v>
      </c>
      <c r="E13" s="80">
        <v>0.004223884733939025</v>
      </c>
      <c r="F13" s="80">
        <v>0.071046574</v>
      </c>
      <c r="G13" s="80">
        <v>0.0047087871591900855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-0.0027352887</v>
      </c>
      <c r="E14" s="80">
        <v>0.002991478764179041</v>
      </c>
      <c r="F14" s="80">
        <v>0.0137697827</v>
      </c>
      <c r="G14" s="80">
        <v>0.00198456205946808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0.016464576200000004</v>
      </c>
      <c r="E15" s="78">
        <v>0.0018747699100240664</v>
      </c>
      <c r="F15" s="78">
        <v>-0.039885476999999996</v>
      </c>
      <c r="G15" s="78">
        <v>0.002623875965598611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-0.0021576986700000004</v>
      </c>
      <c r="E16" s="80">
        <v>0.0017701750958596346</v>
      </c>
      <c r="F16" s="80">
        <v>0.05024206099999999</v>
      </c>
      <c r="G16" s="80">
        <v>0.002844636201185377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-0.15199999511241913</v>
      </c>
      <c r="D17" s="83">
        <v>0.007630440720000001</v>
      </c>
      <c r="E17" s="80">
        <v>0.001565985336002091</v>
      </c>
      <c r="F17" s="80">
        <v>0.017463257000000003</v>
      </c>
      <c r="G17" s="80">
        <v>0.0018146646753866103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39.16400146484375</v>
      </c>
      <c r="D18" s="83">
        <v>0.033654051000000004</v>
      </c>
      <c r="E18" s="80">
        <v>0.0008254845709243381</v>
      </c>
      <c r="F18" s="80">
        <v>0.048127242</v>
      </c>
      <c r="G18" s="80">
        <v>0.00042290397856530737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-0.22699999809265137</v>
      </c>
      <c r="D19" s="87">
        <v>-0.18704302</v>
      </c>
      <c r="E19" s="80">
        <v>0.0006689990086637738</v>
      </c>
      <c r="F19" s="80">
        <v>0.011836317599999998</v>
      </c>
      <c r="G19" s="80">
        <v>0.0008576775542574555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0.2637992</v>
      </c>
      <c r="D20" s="89">
        <v>-0.001661288108</v>
      </c>
      <c r="E20" s="90">
        <v>0.0008461078903277812</v>
      </c>
      <c r="F20" s="90">
        <v>-0.0028857584</v>
      </c>
      <c r="G20" s="90">
        <v>0.0007418004412263051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0.31254110000000007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0.12786260142157316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-3.7566854</v>
      </c>
      <c r="I25" s="102" t="s">
        <v>49</v>
      </c>
      <c r="J25" s="103"/>
      <c r="K25" s="102"/>
      <c r="L25" s="105">
        <v>2.574187662934824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0.39321862945802777</v>
      </c>
      <c r="I26" s="107" t="s">
        <v>53</v>
      </c>
      <c r="J26" s="108"/>
      <c r="K26" s="107"/>
      <c r="L26" s="110">
        <v>0.04315012798316055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HCMQAP128_pos2ap2res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8.951695500000001E-05</v>
      </c>
      <c r="L2" s="55">
        <v>1.6474057620668353E-07</v>
      </c>
      <c r="M2" s="55">
        <v>4.1190526E-05</v>
      </c>
      <c r="N2" s="56">
        <v>1.7856176991127732E-07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-2.8547565E-05</v>
      </c>
      <c r="L3" s="55">
        <v>1.05842832775704E-07</v>
      </c>
      <c r="M3" s="55">
        <v>1.0551466000000001E-05</v>
      </c>
      <c r="N3" s="56">
        <v>9.492874977585542E-08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-0.0037521304167775268</v>
      </c>
      <c r="L4" s="55">
        <v>-4.1787195820225864E-05</v>
      </c>
      <c r="M4" s="55">
        <v>7.609033675620356E-08</v>
      </c>
      <c r="N4" s="56">
        <v>5.568232399999999</v>
      </c>
    </row>
    <row r="5" spans="1:14" ht="15" customHeight="1" thickBot="1">
      <c r="A5" t="s">
        <v>18</v>
      </c>
      <c r="B5" s="59">
        <v>37939.29299768519</v>
      </c>
      <c r="D5" s="60"/>
      <c r="E5" s="61" t="s">
        <v>75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2588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0.64899008</v>
      </c>
      <c r="E8" s="78">
        <v>0.009782942384608733</v>
      </c>
      <c r="F8" s="78">
        <v>-0.14201290100000002</v>
      </c>
      <c r="G8" s="78">
        <v>0.008401919616198074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-0.74120132</v>
      </c>
      <c r="E9" s="80">
        <v>0.013451100583801109</v>
      </c>
      <c r="F9" s="80">
        <v>1.1859202899999999</v>
      </c>
      <c r="G9" s="80">
        <v>0.010385501763442594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0.51374005</v>
      </c>
      <c r="E10" s="80">
        <v>0.006363179664285343</v>
      </c>
      <c r="F10" s="80">
        <v>-0.76329901</v>
      </c>
      <c r="G10" s="80">
        <v>0.004189713217795722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3</v>
      </c>
      <c r="D11" s="77">
        <v>3.5141429000000004</v>
      </c>
      <c r="E11" s="78">
        <v>0.0064308914729126155</v>
      </c>
      <c r="F11" s="78">
        <v>-0.22048947000000002</v>
      </c>
      <c r="G11" s="78">
        <v>0.0066699230596458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5">
        <v>0.7499</v>
      </c>
      <c r="D12" s="83">
        <v>0.066786436</v>
      </c>
      <c r="E12" s="80">
        <v>0.005271616827717433</v>
      </c>
      <c r="F12" s="80">
        <v>0.4754045700000001</v>
      </c>
      <c r="G12" s="80">
        <v>0.003111644640466087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18.133545</v>
      </c>
      <c r="D13" s="83">
        <v>-0.25207266</v>
      </c>
      <c r="E13" s="80">
        <v>0.0023159083680914985</v>
      </c>
      <c r="F13" s="80">
        <v>0.121734954</v>
      </c>
      <c r="G13" s="80">
        <v>0.002170413531757797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-0.0206909033</v>
      </c>
      <c r="E14" s="80">
        <v>0.0019847944033197207</v>
      </c>
      <c r="F14" s="80">
        <v>0.00233567016</v>
      </c>
      <c r="G14" s="80">
        <v>0.0006694660308301141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-0.021412597999999998</v>
      </c>
      <c r="E15" s="78">
        <v>0.0022596968844926985</v>
      </c>
      <c r="F15" s="78">
        <v>-0.003908706520000001</v>
      </c>
      <c r="G15" s="78">
        <v>0.003253166392742306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0.0156013239</v>
      </c>
      <c r="E16" s="80">
        <v>0.0019114200281175298</v>
      </c>
      <c r="F16" s="80">
        <v>0.048901033</v>
      </c>
      <c r="G16" s="80">
        <v>0.0012167819440336491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0.36899998784065247</v>
      </c>
      <c r="D17" s="83">
        <v>0.020000432000000002</v>
      </c>
      <c r="E17" s="80">
        <v>0.000668049972566455</v>
      </c>
      <c r="F17" s="80">
        <v>0.0188798455</v>
      </c>
      <c r="G17" s="80">
        <v>0.001375490977444618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1.0169999599456787</v>
      </c>
      <c r="D18" s="83">
        <v>0.032694099</v>
      </c>
      <c r="E18" s="80">
        <v>0.0008800708435880583</v>
      </c>
      <c r="F18" s="80">
        <v>0.032067507</v>
      </c>
      <c r="G18" s="80">
        <v>0.0014262659288562412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0.3199999928474426</v>
      </c>
      <c r="D19" s="87">
        <v>-0.18391830000000003</v>
      </c>
      <c r="E19" s="80">
        <v>0.0010838531879326717</v>
      </c>
      <c r="F19" s="80">
        <v>0.013364678600000002</v>
      </c>
      <c r="G19" s="80">
        <v>0.0007793772672138919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0.40345</v>
      </c>
      <c r="D20" s="89">
        <v>-0.00224594845</v>
      </c>
      <c r="E20" s="90">
        <v>0.0006032223964084977</v>
      </c>
      <c r="F20" s="90">
        <v>-0.0045795196</v>
      </c>
      <c r="G20" s="90">
        <v>0.0008588347411420536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0.1911174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0.31903648534659196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-3.7523631</v>
      </c>
      <c r="I25" s="102" t="s">
        <v>49</v>
      </c>
      <c r="J25" s="103"/>
      <c r="K25" s="102"/>
      <c r="L25" s="105">
        <v>3.5210532412903524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0.6643461356769091</v>
      </c>
      <c r="I26" s="107" t="s">
        <v>53</v>
      </c>
      <c r="J26" s="108"/>
      <c r="K26" s="107"/>
      <c r="L26" s="110">
        <v>0.02176642689485563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HCMQAP128_pos3ap2res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5.9288313E-05</v>
      </c>
      <c r="L2" s="55">
        <v>7.282876784550741E-08</v>
      </c>
      <c r="M2" s="55">
        <v>8.999872E-05</v>
      </c>
      <c r="N2" s="56">
        <v>1.0074808583209344E-07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-2.9842668999999997E-05</v>
      </c>
      <c r="L3" s="55">
        <v>8.868798957124322E-08</v>
      </c>
      <c r="M3" s="55">
        <v>1.10903E-05</v>
      </c>
      <c r="N3" s="56">
        <v>5.37073328325232E-08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-0.0037518004057559037</v>
      </c>
      <c r="L4" s="55">
        <v>-4.403355569652975E-05</v>
      </c>
      <c r="M4" s="55">
        <v>8.426363270502171E-08</v>
      </c>
      <c r="N4" s="56">
        <v>5.868053900000001</v>
      </c>
    </row>
    <row r="5" spans="1:14" ht="15" customHeight="1" thickBot="1">
      <c r="A5" t="s">
        <v>18</v>
      </c>
      <c r="B5" s="59">
        <v>37939.29746527778</v>
      </c>
      <c r="D5" s="60"/>
      <c r="E5" s="61" t="s">
        <v>75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2588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2.6599161000000002</v>
      </c>
      <c r="E8" s="78">
        <v>0.01570720175397731</v>
      </c>
      <c r="F8" s="78">
        <v>-0.32690532</v>
      </c>
      <c r="G8" s="78">
        <v>0.0033800463766915133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-0.09249185500000001</v>
      </c>
      <c r="E9" s="80">
        <v>0.007277704453248111</v>
      </c>
      <c r="F9" s="80">
        <v>0.91937599</v>
      </c>
      <c r="G9" s="80">
        <v>0.007751286920019208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0.06492706179999999</v>
      </c>
      <c r="E10" s="80">
        <v>0.005630266861045341</v>
      </c>
      <c r="F10" s="80">
        <v>-1.1012642</v>
      </c>
      <c r="G10" s="80">
        <v>0.00528637764070233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4</v>
      </c>
      <c r="D11" s="77">
        <v>3.0577151999999996</v>
      </c>
      <c r="E11" s="78">
        <v>0.0037800149550751604</v>
      </c>
      <c r="F11" s="78">
        <v>-0.20646302</v>
      </c>
      <c r="G11" s="78">
        <v>0.004624783332179421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5">
        <v>0.7499</v>
      </c>
      <c r="D12" s="83">
        <v>0.18832648</v>
      </c>
      <c r="E12" s="80">
        <v>0.0020380365888786178</v>
      </c>
      <c r="F12" s="80">
        <v>0.31359995</v>
      </c>
      <c r="G12" s="80">
        <v>0.004162605522145921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18.283082</v>
      </c>
      <c r="D13" s="83">
        <v>0.02157236443</v>
      </c>
      <c r="E13" s="80">
        <v>0.003138283941555251</v>
      </c>
      <c r="F13" s="80">
        <v>0.029059227</v>
      </c>
      <c r="G13" s="80">
        <v>0.004198945987094353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0.073817306</v>
      </c>
      <c r="E14" s="80">
        <v>0.0016461061729530653</v>
      </c>
      <c r="F14" s="80">
        <v>0.0113009316</v>
      </c>
      <c r="G14" s="80">
        <v>0.0018916525011701598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-0.08555299499999999</v>
      </c>
      <c r="E15" s="78">
        <v>0.0022719930229096012</v>
      </c>
      <c r="F15" s="78">
        <v>0.005995353490000001</v>
      </c>
      <c r="G15" s="78">
        <v>0.002126771208992244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-0.027183486</v>
      </c>
      <c r="E16" s="80">
        <v>0.0015670019383823219</v>
      </c>
      <c r="F16" s="80">
        <v>0.042461086</v>
      </c>
      <c r="G16" s="80">
        <v>0.000886192457084638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-0.2549999952316284</v>
      </c>
      <c r="D17" s="83">
        <v>0.0027612326</v>
      </c>
      <c r="E17" s="80">
        <v>0.0010342083680087589</v>
      </c>
      <c r="F17" s="80">
        <v>0.008488250999999999</v>
      </c>
      <c r="G17" s="80">
        <v>0.0015360881201135555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31.53499984741211</v>
      </c>
      <c r="D18" s="83">
        <v>0.036966537</v>
      </c>
      <c r="E18" s="80">
        <v>0.0006339133654262607</v>
      </c>
      <c r="F18" s="80">
        <v>0.05298314</v>
      </c>
      <c r="G18" s="80">
        <v>0.0014675973350278674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-0.3269999921321869</v>
      </c>
      <c r="D19" s="87">
        <v>-0.16864430000000002</v>
      </c>
      <c r="E19" s="80">
        <v>0.0005799336711991065</v>
      </c>
      <c r="F19" s="80">
        <v>0.016631604</v>
      </c>
      <c r="G19" s="80">
        <v>0.0005775128917643155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0.26381499999999997</v>
      </c>
      <c r="D20" s="89">
        <v>-0.0025518546100000003</v>
      </c>
      <c r="E20" s="90">
        <v>0.0003667180454305147</v>
      </c>
      <c r="F20" s="90">
        <v>-0.00258223361</v>
      </c>
      <c r="G20" s="90">
        <v>0.0009836407840200971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0.41089780000000004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0.3362150064139497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-3.7520588000000004</v>
      </c>
      <c r="I25" s="102" t="s">
        <v>49</v>
      </c>
      <c r="J25" s="103"/>
      <c r="K25" s="102"/>
      <c r="L25" s="105">
        <v>3.0646776703168244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2.6799292429621184</v>
      </c>
      <c r="I26" s="107" t="s">
        <v>53</v>
      </c>
      <c r="J26" s="108"/>
      <c r="K26" s="107"/>
      <c r="L26" s="110">
        <v>0.08576280788861847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HCMQAP128_pos4ap2res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2.1182067999999997E-05</v>
      </c>
      <c r="L2" s="55">
        <v>1.3486406647487217E-07</v>
      </c>
      <c r="M2" s="55">
        <v>7.2448423E-05</v>
      </c>
      <c r="N2" s="56">
        <v>5.424573177751693E-08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-3.2203794E-05</v>
      </c>
      <c r="L3" s="55">
        <v>6.453355138225845E-08</v>
      </c>
      <c r="M3" s="55">
        <v>1.1076168999999998E-05</v>
      </c>
      <c r="N3" s="56">
        <v>9.983692815797064E-08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-0.0020845743101209502</v>
      </c>
      <c r="L4" s="55">
        <v>-4.1194258501090514E-05</v>
      </c>
      <c r="M4" s="55">
        <v>7.875887058210398E-08</v>
      </c>
      <c r="N4" s="56">
        <v>9.879450499999999</v>
      </c>
    </row>
    <row r="5" spans="1:14" ht="15" customHeight="1" thickBot="1">
      <c r="A5" t="s">
        <v>18</v>
      </c>
      <c r="B5" s="59">
        <v>37939.301886574074</v>
      </c>
      <c r="D5" s="60"/>
      <c r="E5" s="61" t="s">
        <v>80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2588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-1.8885175</v>
      </c>
      <c r="E8" s="78">
        <v>0.02160392439582339</v>
      </c>
      <c r="F8" s="115">
        <v>9.355785899999999</v>
      </c>
      <c r="G8" s="78">
        <v>0.02783227963621687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-1.4545578000000001</v>
      </c>
      <c r="E9" s="80">
        <v>0.018789596500722025</v>
      </c>
      <c r="F9" s="80">
        <v>1.6894976</v>
      </c>
      <c r="G9" s="80">
        <v>0.013748635679238869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-0.33683381</v>
      </c>
      <c r="E10" s="80">
        <v>0.016671768216011143</v>
      </c>
      <c r="F10" s="80">
        <v>-1.0910940500000001</v>
      </c>
      <c r="G10" s="80">
        <v>0.008365995967537392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5</v>
      </c>
      <c r="D11" s="116">
        <v>14.246814</v>
      </c>
      <c r="E11" s="78">
        <v>0.0066096773023053895</v>
      </c>
      <c r="F11" s="78">
        <v>1.2710070999999998</v>
      </c>
      <c r="G11" s="78">
        <v>0.01746610459833614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5">
        <v>0.7499</v>
      </c>
      <c r="D12" s="83">
        <v>0.020584335500000002</v>
      </c>
      <c r="E12" s="80">
        <v>0.00853287561069476</v>
      </c>
      <c r="F12" s="84">
        <v>0.84419329</v>
      </c>
      <c r="G12" s="80">
        <v>0.008454139327010224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18.423462</v>
      </c>
      <c r="D13" s="83">
        <v>-0.15863722</v>
      </c>
      <c r="E13" s="80">
        <v>0.0034125954970659284</v>
      </c>
      <c r="F13" s="84">
        <v>0.47923036</v>
      </c>
      <c r="G13" s="80">
        <v>0.0027960166178623356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0.03630848537</v>
      </c>
      <c r="E14" s="80">
        <v>0.003892396594062711</v>
      </c>
      <c r="F14" s="80">
        <v>0.0185325045</v>
      </c>
      <c r="G14" s="80">
        <v>0.004994426343498411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-0.39194811000000007</v>
      </c>
      <c r="E15" s="78">
        <v>0.00276763850337787</v>
      </c>
      <c r="F15" s="78">
        <v>0.16654998999999998</v>
      </c>
      <c r="G15" s="78">
        <v>0.005133258494699723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-0.031095606999999997</v>
      </c>
      <c r="E16" s="80">
        <v>0.006117801157426267</v>
      </c>
      <c r="F16" s="80">
        <v>0.068882093</v>
      </c>
      <c r="G16" s="80">
        <v>0.001480226416705975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0.2619999945163727</v>
      </c>
      <c r="D17" s="83">
        <v>-0.023832700999999998</v>
      </c>
      <c r="E17" s="80">
        <v>0.002823342014256172</v>
      </c>
      <c r="F17" s="80">
        <v>0.044872105</v>
      </c>
      <c r="G17" s="80">
        <v>0.002199673866496976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5.59499979019165</v>
      </c>
      <c r="D18" s="83">
        <v>-0.007275077099999999</v>
      </c>
      <c r="E18" s="80">
        <v>0.001628060132065566</v>
      </c>
      <c r="F18" s="80">
        <v>0.041174248000000004</v>
      </c>
      <c r="G18" s="80">
        <v>0.002581730148320269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0.1940000057220459</v>
      </c>
      <c r="D19" s="83">
        <v>-0.13667622000000001</v>
      </c>
      <c r="E19" s="80">
        <v>0.0020325834687888954</v>
      </c>
      <c r="F19" s="80">
        <v>-0.026603697000000003</v>
      </c>
      <c r="G19" s="80">
        <v>0.001715987890661139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0.1609829</v>
      </c>
      <c r="D20" s="89">
        <v>0.0007251965500000001</v>
      </c>
      <c r="E20" s="90">
        <v>0.0011276285020133446</v>
      </c>
      <c r="F20" s="90">
        <v>0.00072352119</v>
      </c>
      <c r="G20" s="90">
        <v>0.0014076017883343235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0.5940038999999999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0.566051295681486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-2.0849813000000004</v>
      </c>
      <c r="I25" s="102" t="s">
        <v>49</v>
      </c>
      <c r="J25" s="103"/>
      <c r="K25" s="102"/>
      <c r="L25" s="105">
        <v>14.303397085966902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9.544486793664971</v>
      </c>
      <c r="I26" s="107" t="s">
        <v>53</v>
      </c>
      <c r="J26" s="108"/>
      <c r="K26" s="107"/>
      <c r="L26" s="110">
        <v>0.425866434579637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HCMQAP128_pos5ap2res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120</v>
      </c>
      <c r="B1" s="131" t="s">
        <v>68</v>
      </c>
      <c r="C1" s="121" t="s">
        <v>73</v>
      </c>
      <c r="D1" s="121" t="s">
        <v>76</v>
      </c>
      <c r="E1" s="121" t="s">
        <v>78</v>
      </c>
      <c r="F1" s="128" t="s">
        <v>81</v>
      </c>
      <c r="G1" s="162" t="s">
        <v>121</v>
      </c>
    </row>
    <row r="2" spans="1:7" ht="13.5" thickBot="1">
      <c r="A2" s="140" t="s">
        <v>90</v>
      </c>
      <c r="B2" s="132">
        <v>-2.2524428000000003</v>
      </c>
      <c r="C2" s="123">
        <v>-3.7566854</v>
      </c>
      <c r="D2" s="123">
        <v>-3.7523631</v>
      </c>
      <c r="E2" s="123">
        <v>-3.7520588000000004</v>
      </c>
      <c r="F2" s="129">
        <v>-2.0849813000000004</v>
      </c>
      <c r="G2" s="163">
        <v>3.116213632968403</v>
      </c>
    </row>
    <row r="3" spans="1:7" ht="14.25" thickBot="1" thickTop="1">
      <c r="A3" s="148" t="s">
        <v>89</v>
      </c>
      <c r="B3" s="149" t="s">
        <v>84</v>
      </c>
      <c r="C3" s="150" t="s">
        <v>85</v>
      </c>
      <c r="D3" s="150" t="s">
        <v>86</v>
      </c>
      <c r="E3" s="150" t="s">
        <v>87</v>
      </c>
      <c r="F3" s="151" t="s">
        <v>88</v>
      </c>
      <c r="G3" s="158" t="s">
        <v>122</v>
      </c>
    </row>
    <row r="4" spans="1:7" ht="12.75">
      <c r="A4" s="145" t="s">
        <v>91</v>
      </c>
      <c r="B4" s="146">
        <v>-1.3270813000000001</v>
      </c>
      <c r="C4" s="147">
        <v>-0.106554298</v>
      </c>
      <c r="D4" s="147">
        <v>0.64899008</v>
      </c>
      <c r="E4" s="147">
        <v>2.6599161000000002</v>
      </c>
      <c r="F4" s="152">
        <v>-1.8885175</v>
      </c>
      <c r="G4" s="159">
        <v>0.3262113939584395</v>
      </c>
    </row>
    <row r="5" spans="1:7" ht="12.75">
      <c r="A5" s="140" t="s">
        <v>93</v>
      </c>
      <c r="B5" s="134">
        <v>0.175372623</v>
      </c>
      <c r="C5" s="119">
        <v>-0.45190736000000004</v>
      </c>
      <c r="D5" s="119">
        <v>-0.74120132</v>
      </c>
      <c r="E5" s="119">
        <v>-0.09249185500000001</v>
      </c>
      <c r="F5" s="153">
        <v>-1.4545578000000001</v>
      </c>
      <c r="G5" s="160">
        <v>-0.47848569600344476</v>
      </c>
    </row>
    <row r="6" spans="1:7" ht="12.75">
      <c r="A6" s="140" t="s">
        <v>95</v>
      </c>
      <c r="B6" s="134">
        <v>0.7740602599999999</v>
      </c>
      <c r="C6" s="119">
        <v>0.45256695999999996</v>
      </c>
      <c r="D6" s="119">
        <v>0.51374005</v>
      </c>
      <c r="E6" s="119">
        <v>0.06492706179999999</v>
      </c>
      <c r="F6" s="153">
        <v>-0.33683381</v>
      </c>
      <c r="G6" s="160">
        <v>0.31494858007573373</v>
      </c>
    </row>
    <row r="7" spans="1:7" ht="12.75">
      <c r="A7" s="140" t="s">
        <v>97</v>
      </c>
      <c r="B7" s="133">
        <v>3.1472736</v>
      </c>
      <c r="C7" s="117">
        <v>2.5168004</v>
      </c>
      <c r="D7" s="117">
        <v>3.5141429000000004</v>
      </c>
      <c r="E7" s="117">
        <v>3.0577151999999996</v>
      </c>
      <c r="F7" s="154">
        <v>14.246814</v>
      </c>
      <c r="G7" s="160">
        <v>4.5457669958636755</v>
      </c>
    </row>
    <row r="8" spans="1:7" ht="12.75">
      <c r="A8" s="140" t="s">
        <v>99</v>
      </c>
      <c r="B8" s="134">
        <v>0.27621972</v>
      </c>
      <c r="C8" s="119">
        <v>-0.06312208899999999</v>
      </c>
      <c r="D8" s="119">
        <v>0.066786436</v>
      </c>
      <c r="E8" s="119">
        <v>0.18832648</v>
      </c>
      <c r="F8" s="153">
        <v>0.020584335500000002</v>
      </c>
      <c r="G8" s="160">
        <v>0.08880170786735585</v>
      </c>
    </row>
    <row r="9" spans="1:7" ht="12.75">
      <c r="A9" s="140" t="s">
        <v>101</v>
      </c>
      <c r="B9" s="134">
        <v>0.067883212</v>
      </c>
      <c r="C9" s="119">
        <v>-0.17282837</v>
      </c>
      <c r="D9" s="119">
        <v>-0.25207266</v>
      </c>
      <c r="E9" s="119">
        <v>0.02157236443</v>
      </c>
      <c r="F9" s="153">
        <v>-0.15863722</v>
      </c>
      <c r="G9" s="160">
        <v>-0.10847442775702382</v>
      </c>
    </row>
    <row r="10" spans="1:7" ht="12.75">
      <c r="A10" s="140" t="s">
        <v>103</v>
      </c>
      <c r="B10" s="134">
        <v>-0.0401157616</v>
      </c>
      <c r="C10" s="119">
        <v>-0.0027352887</v>
      </c>
      <c r="D10" s="119">
        <v>-0.0206909033</v>
      </c>
      <c r="E10" s="119">
        <v>0.073817306</v>
      </c>
      <c r="F10" s="153">
        <v>0.03630848537</v>
      </c>
      <c r="G10" s="160">
        <v>0.011180252907800456</v>
      </c>
    </row>
    <row r="11" spans="1:7" ht="12.75">
      <c r="A11" s="140" t="s">
        <v>105</v>
      </c>
      <c r="B11" s="133">
        <v>-0.26493409</v>
      </c>
      <c r="C11" s="117">
        <v>0.016464576200000004</v>
      </c>
      <c r="D11" s="117">
        <v>-0.021412597999999998</v>
      </c>
      <c r="E11" s="117">
        <v>-0.08555299499999999</v>
      </c>
      <c r="F11" s="155">
        <v>-0.39194811000000007</v>
      </c>
      <c r="G11" s="160">
        <v>-0.11241114921588757</v>
      </c>
    </row>
    <row r="12" spans="1:7" ht="12.75">
      <c r="A12" s="140" t="s">
        <v>107</v>
      </c>
      <c r="B12" s="134">
        <v>0.028549327999999995</v>
      </c>
      <c r="C12" s="119">
        <v>-0.0021576986700000004</v>
      </c>
      <c r="D12" s="119">
        <v>0.0156013239</v>
      </c>
      <c r="E12" s="119">
        <v>-0.027183486</v>
      </c>
      <c r="F12" s="153">
        <v>-0.031095606999999997</v>
      </c>
      <c r="G12" s="160">
        <v>-0.0033391625347093793</v>
      </c>
    </row>
    <row r="13" spans="1:7" ht="12.75">
      <c r="A13" s="140" t="s">
        <v>109</v>
      </c>
      <c r="B13" s="134">
        <v>-0.003917413</v>
      </c>
      <c r="C13" s="119">
        <v>0.007630440720000001</v>
      </c>
      <c r="D13" s="119">
        <v>0.020000432000000002</v>
      </c>
      <c r="E13" s="119">
        <v>0.0027612326</v>
      </c>
      <c r="F13" s="153">
        <v>-0.023832700999999998</v>
      </c>
      <c r="G13" s="160">
        <v>0.003561865492347433</v>
      </c>
    </row>
    <row r="14" spans="1:7" ht="12.75">
      <c r="A14" s="140" t="s">
        <v>111</v>
      </c>
      <c r="B14" s="134">
        <v>0.030503502</v>
      </c>
      <c r="C14" s="119">
        <v>0.033654051000000004</v>
      </c>
      <c r="D14" s="119">
        <v>0.032694099</v>
      </c>
      <c r="E14" s="119">
        <v>0.036966537</v>
      </c>
      <c r="F14" s="153">
        <v>-0.007275077099999999</v>
      </c>
      <c r="G14" s="160">
        <v>0.02829416536735024</v>
      </c>
    </row>
    <row r="15" spans="1:7" ht="12.75">
      <c r="A15" s="140" t="s">
        <v>113</v>
      </c>
      <c r="B15" s="135">
        <v>-0.19593336</v>
      </c>
      <c r="C15" s="118">
        <v>-0.18704302</v>
      </c>
      <c r="D15" s="118">
        <v>-0.18391830000000003</v>
      </c>
      <c r="E15" s="118">
        <v>-0.16864430000000002</v>
      </c>
      <c r="F15" s="153">
        <v>-0.13667622000000001</v>
      </c>
      <c r="G15" s="160">
        <v>-0.1764172108851204</v>
      </c>
    </row>
    <row r="16" spans="1:7" ht="12.75">
      <c r="A16" s="140" t="s">
        <v>115</v>
      </c>
      <c r="B16" s="134">
        <v>-0.00203733576</v>
      </c>
      <c r="C16" s="119">
        <v>-0.001661288108</v>
      </c>
      <c r="D16" s="119">
        <v>-0.00224594845</v>
      </c>
      <c r="E16" s="119">
        <v>-0.0025518546100000003</v>
      </c>
      <c r="F16" s="153">
        <v>0.0007251965500000001</v>
      </c>
      <c r="G16" s="160">
        <v>-0.0017514610659302519</v>
      </c>
    </row>
    <row r="17" spans="1:7" ht="12.75">
      <c r="A17" s="140" t="s">
        <v>92</v>
      </c>
      <c r="B17" s="133">
        <v>0.176810657</v>
      </c>
      <c r="C17" s="117">
        <v>-0.37850637000000004</v>
      </c>
      <c r="D17" s="117">
        <v>-0.14201290100000002</v>
      </c>
      <c r="E17" s="117">
        <v>-0.32690532</v>
      </c>
      <c r="F17" s="154">
        <v>9.355785899999999</v>
      </c>
      <c r="G17" s="160">
        <v>1.0721210096439864</v>
      </c>
    </row>
    <row r="18" spans="1:7" ht="12.75">
      <c r="A18" s="140" t="s">
        <v>94</v>
      </c>
      <c r="B18" s="135">
        <v>2.8833165000000003</v>
      </c>
      <c r="C18" s="119">
        <v>0.8977247399999999</v>
      </c>
      <c r="D18" s="119">
        <v>1.1859202899999999</v>
      </c>
      <c r="E18" s="119">
        <v>0.91937599</v>
      </c>
      <c r="F18" s="153">
        <v>1.6894976</v>
      </c>
      <c r="G18" s="160">
        <v>1.3648145187849792</v>
      </c>
    </row>
    <row r="19" spans="1:7" ht="12.75">
      <c r="A19" s="140" t="s">
        <v>96</v>
      </c>
      <c r="B19" s="134">
        <v>-0.8387070299999999</v>
      </c>
      <c r="C19" s="119">
        <v>-0.7789153799999999</v>
      </c>
      <c r="D19" s="119">
        <v>-0.76329901</v>
      </c>
      <c r="E19" s="119">
        <v>-1.1012642</v>
      </c>
      <c r="F19" s="153">
        <v>-1.0910940500000001</v>
      </c>
      <c r="G19" s="160">
        <v>-0.9030576692515484</v>
      </c>
    </row>
    <row r="20" spans="1:7" ht="12.75">
      <c r="A20" s="140" t="s">
        <v>98</v>
      </c>
      <c r="B20" s="133">
        <v>0.18816038000000002</v>
      </c>
      <c r="C20" s="117">
        <v>-0.5405163</v>
      </c>
      <c r="D20" s="117">
        <v>-0.22048947000000002</v>
      </c>
      <c r="E20" s="117">
        <v>-0.20646302</v>
      </c>
      <c r="F20" s="155">
        <v>1.2710070999999998</v>
      </c>
      <c r="G20" s="160">
        <v>-0.035818827537870565</v>
      </c>
    </row>
    <row r="21" spans="1:7" ht="12.75">
      <c r="A21" s="140" t="s">
        <v>100</v>
      </c>
      <c r="B21" s="134">
        <v>0.16199647</v>
      </c>
      <c r="C21" s="119">
        <v>0.35723957</v>
      </c>
      <c r="D21" s="119">
        <v>0.4754045700000001</v>
      </c>
      <c r="E21" s="119">
        <v>0.31359995</v>
      </c>
      <c r="F21" s="156">
        <v>0.84419329</v>
      </c>
      <c r="G21" s="160">
        <v>0.41206364470632784</v>
      </c>
    </row>
    <row r="22" spans="1:7" ht="12.75">
      <c r="A22" s="140" t="s">
        <v>102</v>
      </c>
      <c r="B22" s="134">
        <v>0.22346352</v>
      </c>
      <c r="C22" s="119">
        <v>0.071046574</v>
      </c>
      <c r="D22" s="119">
        <v>0.121734954</v>
      </c>
      <c r="E22" s="119">
        <v>0.029059227</v>
      </c>
      <c r="F22" s="156">
        <v>0.47923036</v>
      </c>
      <c r="G22" s="160">
        <v>0.14970963488915942</v>
      </c>
    </row>
    <row r="23" spans="1:7" ht="12.75">
      <c r="A23" s="140" t="s">
        <v>104</v>
      </c>
      <c r="B23" s="134">
        <v>-0.0080940961</v>
      </c>
      <c r="C23" s="119">
        <v>0.0137697827</v>
      </c>
      <c r="D23" s="119">
        <v>0.00233567016</v>
      </c>
      <c r="E23" s="119">
        <v>0.0113009316</v>
      </c>
      <c r="F23" s="153">
        <v>0.0185325045</v>
      </c>
      <c r="G23" s="160">
        <v>0.007904796784401674</v>
      </c>
    </row>
    <row r="24" spans="1:7" ht="12.75">
      <c r="A24" s="140" t="s">
        <v>106</v>
      </c>
      <c r="B24" s="133">
        <v>0.05521150700000001</v>
      </c>
      <c r="C24" s="117">
        <v>-0.039885476999999996</v>
      </c>
      <c r="D24" s="117">
        <v>-0.003908706520000001</v>
      </c>
      <c r="E24" s="117">
        <v>0.005995353490000001</v>
      </c>
      <c r="F24" s="155">
        <v>0.16654998999999998</v>
      </c>
      <c r="G24" s="160">
        <v>0.021130528972326115</v>
      </c>
    </row>
    <row r="25" spans="1:7" ht="12.75">
      <c r="A25" s="140" t="s">
        <v>108</v>
      </c>
      <c r="B25" s="134">
        <v>0.020766855999999997</v>
      </c>
      <c r="C25" s="119">
        <v>0.05024206099999999</v>
      </c>
      <c r="D25" s="119">
        <v>0.048901033</v>
      </c>
      <c r="E25" s="119">
        <v>0.042461086</v>
      </c>
      <c r="F25" s="153">
        <v>0.068882093</v>
      </c>
      <c r="G25" s="160">
        <v>0.04628311170853214</v>
      </c>
    </row>
    <row r="26" spans="1:7" ht="12.75">
      <c r="A26" s="140" t="s">
        <v>110</v>
      </c>
      <c r="B26" s="134">
        <v>0.01240239217</v>
      </c>
      <c r="C26" s="119">
        <v>0.017463257000000003</v>
      </c>
      <c r="D26" s="119">
        <v>0.0188798455</v>
      </c>
      <c r="E26" s="119">
        <v>0.008488250999999999</v>
      </c>
      <c r="F26" s="153">
        <v>0.044872105</v>
      </c>
      <c r="G26" s="160">
        <v>0.018578004966553263</v>
      </c>
    </row>
    <row r="27" spans="1:7" ht="12.75">
      <c r="A27" s="140" t="s">
        <v>112</v>
      </c>
      <c r="B27" s="134">
        <v>0.061824835</v>
      </c>
      <c r="C27" s="119">
        <v>0.048127242</v>
      </c>
      <c r="D27" s="119">
        <v>0.032067507</v>
      </c>
      <c r="E27" s="119">
        <v>0.05298314</v>
      </c>
      <c r="F27" s="153">
        <v>0.041174248000000004</v>
      </c>
      <c r="G27" s="160">
        <v>0.04648053826442859</v>
      </c>
    </row>
    <row r="28" spans="1:7" ht="12.75">
      <c r="A28" s="140" t="s">
        <v>114</v>
      </c>
      <c r="B28" s="134">
        <v>0.015595168000000001</v>
      </c>
      <c r="C28" s="119">
        <v>0.011836317599999998</v>
      </c>
      <c r="D28" s="119">
        <v>0.013364678600000002</v>
      </c>
      <c r="E28" s="119">
        <v>0.016631604</v>
      </c>
      <c r="F28" s="153">
        <v>-0.026603697000000003</v>
      </c>
      <c r="G28" s="160">
        <v>0.008762120875464097</v>
      </c>
    </row>
    <row r="29" spans="1:7" ht="13.5" thickBot="1">
      <c r="A29" s="141" t="s">
        <v>116</v>
      </c>
      <c r="B29" s="136">
        <v>-0.00096492141</v>
      </c>
      <c r="C29" s="120">
        <v>-0.0028857584</v>
      </c>
      <c r="D29" s="120">
        <v>-0.0045795196</v>
      </c>
      <c r="E29" s="120">
        <v>-0.00258223361</v>
      </c>
      <c r="F29" s="157">
        <v>0.00072352119</v>
      </c>
      <c r="G29" s="161">
        <v>-0.002460391962492507</v>
      </c>
    </row>
    <row r="30" spans="1:7" ht="13.5" thickTop="1">
      <c r="A30" s="142" t="s">
        <v>117</v>
      </c>
      <c r="B30" s="137">
        <v>-0.06714028819801438</v>
      </c>
      <c r="C30" s="126">
        <v>0.12786260142157316</v>
      </c>
      <c r="D30" s="126">
        <v>0.31903648534659196</v>
      </c>
      <c r="E30" s="126">
        <v>0.3362150064139497</v>
      </c>
      <c r="F30" s="122">
        <v>0.566051295681486</v>
      </c>
      <c r="G30" s="162" t="s">
        <v>128</v>
      </c>
    </row>
    <row r="31" spans="1:7" ht="13.5" thickBot="1">
      <c r="A31" s="143" t="s">
        <v>118</v>
      </c>
      <c r="B31" s="132">
        <v>17.82837</v>
      </c>
      <c r="C31" s="123">
        <v>17.971802</v>
      </c>
      <c r="D31" s="123">
        <v>18.133545</v>
      </c>
      <c r="E31" s="123">
        <v>18.283082</v>
      </c>
      <c r="F31" s="124">
        <v>18.423462</v>
      </c>
      <c r="G31" s="164">
        <v>-209.68</v>
      </c>
    </row>
    <row r="32" spans="1:7" ht="15.75" thickBot="1" thickTop="1">
      <c r="A32" s="144" t="s">
        <v>119</v>
      </c>
      <c r="B32" s="138">
        <v>0.35600000619888306</v>
      </c>
      <c r="C32" s="127">
        <v>-0.18949999660253525</v>
      </c>
      <c r="D32" s="127">
        <v>0.34449999034404755</v>
      </c>
      <c r="E32" s="127">
        <v>-0.29099999368190765</v>
      </c>
      <c r="F32" s="125">
        <v>0.2280000001192093</v>
      </c>
      <c r="G32" s="130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5" bestFit="1" customWidth="1"/>
    <col min="2" max="2" width="15.66015625" style="165" bestFit="1" customWidth="1"/>
    <col min="3" max="3" width="15.33203125" style="165" bestFit="1" customWidth="1"/>
    <col min="4" max="4" width="16" style="165" bestFit="1" customWidth="1"/>
    <col min="5" max="5" width="22.16015625" style="165" bestFit="1" customWidth="1"/>
    <col min="6" max="6" width="14.83203125" style="165" bestFit="1" customWidth="1"/>
    <col min="7" max="7" width="15.33203125" style="165" bestFit="1" customWidth="1"/>
    <col min="8" max="8" width="14.16015625" style="165" bestFit="1" customWidth="1"/>
    <col min="9" max="9" width="14.83203125" style="165" bestFit="1" customWidth="1"/>
    <col min="10" max="10" width="6.33203125" style="165" bestFit="1" customWidth="1"/>
    <col min="11" max="11" width="15" style="165" bestFit="1" customWidth="1"/>
    <col min="12" max="16384" width="10.66015625" style="165" customWidth="1"/>
  </cols>
  <sheetData>
    <row r="1" spans="1:5" ht="12.75">
      <c r="A1" s="165" t="s">
        <v>129</v>
      </c>
      <c r="B1" s="165" t="s">
        <v>130</v>
      </c>
      <c r="C1" s="165" t="s">
        <v>131</v>
      </c>
      <c r="D1" s="165" t="s">
        <v>132</v>
      </c>
      <c r="E1" s="165" t="s">
        <v>28</v>
      </c>
    </row>
    <row r="3" spans="1:7" ht="12.75">
      <c r="A3" s="165" t="s">
        <v>133</v>
      </c>
      <c r="B3" s="165" t="s">
        <v>84</v>
      </c>
      <c r="C3" s="165" t="s">
        <v>85</v>
      </c>
      <c r="D3" s="165" t="s">
        <v>86</v>
      </c>
      <c r="E3" s="165" t="s">
        <v>87</v>
      </c>
      <c r="F3" s="165" t="s">
        <v>88</v>
      </c>
      <c r="G3" s="165" t="s">
        <v>134</v>
      </c>
    </row>
    <row r="4" spans="1:7" ht="12.75">
      <c r="A4" s="165" t="s">
        <v>135</v>
      </c>
      <c r="B4" s="165">
        <f>0.002251*1.0033</f>
        <v>0.0022584283000000004</v>
      </c>
      <c r="C4" s="165">
        <f>0.003755*1.0033</f>
        <v>0.0037673915000000003</v>
      </c>
      <c r="D4" s="165">
        <f>0.00375*1.0033</f>
        <v>0.003762375</v>
      </c>
      <c r="E4" s="165">
        <f>0.00375*1.0033</f>
        <v>0.003762375</v>
      </c>
      <c r="F4" s="165">
        <f>0.002084*1.0033</f>
        <v>0.0020908772</v>
      </c>
      <c r="G4" s="165">
        <f>0.011691*1.0033</f>
        <v>0.0117295803</v>
      </c>
    </row>
    <row r="5" spans="1:7" ht="12.75">
      <c r="A5" s="165" t="s">
        <v>136</v>
      </c>
      <c r="B5" s="165">
        <v>5.523987</v>
      </c>
      <c r="C5" s="165">
        <v>1.971016</v>
      </c>
      <c r="D5" s="165">
        <v>-0.838675</v>
      </c>
      <c r="E5" s="165">
        <v>-1.638695</v>
      </c>
      <c r="F5" s="165">
        <v>-5.036382</v>
      </c>
      <c r="G5" s="165">
        <v>4.560976</v>
      </c>
    </row>
    <row r="6" spans="1:7" ht="12.75">
      <c r="A6" s="165" t="s">
        <v>137</v>
      </c>
      <c r="B6" s="166">
        <v>21.33345</v>
      </c>
      <c r="C6" s="166">
        <v>10.28091</v>
      </c>
      <c r="D6" s="166">
        <v>-71.31164</v>
      </c>
      <c r="E6" s="166">
        <v>10.07753</v>
      </c>
      <c r="F6" s="166">
        <v>68.63444</v>
      </c>
      <c r="G6" s="166">
        <v>-0.001106848</v>
      </c>
    </row>
    <row r="7" spans="1:7" ht="12.75">
      <c r="A7" s="165" t="s">
        <v>138</v>
      </c>
      <c r="B7" s="166">
        <v>10000</v>
      </c>
      <c r="C7" s="166">
        <v>10000</v>
      </c>
      <c r="D7" s="166">
        <v>10000</v>
      </c>
      <c r="E7" s="166">
        <v>10000</v>
      </c>
      <c r="F7" s="166">
        <v>10000</v>
      </c>
      <c r="G7" s="166">
        <v>10000</v>
      </c>
    </row>
    <row r="8" spans="1:7" ht="12.75">
      <c r="A8" s="165" t="s">
        <v>91</v>
      </c>
      <c r="B8" s="166">
        <v>-1.264217</v>
      </c>
      <c r="C8" s="166">
        <v>-0.1136235</v>
      </c>
      <c r="D8" s="166">
        <v>0.6268645</v>
      </c>
      <c r="E8" s="166">
        <v>2.665657</v>
      </c>
      <c r="F8" s="166">
        <v>-1.70967</v>
      </c>
      <c r="G8" s="166">
        <v>0.3536071</v>
      </c>
    </row>
    <row r="9" spans="1:7" ht="12.75">
      <c r="A9" s="165" t="s">
        <v>93</v>
      </c>
      <c r="B9" s="166">
        <v>0.08937676</v>
      </c>
      <c r="C9" s="166">
        <v>-0.4460396</v>
      </c>
      <c r="D9" s="166">
        <v>-0.7217914</v>
      </c>
      <c r="E9" s="166">
        <v>-0.09650039</v>
      </c>
      <c r="F9" s="166">
        <v>-1.533443</v>
      </c>
      <c r="G9" s="166">
        <v>-0.4963031</v>
      </c>
    </row>
    <row r="10" spans="1:7" ht="12.75">
      <c r="A10" s="165" t="s">
        <v>95</v>
      </c>
      <c r="B10" s="166">
        <v>0.8407249</v>
      </c>
      <c r="C10" s="166">
        <v>0.4826166</v>
      </c>
      <c r="D10" s="166">
        <v>0.3992201</v>
      </c>
      <c r="E10" s="166">
        <v>0.0690895</v>
      </c>
      <c r="F10" s="166">
        <v>0.1925767</v>
      </c>
      <c r="G10" s="166">
        <v>0.3760096</v>
      </c>
    </row>
    <row r="11" spans="1:7" ht="12.75">
      <c r="A11" s="165" t="s">
        <v>97</v>
      </c>
      <c r="B11" s="166">
        <v>3.148785</v>
      </c>
      <c r="C11" s="166">
        <v>2.514859</v>
      </c>
      <c r="D11" s="166">
        <v>3.48037</v>
      </c>
      <c r="E11" s="166">
        <v>3.060198</v>
      </c>
      <c r="F11" s="166">
        <v>14.34769</v>
      </c>
      <c r="G11" s="166">
        <v>4.551357</v>
      </c>
    </row>
    <row r="12" spans="1:7" ht="12.75">
      <c r="A12" s="165" t="s">
        <v>99</v>
      </c>
      <c r="B12" s="166">
        <v>0.2775016</v>
      </c>
      <c r="C12" s="166">
        <v>-0.0739804</v>
      </c>
      <c r="D12" s="166">
        <v>0.06994303</v>
      </c>
      <c r="E12" s="166">
        <v>0.1891202</v>
      </c>
      <c r="F12" s="166">
        <v>0.08206264</v>
      </c>
      <c r="G12" s="166">
        <v>0.09554764</v>
      </c>
    </row>
    <row r="13" spans="1:7" ht="12.75">
      <c r="A13" s="165" t="s">
        <v>101</v>
      </c>
      <c r="B13" s="166">
        <v>0.05831038</v>
      </c>
      <c r="C13" s="166">
        <v>-0.1750648</v>
      </c>
      <c r="D13" s="166">
        <v>-0.2511173</v>
      </c>
      <c r="E13" s="166">
        <v>0.02230261</v>
      </c>
      <c r="F13" s="166">
        <v>-0.1313599</v>
      </c>
      <c r="G13" s="166">
        <v>-0.1063409</v>
      </c>
    </row>
    <row r="14" spans="1:7" ht="12.75">
      <c r="A14" s="165" t="s">
        <v>103</v>
      </c>
      <c r="B14" s="166">
        <v>-0.04123557</v>
      </c>
      <c r="C14" s="166">
        <v>-0.001717682</v>
      </c>
      <c r="D14" s="166">
        <v>-0.01866099</v>
      </c>
      <c r="E14" s="166">
        <v>0.07334119</v>
      </c>
      <c r="F14" s="166">
        <v>0.03651809</v>
      </c>
      <c r="G14" s="166">
        <v>0.0116662</v>
      </c>
    </row>
    <row r="15" spans="1:7" ht="12.75">
      <c r="A15" s="165" t="s">
        <v>105</v>
      </c>
      <c r="B15" s="166">
        <v>-0.2657633</v>
      </c>
      <c r="C15" s="166">
        <v>0.01520169</v>
      </c>
      <c r="D15" s="166">
        <v>-0.02817788</v>
      </c>
      <c r="E15" s="166">
        <v>-0.0846107</v>
      </c>
      <c r="F15" s="166">
        <v>-0.374905</v>
      </c>
      <c r="G15" s="166">
        <v>-0.1119522</v>
      </c>
    </row>
    <row r="16" spans="1:7" ht="12.75">
      <c r="A16" s="165" t="s">
        <v>107</v>
      </c>
      <c r="B16" s="166">
        <v>0.02761157</v>
      </c>
      <c r="C16" s="166">
        <v>-0.003202806</v>
      </c>
      <c r="D16" s="166">
        <v>0.01313731</v>
      </c>
      <c r="E16" s="166">
        <v>-0.025401</v>
      </c>
      <c r="F16" s="166">
        <v>-0.02128957</v>
      </c>
      <c r="G16" s="166">
        <v>-0.00257776</v>
      </c>
    </row>
    <row r="17" spans="1:7" ht="12.75">
      <c r="A17" s="165" t="s">
        <v>109</v>
      </c>
      <c r="B17" s="166">
        <v>0.002681001</v>
      </c>
      <c r="C17" s="166">
        <v>0.006203295</v>
      </c>
      <c r="D17" s="166">
        <v>0.01411259</v>
      </c>
      <c r="E17" s="166">
        <v>0.005344474</v>
      </c>
      <c r="F17" s="166">
        <v>-0.01302462</v>
      </c>
      <c r="G17" s="166">
        <v>0.004821684</v>
      </c>
    </row>
    <row r="18" spans="1:7" ht="12.75">
      <c r="A18" s="165" t="s">
        <v>111</v>
      </c>
      <c r="B18" s="166">
        <v>0.02441787</v>
      </c>
      <c r="C18" s="166">
        <v>0.03162246</v>
      </c>
      <c r="D18" s="166">
        <v>0.03774194</v>
      </c>
      <c r="E18" s="166">
        <v>0.03768741</v>
      </c>
      <c r="F18" s="166">
        <v>-0.009168509</v>
      </c>
      <c r="G18" s="166">
        <v>0.02806323</v>
      </c>
    </row>
    <row r="19" spans="1:7" ht="12.75">
      <c r="A19" s="165" t="s">
        <v>113</v>
      </c>
      <c r="B19" s="166">
        <v>-0.1965588</v>
      </c>
      <c r="C19" s="166">
        <v>-0.1873026</v>
      </c>
      <c r="D19" s="166">
        <v>-0.1837027</v>
      </c>
      <c r="E19" s="166">
        <v>-0.168231</v>
      </c>
      <c r="F19" s="166">
        <v>-0.1382263</v>
      </c>
      <c r="G19" s="166">
        <v>-0.1766259</v>
      </c>
    </row>
    <row r="20" spans="1:7" ht="12.75">
      <c r="A20" s="165" t="s">
        <v>115</v>
      </c>
      <c r="B20" s="166">
        <v>-0.001957528</v>
      </c>
      <c r="C20" s="166">
        <v>-0.00157879</v>
      </c>
      <c r="D20" s="166">
        <v>-0.002302145</v>
      </c>
      <c r="E20" s="166">
        <v>-0.002619855</v>
      </c>
      <c r="F20" s="166">
        <v>0.0007861501</v>
      </c>
      <c r="G20" s="166">
        <v>-0.001741951</v>
      </c>
    </row>
    <row r="21" spans="1:7" ht="12.75">
      <c r="A21" s="165" t="s">
        <v>139</v>
      </c>
      <c r="B21" s="166">
        <v>-73.99745</v>
      </c>
      <c r="C21" s="166">
        <v>34.54858</v>
      </c>
      <c r="D21" s="166">
        <v>106.5227</v>
      </c>
      <c r="E21" s="166">
        <v>-23.37624</v>
      </c>
      <c r="F21" s="166">
        <v>-131.9688</v>
      </c>
      <c r="G21" s="166">
        <v>4.628669E-05</v>
      </c>
    </row>
    <row r="22" spans="1:7" ht="12.75">
      <c r="A22" s="165" t="s">
        <v>140</v>
      </c>
      <c r="B22" s="166">
        <v>110.4842</v>
      </c>
      <c r="C22" s="166">
        <v>39.42052</v>
      </c>
      <c r="D22" s="166">
        <v>-16.77351</v>
      </c>
      <c r="E22" s="166">
        <v>-32.77402</v>
      </c>
      <c r="F22" s="166">
        <v>-100.731</v>
      </c>
      <c r="G22" s="166">
        <v>0</v>
      </c>
    </row>
    <row r="23" spans="1:7" ht="12.75">
      <c r="A23" s="165" t="s">
        <v>92</v>
      </c>
      <c r="B23" s="166">
        <v>0.1810869</v>
      </c>
      <c r="C23" s="166">
        <v>-0.3746803</v>
      </c>
      <c r="D23" s="166">
        <v>-0.1867585</v>
      </c>
      <c r="E23" s="166">
        <v>-0.3301774</v>
      </c>
      <c r="F23" s="166">
        <v>9.489153</v>
      </c>
      <c r="G23" s="166">
        <v>1.079829</v>
      </c>
    </row>
    <row r="24" spans="1:7" ht="12.75">
      <c r="A24" s="165" t="s">
        <v>94</v>
      </c>
      <c r="B24" s="166">
        <v>2.859446</v>
      </c>
      <c r="C24" s="166">
        <v>0.8983152</v>
      </c>
      <c r="D24" s="166">
        <v>1.227568</v>
      </c>
      <c r="E24" s="166">
        <v>0.9152162</v>
      </c>
      <c r="F24" s="166">
        <v>1.6997</v>
      </c>
      <c r="G24" s="166">
        <v>1.37188</v>
      </c>
    </row>
    <row r="25" spans="1:7" ht="12.75">
      <c r="A25" s="165" t="s">
        <v>96</v>
      </c>
      <c r="B25" s="166">
        <v>-0.934581</v>
      </c>
      <c r="C25" s="166">
        <v>-0.7362321</v>
      </c>
      <c r="D25" s="166">
        <v>-0.5729633</v>
      </c>
      <c r="E25" s="166">
        <v>-1.140709</v>
      </c>
      <c r="F25" s="166">
        <v>-1.996925</v>
      </c>
      <c r="G25" s="166">
        <v>-0.9913955</v>
      </c>
    </row>
    <row r="26" spans="1:7" ht="12.75">
      <c r="A26" s="165" t="s">
        <v>98</v>
      </c>
      <c r="B26" s="166">
        <v>0.2794092</v>
      </c>
      <c r="C26" s="166">
        <v>-0.5118686</v>
      </c>
      <c r="D26" s="166">
        <v>-0.2552276</v>
      </c>
      <c r="E26" s="166">
        <v>-0.2390024</v>
      </c>
      <c r="F26" s="166">
        <v>0.8646003</v>
      </c>
      <c r="G26" s="166">
        <v>-0.0863539</v>
      </c>
    </row>
    <row r="27" spans="1:7" ht="12.75">
      <c r="A27" s="165" t="s">
        <v>141</v>
      </c>
      <c r="B27" s="166">
        <v>0.1648334</v>
      </c>
      <c r="C27" s="166">
        <v>0.3463303</v>
      </c>
      <c r="D27" s="166">
        <v>0.4441453</v>
      </c>
      <c r="E27" s="166">
        <v>0.3052968</v>
      </c>
      <c r="F27" s="166">
        <v>0.8723413</v>
      </c>
      <c r="G27" s="166">
        <v>0.4040853</v>
      </c>
    </row>
    <row r="28" spans="1:7" ht="12.75">
      <c r="A28" s="165" t="s">
        <v>102</v>
      </c>
      <c r="B28" s="166">
        <v>0.2272345</v>
      </c>
      <c r="C28" s="166">
        <v>0.06861327</v>
      </c>
      <c r="D28" s="166">
        <v>0.1218078</v>
      </c>
      <c r="E28" s="166">
        <v>0.02756052</v>
      </c>
      <c r="F28" s="166">
        <v>0.4809354</v>
      </c>
      <c r="G28" s="166">
        <v>0.1495507</v>
      </c>
    </row>
    <row r="29" spans="1:7" ht="12.75">
      <c r="A29" s="165" t="s">
        <v>104</v>
      </c>
      <c r="B29" s="166">
        <v>0.008678571</v>
      </c>
      <c r="C29" s="166">
        <v>0.01414128</v>
      </c>
      <c r="D29" s="166">
        <v>0.000755657</v>
      </c>
      <c r="E29" s="166">
        <v>0.01229923</v>
      </c>
      <c r="F29" s="166">
        <v>0.07320511</v>
      </c>
      <c r="G29" s="166">
        <v>0.01758312</v>
      </c>
    </row>
    <row r="30" spans="1:7" ht="12.75">
      <c r="A30" s="165" t="s">
        <v>106</v>
      </c>
      <c r="B30" s="166">
        <v>0.03884447</v>
      </c>
      <c r="C30" s="166">
        <v>-0.038647</v>
      </c>
      <c r="D30" s="166">
        <v>-0.005374623</v>
      </c>
      <c r="E30" s="166">
        <v>0.00890138</v>
      </c>
      <c r="F30" s="166">
        <v>0.1936307</v>
      </c>
      <c r="G30" s="166">
        <v>0.02303283</v>
      </c>
    </row>
    <row r="31" spans="1:7" ht="12.75">
      <c r="A31" s="165" t="s">
        <v>108</v>
      </c>
      <c r="B31" s="166">
        <v>0.02600663</v>
      </c>
      <c r="C31" s="166">
        <v>0.05340309</v>
      </c>
      <c r="D31" s="166">
        <v>0.05179976</v>
      </c>
      <c r="E31" s="166">
        <v>0.04543691</v>
      </c>
      <c r="F31" s="166">
        <v>0.07986051</v>
      </c>
      <c r="G31" s="166">
        <v>0.0506815</v>
      </c>
    </row>
    <row r="32" spans="1:7" ht="12.75">
      <c r="A32" s="165" t="s">
        <v>110</v>
      </c>
      <c r="B32" s="166">
        <v>0.01105526</v>
      </c>
      <c r="C32" s="166">
        <v>0.01975014</v>
      </c>
      <c r="D32" s="166">
        <v>0.02085628</v>
      </c>
      <c r="E32" s="166">
        <v>0.007920682</v>
      </c>
      <c r="F32" s="166">
        <v>0.05089576</v>
      </c>
      <c r="G32" s="166">
        <v>0.0200778</v>
      </c>
    </row>
    <row r="33" spans="1:7" ht="12.75">
      <c r="A33" s="165" t="s">
        <v>142</v>
      </c>
      <c r="B33" s="166">
        <v>0.06961396</v>
      </c>
      <c r="C33" s="166">
        <v>0.04635293</v>
      </c>
      <c r="D33" s="166">
        <v>0.02331162</v>
      </c>
      <c r="E33" s="166">
        <v>0.05382542</v>
      </c>
      <c r="F33" s="166">
        <v>0.04831963</v>
      </c>
      <c r="G33" s="166">
        <v>0.04622793</v>
      </c>
    </row>
    <row r="34" spans="1:7" ht="12.75">
      <c r="A34" s="165" t="s">
        <v>114</v>
      </c>
      <c r="B34" s="166">
        <v>0.0004233304</v>
      </c>
      <c r="C34" s="166">
        <v>0.006667222</v>
      </c>
      <c r="D34" s="166">
        <v>0.01553601</v>
      </c>
      <c r="E34" s="166">
        <v>0.02049727</v>
      </c>
      <c r="F34" s="166">
        <v>-0.01691392</v>
      </c>
      <c r="G34" s="166">
        <v>0.008082262</v>
      </c>
    </row>
    <row r="35" spans="1:7" ht="12.75">
      <c r="A35" s="165" t="s">
        <v>116</v>
      </c>
      <c r="B35" s="166">
        <v>-0.001130974</v>
      </c>
      <c r="C35" s="166">
        <v>-0.002933696</v>
      </c>
      <c r="D35" s="166">
        <v>-0.004551019</v>
      </c>
      <c r="E35" s="166">
        <v>-0.00251917</v>
      </c>
      <c r="F35" s="166">
        <v>0.0006675223</v>
      </c>
      <c r="G35" s="166">
        <v>-0.002481344</v>
      </c>
    </row>
    <row r="36" spans="1:6" ht="12.75">
      <c r="A36" s="165" t="s">
        <v>143</v>
      </c>
      <c r="B36" s="166">
        <v>18.42346</v>
      </c>
      <c r="C36" s="166">
        <v>18.43567</v>
      </c>
      <c r="D36" s="166">
        <v>18.46008</v>
      </c>
      <c r="E36" s="166">
        <v>18.47229</v>
      </c>
      <c r="F36" s="166">
        <v>18.4967</v>
      </c>
    </row>
    <row r="37" spans="1:6" ht="12.75">
      <c r="A37" s="165" t="s">
        <v>144</v>
      </c>
      <c r="B37" s="166">
        <v>0.2375285</v>
      </c>
      <c r="C37" s="166">
        <v>0.2324422</v>
      </c>
      <c r="D37" s="166">
        <v>0.2151489</v>
      </c>
      <c r="E37" s="166">
        <v>0.2075195</v>
      </c>
      <c r="F37" s="166">
        <v>0.2044678</v>
      </c>
    </row>
    <row r="38" spans="1:7" ht="12.75">
      <c r="A38" s="165" t="s">
        <v>145</v>
      </c>
      <c r="B38" s="166">
        <v>-3.487277E-05</v>
      </c>
      <c r="C38" s="166">
        <v>-1.77088E-05</v>
      </c>
      <c r="D38" s="166">
        <v>0.0001215332</v>
      </c>
      <c r="E38" s="166">
        <v>-1.726185E-05</v>
      </c>
      <c r="F38" s="166">
        <v>-0.0001189264</v>
      </c>
      <c r="G38" s="166">
        <v>0.0002811353</v>
      </c>
    </row>
    <row r="39" spans="1:7" ht="12.75">
      <c r="A39" s="165" t="s">
        <v>146</v>
      </c>
      <c r="B39" s="166">
        <v>0.000126181</v>
      </c>
      <c r="C39" s="166">
        <v>-5.866278E-05</v>
      </c>
      <c r="D39" s="166">
        <v>-0.0001808848</v>
      </c>
      <c r="E39" s="166">
        <v>3.968303E-05</v>
      </c>
      <c r="F39" s="166">
        <v>0.000223149</v>
      </c>
      <c r="G39" s="166">
        <v>0.0003713747</v>
      </c>
    </row>
    <row r="40" spans="2:5" ht="12.75">
      <c r="B40" s="165" t="s">
        <v>147</v>
      </c>
      <c r="C40" s="165">
        <v>0.003752</v>
      </c>
      <c r="D40" s="165" t="s">
        <v>148</v>
      </c>
      <c r="E40" s="165">
        <v>3.116214</v>
      </c>
    </row>
    <row r="42" ht="12.75">
      <c r="A42" s="165" t="s">
        <v>149</v>
      </c>
    </row>
    <row r="50" spans="1:7" ht="12.75">
      <c r="A50" s="165" t="s">
        <v>150</v>
      </c>
      <c r="B50" s="165">
        <f>-0.017/(B7*B7+B22*B22)*(B21*B22+B6*B7)</f>
        <v>-3.487276482473383E-05</v>
      </c>
      <c r="C50" s="165">
        <f>-0.017/(C7*C7+C22*C22)*(C21*C22+C6*C7)</f>
        <v>-1.7708798717377113E-05</v>
      </c>
      <c r="D50" s="165">
        <f>-0.017/(D7*D7+D22*D22)*(D21*D22+D6*D7)</f>
        <v>0.00012153319519310538</v>
      </c>
      <c r="E50" s="165">
        <f>-0.017/(E7*E7+E22*E22)*(E21*E22+E6*E7)</f>
        <v>-1.7261858254837834E-05</v>
      </c>
      <c r="F50" s="165">
        <f>-0.017/(F7*F7+F22*F22)*(F21*F22+F6*F7)</f>
        <v>-0.00011892635022193376</v>
      </c>
      <c r="G50" s="165">
        <f>(B50*B$4+C50*C$4+D50*D$4+E50*E$4+F50*F$4)/SUM(B$4:F$4)</f>
        <v>-1.1675004158009091E-07</v>
      </c>
    </row>
    <row r="51" spans="1:7" ht="12.75">
      <c r="A51" s="165" t="s">
        <v>151</v>
      </c>
      <c r="B51" s="165">
        <f>-0.017/(B7*B7+B22*B22)*(B21*B7-B6*B22)</f>
        <v>0.0001261809539523449</v>
      </c>
      <c r="C51" s="165">
        <f>-0.017/(C7*C7+C22*C22)*(C21*C7-C6*C22)</f>
        <v>-5.8662776994598566E-05</v>
      </c>
      <c r="D51" s="165">
        <f>-0.017/(D7*D7+D22*D22)*(D21*D7-D6*D22)</f>
        <v>-0.00018088473617350966</v>
      </c>
      <c r="E51" s="165">
        <f>-0.017/(E7*E7+E22*E22)*(E21*E7-E6*E22)</f>
        <v>3.968303395123188E-05</v>
      </c>
      <c r="F51" s="165">
        <f>-0.017/(F7*F7+F22*F22)*(F21*F7-F6*F22)</f>
        <v>0.00022314900298157943</v>
      </c>
      <c r="G51" s="165">
        <f>(B51*B$4+C51*C$4+D51*D$4+E51*E$4+F51*F$4)/SUM(B$4:F$4)</f>
        <v>-4.5494636813301185E-08</v>
      </c>
    </row>
    <row r="58" ht="12.75">
      <c r="A58" s="165" t="s">
        <v>153</v>
      </c>
    </row>
    <row r="60" spans="2:6" ht="12.75">
      <c r="B60" s="165" t="s">
        <v>84</v>
      </c>
      <c r="C60" s="165" t="s">
        <v>85</v>
      </c>
      <c r="D60" s="165" t="s">
        <v>86</v>
      </c>
      <c r="E60" s="165" t="s">
        <v>87</v>
      </c>
      <c r="F60" s="165" t="s">
        <v>88</v>
      </c>
    </row>
    <row r="61" spans="1:6" ht="12.75">
      <c r="A61" s="165" t="s">
        <v>155</v>
      </c>
      <c r="B61" s="165">
        <f>B6+(1/0.017)*(B7*B50-B22*B51)</f>
        <v>0</v>
      </c>
      <c r="C61" s="165">
        <f>C6+(1/0.017)*(C7*C50-C22*C51)</f>
        <v>0</v>
      </c>
      <c r="D61" s="165">
        <f>D6+(1/0.017)*(D7*D50-D22*D51)</f>
        <v>0</v>
      </c>
      <c r="E61" s="165">
        <f>E6+(1/0.017)*(E7*E50-E22*E51)</f>
        <v>0</v>
      </c>
      <c r="F61" s="165">
        <f>F6+(1/0.017)*(F7*F50-F22*F51)</f>
        <v>0</v>
      </c>
    </row>
    <row r="62" spans="1:6" ht="12.75">
      <c r="A62" s="165" t="s">
        <v>158</v>
      </c>
      <c r="B62" s="165">
        <f>B7+(2/0.017)*(B8*B50-B23*B51)</f>
        <v>10000.002498473452</v>
      </c>
      <c r="C62" s="165">
        <f>C7+(2/0.017)*(C8*C50-C23*C51)</f>
        <v>9999.997650864565</v>
      </c>
      <c r="D62" s="165">
        <f>D7+(2/0.017)*(D8*D50-D23*D51)</f>
        <v>10000.004988598075</v>
      </c>
      <c r="E62" s="165">
        <f>E7+(2/0.017)*(E8*E50-E23*E51)</f>
        <v>9999.996128029139</v>
      </c>
      <c r="F62" s="165">
        <f>F7+(2/0.017)*(F8*F50-F23*F51)</f>
        <v>9999.774803503777</v>
      </c>
    </row>
    <row r="63" spans="1:6" ht="12.75">
      <c r="A63" s="165" t="s">
        <v>159</v>
      </c>
      <c r="B63" s="165">
        <f>B8+(3/0.017)*(B9*B50-B24*B51)</f>
        <v>-1.3284389597860282</v>
      </c>
      <c r="C63" s="165">
        <f>C8+(3/0.017)*(C9*C50-C24*C51)</f>
        <v>-0.10293000180973454</v>
      </c>
      <c r="D63" s="165">
        <f>D8+(3/0.017)*(D9*D50-D24*D51)</f>
        <v>0.6505692115370832</v>
      </c>
      <c r="E63" s="165">
        <f>E8+(3/0.017)*(E9*E50-E24*E51)</f>
        <v>2.659541803620541</v>
      </c>
      <c r="F63" s="165">
        <f>F8+(3/0.017)*(F9*F50-F24*F51)</f>
        <v>-1.7444205143125444</v>
      </c>
    </row>
    <row r="64" spans="1:6" ht="12.75">
      <c r="A64" s="165" t="s">
        <v>160</v>
      </c>
      <c r="B64" s="165">
        <f>B9+(4/0.017)*(B10*B50-B25*B51)</f>
        <v>0.11022568244840908</v>
      </c>
      <c r="C64" s="165">
        <f>C9+(4/0.017)*(C10*C50-C25*C51)</f>
        <v>-0.4582127717001482</v>
      </c>
      <c r="D64" s="165">
        <f>D9+(4/0.017)*(D10*D50-D25*D51)</f>
        <v>-0.7347612402398335</v>
      </c>
      <c r="E64" s="165">
        <f>E9+(4/0.017)*(E10*E50-E25*E51)</f>
        <v>-0.08612999451304044</v>
      </c>
      <c r="F64" s="165">
        <f>F9+(4/0.017)*(F10*F50-F25*F51)</f>
        <v>-1.4339819697152456</v>
      </c>
    </row>
    <row r="65" spans="1:6" ht="12.75">
      <c r="A65" s="165" t="s">
        <v>161</v>
      </c>
      <c r="B65" s="165">
        <f>B10+(5/0.017)*(B11*B50-B26*B51)</f>
        <v>0.798059324062438</v>
      </c>
      <c r="C65" s="165">
        <f>C10+(5/0.017)*(C11*C50-C26*C51)</f>
        <v>0.46068637489237596</v>
      </c>
      <c r="D65" s="165">
        <f>D10+(5/0.017)*(D11*D50-D26*D51)</f>
        <v>0.5100476616070677</v>
      </c>
      <c r="E65" s="165">
        <f>E10+(5/0.017)*(E11*E50-E26*E51)</f>
        <v>0.05634233418996696</v>
      </c>
      <c r="F65" s="165">
        <f>F10+(5/0.017)*(F11*F50-F26*F51)</f>
        <v>-0.36602715315832685</v>
      </c>
    </row>
    <row r="66" spans="1:6" ht="12.75">
      <c r="A66" s="165" t="s">
        <v>162</v>
      </c>
      <c r="B66" s="165">
        <f>B11+(6/0.017)*(B12*B50-B27*B51)</f>
        <v>3.1380287351680605</v>
      </c>
      <c r="C66" s="165">
        <f>C11+(6/0.017)*(C12*C50-C27*C51)</f>
        <v>2.5224919886475305</v>
      </c>
      <c r="D66" s="165">
        <f>D11+(6/0.017)*(D12*D50-D27*D51)</f>
        <v>3.5117251195284442</v>
      </c>
      <c r="E66" s="165">
        <f>E11+(6/0.017)*(E12*E50-E27*E51)</f>
        <v>3.054769881400543</v>
      </c>
      <c r="F66" s="165">
        <f>F11+(6/0.017)*(F12*F50-F27*F51)</f>
        <v>14.275541234722553</v>
      </c>
    </row>
    <row r="67" spans="1:6" ht="12.75">
      <c r="A67" s="165" t="s">
        <v>163</v>
      </c>
      <c r="B67" s="165">
        <f>B12+(7/0.017)*(B13*B50-B28*B51)</f>
        <v>0.2648579075855144</v>
      </c>
      <c r="C67" s="165">
        <f>C12+(7/0.017)*(C13*C50-C28*C51)</f>
        <v>-0.07104648083305609</v>
      </c>
      <c r="D67" s="165">
        <f>D12+(7/0.017)*(D13*D50-D28*D51)</f>
        <v>0.06644882926513354</v>
      </c>
      <c r="E67" s="165">
        <f>E12+(7/0.017)*(E13*E50-E28*E51)</f>
        <v>0.188511336070362</v>
      </c>
      <c r="F67" s="165">
        <f>F12+(7/0.017)*(F13*F50-F28*F51)</f>
        <v>0.04430459819104693</v>
      </c>
    </row>
    <row r="68" spans="1:6" ht="12.75">
      <c r="A68" s="165" t="s">
        <v>164</v>
      </c>
      <c r="B68" s="165">
        <f>B13+(8/0.017)*(B14*B50-B29*B51)</f>
        <v>0.058471757866965034</v>
      </c>
      <c r="C68" s="165">
        <f>C13+(8/0.017)*(C14*C50-C29*C51)</f>
        <v>-0.17466010125183215</v>
      </c>
      <c r="D68" s="165">
        <f>D13+(8/0.017)*(D14*D50-D29*D51)</f>
        <v>-0.2521202378461571</v>
      </c>
      <c r="E68" s="165">
        <f>E13+(8/0.017)*(E14*E50-E29*E51)</f>
        <v>0.021477162476383465</v>
      </c>
      <c r="F68" s="165">
        <f>F13+(8/0.017)*(F14*F50-F29*F51)</f>
        <v>-0.1410910108096155</v>
      </c>
    </row>
    <row r="69" spans="1:6" ht="12.75">
      <c r="A69" s="165" t="s">
        <v>165</v>
      </c>
      <c r="B69" s="165">
        <f>B14+(9/0.017)*(B15*B50-B30*B51)</f>
        <v>-0.03892391005787368</v>
      </c>
      <c r="C69" s="165">
        <f>C14+(9/0.017)*(C15*C50-C30*C51)</f>
        <v>-0.003060452358703408</v>
      </c>
      <c r="D69" s="165">
        <f>D14+(9/0.017)*(D15*D50-D30*D51)</f>
        <v>-0.02098867326364675</v>
      </c>
      <c r="E69" s="165">
        <f>E14+(9/0.017)*(E15*E50-E30*E51)</f>
        <v>0.0739274098417299</v>
      </c>
      <c r="F69" s="165">
        <f>F14+(9/0.017)*(F15*F50-F30*F51)</f>
        <v>0.037247400064997584</v>
      </c>
    </row>
    <row r="70" spans="1:6" ht="12.75">
      <c r="A70" s="165" t="s">
        <v>166</v>
      </c>
      <c r="B70" s="165">
        <f>B15+(10/0.017)*(B16*B50-B31*B51)</f>
        <v>-0.26826002539384547</v>
      </c>
      <c r="C70" s="165">
        <f>C15+(10/0.017)*(C16*C50-C31*C51)</f>
        <v>0.017077861415457227</v>
      </c>
      <c r="D70" s="165">
        <f>D15+(10/0.017)*(D16*D50-D31*D51)</f>
        <v>-0.02172705342235679</v>
      </c>
      <c r="E70" s="165">
        <f>E15+(10/0.017)*(E16*E50-E31*E51)</f>
        <v>-0.08541340940037526</v>
      </c>
      <c r="F70" s="165">
        <f>F15+(10/0.017)*(F16*F50-F31*F51)</f>
        <v>-0.3838984719565918</v>
      </c>
    </row>
    <row r="71" spans="1:6" ht="12.75">
      <c r="A71" s="165" t="s">
        <v>167</v>
      </c>
      <c r="B71" s="165">
        <f>B16+(11/0.017)*(B17*B50-B32*B51)</f>
        <v>0.02664845065447354</v>
      </c>
      <c r="C71" s="165">
        <f>C16+(11/0.017)*(C17*C50-C32*C51)</f>
        <v>-0.002524206193245972</v>
      </c>
      <c r="D71" s="165">
        <f>D16+(11/0.017)*(D17*D50-D32*D51)</f>
        <v>0.016688194674448365</v>
      </c>
      <c r="E71" s="165">
        <f>E16+(11/0.017)*(E17*E50-E32*E51)</f>
        <v>-0.025664076158760787</v>
      </c>
      <c r="F71" s="165">
        <f>F16+(11/0.017)*(F17*F50-F32*F51)</f>
        <v>-0.027636160787293154</v>
      </c>
    </row>
    <row r="72" spans="1:6" ht="12.75">
      <c r="A72" s="165" t="s">
        <v>168</v>
      </c>
      <c r="B72" s="165">
        <f>B17+(12/0.017)*(B18*B50-B33*B51)</f>
        <v>-0.004120510425339743</v>
      </c>
      <c r="C72" s="165">
        <f>C17+(12/0.017)*(C18*C50-C33*C51)</f>
        <v>0.007727433223445597</v>
      </c>
      <c r="D72" s="165">
        <f>D17+(12/0.017)*(D18*D50-D33*D51)</f>
        <v>0.020326906325503706</v>
      </c>
      <c r="E72" s="165">
        <f>E17+(12/0.017)*(E18*E50-E33*E51)</f>
        <v>0.0033775252714979245</v>
      </c>
      <c r="F72" s="165">
        <f>F17+(12/0.017)*(F18*F50-F33*F51)</f>
        <v>-0.019866102315241316</v>
      </c>
    </row>
    <row r="73" spans="1:6" ht="12.75">
      <c r="A73" s="165" t="s">
        <v>169</v>
      </c>
      <c r="B73" s="165">
        <f>B18+(13/0.017)*(B19*B50-B34*B51)</f>
        <v>0.02961873608517631</v>
      </c>
      <c r="C73" s="165">
        <f>C18+(13/0.017)*(C19*C50-C34*C51)</f>
        <v>0.03445800608235361</v>
      </c>
      <c r="D73" s="165">
        <f>D18+(13/0.017)*(D19*D50-D34*D51)</f>
        <v>0.02281813192086476</v>
      </c>
      <c r="E73" s="165">
        <f>E18+(13/0.017)*(E19*E50-E34*E51)</f>
        <v>0.03928609327010451</v>
      </c>
      <c r="F73" s="165">
        <f>F18+(13/0.017)*(F19*F50-F34*F51)</f>
        <v>0.006288547395676445</v>
      </c>
    </row>
    <row r="74" spans="1:6" ht="12.75">
      <c r="A74" s="165" t="s">
        <v>170</v>
      </c>
      <c r="B74" s="165">
        <f>B19+(14/0.017)*(B20*B50-B35*B51)</f>
        <v>-0.19638505852440236</v>
      </c>
      <c r="C74" s="165">
        <f>C19+(14/0.017)*(C20*C50-C35*C51)</f>
        <v>-0.1874213037599102</v>
      </c>
      <c r="D74" s="165">
        <f>D19+(14/0.017)*(D20*D50-D35*D51)</f>
        <v>-0.18461105039546874</v>
      </c>
      <c r="E74" s="165">
        <f>E19+(14/0.017)*(E20*E50-E35*E51)</f>
        <v>-0.16811143022116704</v>
      </c>
      <c r="F74" s="165">
        <f>F19+(14/0.017)*(F20*F50-F35*F51)</f>
        <v>-0.13842596544527389</v>
      </c>
    </row>
    <row r="75" spans="1:6" ht="12.75">
      <c r="A75" s="165" t="s">
        <v>171</v>
      </c>
      <c r="B75" s="166">
        <f>B20</f>
        <v>-0.001957528</v>
      </c>
      <c r="C75" s="166">
        <f>C20</f>
        <v>-0.00157879</v>
      </c>
      <c r="D75" s="166">
        <f>D20</f>
        <v>-0.002302145</v>
      </c>
      <c r="E75" s="166">
        <f>E20</f>
        <v>-0.002619855</v>
      </c>
      <c r="F75" s="166">
        <f>F20</f>
        <v>0.0007861501</v>
      </c>
    </row>
    <row r="78" ht="12.75">
      <c r="A78" s="165" t="s">
        <v>153</v>
      </c>
    </row>
    <row r="80" spans="2:6" ht="12.75">
      <c r="B80" s="165" t="s">
        <v>84</v>
      </c>
      <c r="C80" s="165" t="s">
        <v>85</v>
      </c>
      <c r="D80" s="165" t="s">
        <v>86</v>
      </c>
      <c r="E80" s="165" t="s">
        <v>87</v>
      </c>
      <c r="F80" s="165" t="s">
        <v>88</v>
      </c>
    </row>
    <row r="81" spans="1:6" ht="12.75">
      <c r="A81" s="165" t="s">
        <v>172</v>
      </c>
      <c r="B81" s="165">
        <f>B21+(1/0.017)*(B7*B51+B22*B50)</f>
        <v>0</v>
      </c>
      <c r="C81" s="165">
        <f>C21+(1/0.017)*(C7*C51+C22*C50)</f>
        <v>0</v>
      </c>
      <c r="D81" s="165">
        <f>D21+(1/0.017)*(D7*D51+D22*D50)</f>
        <v>0</v>
      </c>
      <c r="E81" s="165">
        <f>E21+(1/0.017)*(E7*E51+E22*E50)</f>
        <v>0</v>
      </c>
      <c r="F81" s="165">
        <f>F21+(1/0.017)*(F7*F51+F22*F50)</f>
        <v>0</v>
      </c>
    </row>
    <row r="82" spans="1:6" ht="12.75">
      <c r="A82" s="165" t="s">
        <v>173</v>
      </c>
      <c r="B82" s="165">
        <f>B22+(2/0.017)*(B8*B51+B23*B50)</f>
        <v>110.46468998730126</v>
      </c>
      <c r="C82" s="165">
        <f>C22+(2/0.017)*(C8*C51+C23*C50)</f>
        <v>39.42208477741858</v>
      </c>
      <c r="D82" s="165">
        <f>D22+(2/0.017)*(D8*D51+D23*D50)</f>
        <v>-16.78952030316865</v>
      </c>
      <c r="E82" s="165">
        <f>E22+(2/0.017)*(E8*E51+E23*E50)</f>
        <v>-32.760904607916345</v>
      </c>
      <c r="F82" s="165">
        <f>F22+(2/0.017)*(F8*F51+F23*F50)</f>
        <v>-100.90864958693118</v>
      </c>
    </row>
    <row r="83" spans="1:6" ht="12.75">
      <c r="A83" s="165" t="s">
        <v>174</v>
      </c>
      <c r="B83" s="165">
        <f>B23+(3/0.017)*(B9*B51+B24*B50)</f>
        <v>0.16547999240310773</v>
      </c>
      <c r="C83" s="165">
        <f>C23+(3/0.017)*(C9*C51+C24*C50)</f>
        <v>-0.37287009320164716</v>
      </c>
      <c r="D83" s="165">
        <f>D23+(3/0.017)*(D9*D51+D24*D50)</f>
        <v>-0.13739062206150854</v>
      </c>
      <c r="E83" s="165">
        <f>E23+(3/0.017)*(E9*E51+E24*E50)</f>
        <v>-0.33364112245346034</v>
      </c>
      <c r="F83" s="165">
        <f>F23+(3/0.017)*(F9*F51+F24*F50)</f>
        <v>9.393095577520358</v>
      </c>
    </row>
    <row r="84" spans="1:6" ht="12.75">
      <c r="A84" s="165" t="s">
        <v>175</v>
      </c>
      <c r="B84" s="165">
        <f>B24+(4/0.017)*(B10*B51+B25*B50)</f>
        <v>2.8920753866626248</v>
      </c>
      <c r="C84" s="165">
        <f>C24+(4/0.017)*(C10*C51+C25*C50)</f>
        <v>0.8947213543737601</v>
      </c>
      <c r="D84" s="165">
        <f>D24+(4/0.017)*(D10*D51+D25*D50)</f>
        <v>1.194192262813871</v>
      </c>
      <c r="E84" s="165">
        <f>E24+(4/0.017)*(E10*E51+E25*E50)</f>
        <v>0.9204944207158098</v>
      </c>
      <c r="F84" s="165">
        <f>F24+(4/0.017)*(F10*F51+F25*F50)</f>
        <v>1.7656906589457453</v>
      </c>
    </row>
    <row r="85" spans="1:6" ht="12.75">
      <c r="A85" s="165" t="s">
        <v>176</v>
      </c>
      <c r="B85" s="165">
        <f>B25+(5/0.017)*(B11*B51+B26*B50)</f>
        <v>-0.8205889635972449</v>
      </c>
      <c r="C85" s="165">
        <f>C25+(5/0.017)*(C11*C51+C26*C50)</f>
        <v>-0.776956816083151</v>
      </c>
      <c r="D85" s="165">
        <f>D25+(5/0.017)*(D11*D51+D26*D50)</f>
        <v>-0.7672469573428429</v>
      </c>
      <c r="E85" s="165">
        <f>E25+(5/0.017)*(E11*E51+E26*E50)</f>
        <v>-1.103778539210924</v>
      </c>
      <c r="F85" s="165">
        <f>F25+(5/0.017)*(F11*F51+F26*F50)</f>
        <v>-1.0854988351444153</v>
      </c>
    </row>
    <row r="86" spans="1:6" ht="12.75">
      <c r="A86" s="165" t="s">
        <v>177</v>
      </c>
      <c r="B86" s="165">
        <f>B26+(6/0.017)*(B12*B51+B27*B50)</f>
        <v>0.28973880713570854</v>
      </c>
      <c r="C86" s="165">
        <f>C26+(6/0.017)*(C12*C51+C27*C50)</f>
        <v>-0.5125014933642086</v>
      </c>
      <c r="D86" s="165">
        <f>D26+(6/0.017)*(D12*D51+D27*D50)</f>
        <v>-0.24064168085519724</v>
      </c>
      <c r="E86" s="165">
        <f>E26+(6/0.017)*(E12*E51+E27*E50)</f>
        <v>-0.2382136212128677</v>
      </c>
      <c r="F86" s="165">
        <f>F26+(6/0.017)*(F12*F51+F27*F50)</f>
        <v>0.8344477691792398</v>
      </c>
    </row>
    <row r="87" spans="1:6" ht="12.75">
      <c r="A87" s="165" t="s">
        <v>178</v>
      </c>
      <c r="B87" s="165">
        <f>B27+(7/0.017)*(B13*B51+B28*B50)</f>
        <v>0.16460007933330023</v>
      </c>
      <c r="C87" s="165">
        <f>C27+(7/0.017)*(C13*C51+C28*C50)</f>
        <v>0.3500587177140959</v>
      </c>
      <c r="D87" s="165">
        <f>D27+(7/0.017)*(D13*D51+D28*D50)</f>
        <v>0.46894464375575456</v>
      </c>
      <c r="E87" s="165">
        <f>E27+(7/0.017)*(E13*E51+E28*E50)</f>
        <v>0.3054653309459488</v>
      </c>
      <c r="F87" s="165">
        <f>F27+(7/0.017)*(F13*F51+F28*F50)</f>
        <v>0.836720061310647</v>
      </c>
    </row>
    <row r="88" spans="1:6" ht="12.75">
      <c r="A88" s="165" t="s">
        <v>179</v>
      </c>
      <c r="B88" s="165">
        <f>B28+(8/0.017)*(B14*B51+B29*B50)</f>
        <v>0.22464354031770992</v>
      </c>
      <c r="C88" s="165">
        <f>C28+(8/0.017)*(C14*C51+C29*C50)</f>
        <v>0.0685428412541118</v>
      </c>
      <c r="D88" s="165">
        <f>D28+(8/0.017)*(D14*D51+D29*D50)</f>
        <v>0.12343948266473719</v>
      </c>
      <c r="E88" s="165">
        <f>E28+(8/0.017)*(E14*E51+E29*E50)</f>
        <v>0.028830210996654164</v>
      </c>
      <c r="F88" s="165">
        <f>F28+(8/0.017)*(F14*F51+F29*F50)</f>
        <v>0.48067326297618657</v>
      </c>
    </row>
    <row r="89" spans="1:6" ht="12.75">
      <c r="A89" s="165" t="s">
        <v>180</v>
      </c>
      <c r="B89" s="165">
        <f>B29+(9/0.017)*(B15*B51+B30*B50)</f>
        <v>-0.009792012945833636</v>
      </c>
      <c r="C89" s="165">
        <f>C29+(9/0.017)*(C15*C51+C30*C50)</f>
        <v>0.014031489843680888</v>
      </c>
      <c r="D89" s="165">
        <f>D29+(9/0.017)*(D15*D51+D30*D50)</f>
        <v>0.0031082322677778904</v>
      </c>
      <c r="E89" s="165">
        <f>E29+(9/0.017)*(E15*E51+E30*E50)</f>
        <v>0.010440325719698265</v>
      </c>
      <c r="F89" s="165">
        <f>F29+(9/0.017)*(F15*F51+F30*F50)</f>
        <v>0.016723508550438533</v>
      </c>
    </row>
    <row r="90" spans="1:6" ht="12.75">
      <c r="A90" s="165" t="s">
        <v>181</v>
      </c>
      <c r="B90" s="165">
        <f>B30+(10/0.017)*(B16*B51+B31*B50)</f>
        <v>0.04036042950049887</v>
      </c>
      <c r="C90" s="165">
        <f>C30+(10/0.017)*(C16*C51+C31*C50)</f>
        <v>-0.039092775927977066</v>
      </c>
      <c r="D90" s="165">
        <f>D30+(10/0.017)*(D16*D51+D31*D50)</f>
        <v>-0.0030692985943197642</v>
      </c>
      <c r="E90" s="165">
        <f>E30+(10/0.017)*(E16*E51+E31*E50)</f>
        <v>0.007847077502733491</v>
      </c>
      <c r="F90" s="165">
        <f>F30+(10/0.017)*(F16*F51+F31*F50)</f>
        <v>0.18524936747025364</v>
      </c>
    </row>
    <row r="91" spans="1:6" ht="12.75">
      <c r="A91" s="165" t="s">
        <v>182</v>
      </c>
      <c r="B91" s="165">
        <f>B31+(11/0.017)*(B17*B51+B32*B50)</f>
        <v>0.025976065388139995</v>
      </c>
      <c r="C91" s="165">
        <f>C31+(11/0.017)*(C17*C51+C32*C50)</f>
        <v>0.05294131403433624</v>
      </c>
      <c r="D91" s="165">
        <f>D31+(11/0.017)*(D17*D51+D32*D50)</f>
        <v>0.05178809885429639</v>
      </c>
      <c r="E91" s="165">
        <f>E31+(11/0.017)*(E17*E51+E32*E50)</f>
        <v>0.04548567186973565</v>
      </c>
      <c r="F91" s="165">
        <f>F31+(11/0.017)*(F17*F51+F32*F50)</f>
        <v>0.07406333015272708</v>
      </c>
    </row>
    <row r="92" spans="1:6" ht="12.75">
      <c r="A92" s="165" t="s">
        <v>183</v>
      </c>
      <c r="B92" s="165">
        <f>B32+(12/0.017)*(B18*B51+B33*B50)</f>
        <v>0.011516510970225354</v>
      </c>
      <c r="C92" s="165">
        <f>C32+(12/0.017)*(C18*C51+C33*C50)</f>
        <v>0.01786125809906027</v>
      </c>
      <c r="D92" s="165">
        <f>D32+(12/0.017)*(D18*D51+D33*D50)</f>
        <v>0.01803712339116546</v>
      </c>
      <c r="E92" s="165">
        <f>E32+(12/0.017)*(E18*E51+E33*E50)</f>
        <v>0.00832051070589427</v>
      </c>
      <c r="F92" s="165">
        <f>F32+(12/0.017)*(F18*F51+F33*F50)</f>
        <v>0.04539522761259866</v>
      </c>
    </row>
    <row r="93" spans="1:6" ht="12.75">
      <c r="A93" s="165" t="s">
        <v>184</v>
      </c>
      <c r="B93" s="165">
        <f>B33+(13/0.017)*(B19*B51+B34*B50)</f>
        <v>0.050636453252250774</v>
      </c>
      <c r="C93" s="165">
        <f>C33+(13/0.017)*(C19*C51+C34*C50)</f>
        <v>0.05466499400616374</v>
      </c>
      <c r="D93" s="165">
        <f>D33+(13/0.017)*(D19*D51+D34*D50)</f>
        <v>0.050165915275074975</v>
      </c>
      <c r="E93" s="165">
        <f>E33+(13/0.017)*(E19*E51+E34*E50)</f>
        <v>0.048449738417528775</v>
      </c>
      <c r="F93" s="165">
        <f>F33+(13/0.017)*(F19*F51+F34*F50)</f>
        <v>0.026270444509133538</v>
      </c>
    </row>
    <row r="94" spans="1:6" ht="12.75">
      <c r="A94" s="165" t="s">
        <v>185</v>
      </c>
      <c r="B94" s="165">
        <f>B34+(14/0.017)*(B20*B51+B35*B50)</f>
        <v>0.00025239652697355756</v>
      </c>
      <c r="C94" s="165">
        <f>C34+(14/0.017)*(C20*C51+C35*C50)</f>
        <v>0.006786278360420346</v>
      </c>
      <c r="D94" s="165">
        <f>D34+(14/0.017)*(D20*D51+D35*D50)</f>
        <v>0.015423452479238285</v>
      </c>
      <c r="E94" s="165">
        <f>E34+(14/0.017)*(E20*E51+E35*E50)</f>
        <v>0.020447464391039148</v>
      </c>
      <c r="F94" s="165">
        <f>F34+(14/0.017)*(F20*F51+F35*F50)</f>
        <v>-0.01683482607750037</v>
      </c>
    </row>
    <row r="95" spans="1:6" ht="12.75">
      <c r="A95" s="165" t="s">
        <v>186</v>
      </c>
      <c r="B95" s="166">
        <f>B35</f>
        <v>-0.001130974</v>
      </c>
      <c r="C95" s="166">
        <f>C35</f>
        <v>-0.002933696</v>
      </c>
      <c r="D95" s="166">
        <f>D35</f>
        <v>-0.004551019</v>
      </c>
      <c r="E95" s="166">
        <f>E35</f>
        <v>-0.00251917</v>
      </c>
      <c r="F95" s="166">
        <f>F35</f>
        <v>0.0006675223</v>
      </c>
    </row>
    <row r="98" ht="12.75">
      <c r="A98" s="165" t="s">
        <v>154</v>
      </c>
    </row>
    <row r="100" spans="2:11" ht="12.75">
      <c r="B100" s="165" t="s">
        <v>84</v>
      </c>
      <c r="C100" s="165" t="s">
        <v>85</v>
      </c>
      <c r="D100" s="165" t="s">
        <v>86</v>
      </c>
      <c r="E100" s="165" t="s">
        <v>87</v>
      </c>
      <c r="F100" s="165" t="s">
        <v>88</v>
      </c>
      <c r="G100" s="165" t="s">
        <v>156</v>
      </c>
      <c r="H100" s="165" t="s">
        <v>157</v>
      </c>
      <c r="I100" s="165" t="s">
        <v>152</v>
      </c>
      <c r="K100" s="165" t="s">
        <v>187</v>
      </c>
    </row>
    <row r="101" spans="1:9" ht="12.75">
      <c r="A101" s="165" t="s">
        <v>155</v>
      </c>
      <c r="B101" s="165">
        <f>B61*10000/B62</f>
        <v>0</v>
      </c>
      <c r="C101" s="165">
        <f>C61*10000/C62</f>
        <v>0</v>
      </c>
      <c r="D101" s="165">
        <f>D61*10000/D62</f>
        <v>0</v>
      </c>
      <c r="E101" s="165">
        <f>E61*10000/E62</f>
        <v>0</v>
      </c>
      <c r="F101" s="165">
        <f>F61*10000/F62</f>
        <v>0</v>
      </c>
      <c r="G101" s="165">
        <f>AVERAGE(C101:E101)</f>
        <v>0</v>
      </c>
      <c r="H101" s="165">
        <f>STDEV(C101:E101)</f>
        <v>0</v>
      </c>
      <c r="I101" s="165">
        <f>(B101*B4+C101*C4+D101*D4+E101*E4+F101*F4)/SUM(B4:F4)</f>
        <v>0</v>
      </c>
    </row>
    <row r="102" spans="1:9" ht="12.75">
      <c r="A102" s="165" t="s">
        <v>158</v>
      </c>
      <c r="B102" s="165">
        <f>B62*10000/B62</f>
        <v>10000</v>
      </c>
      <c r="C102" s="165">
        <f>C62*10000/C62</f>
        <v>10000</v>
      </c>
      <c r="D102" s="165">
        <f>D62*10000/D62</f>
        <v>10000</v>
      </c>
      <c r="E102" s="165">
        <f>E62*10000/E62</f>
        <v>10000</v>
      </c>
      <c r="F102" s="165">
        <f>F62*10000/F62</f>
        <v>10000</v>
      </c>
      <c r="G102" s="165">
        <f>AVERAGE(C102:E102)</f>
        <v>10000</v>
      </c>
      <c r="H102" s="165">
        <f>STDEV(C102:E102)</f>
        <v>0</v>
      </c>
      <c r="I102" s="165">
        <f>(B102*B4+C102*C4+D102*D4+E102*E4+F102*F4)/SUM(B4:F4)</f>
        <v>10000</v>
      </c>
    </row>
    <row r="103" spans="1:11" ht="12.75">
      <c r="A103" s="165" t="s">
        <v>159</v>
      </c>
      <c r="B103" s="165">
        <f>B63*10000/B62</f>
        <v>-1.3284386278791638</v>
      </c>
      <c r="C103" s="165">
        <f>C63*10000/C62</f>
        <v>-0.10293002598939167</v>
      </c>
      <c r="D103" s="165">
        <f>D63*10000/D62</f>
        <v>0.6505688869944135</v>
      </c>
      <c r="E103" s="165">
        <f>E63*10000/E62</f>
        <v>2.6595428333877766</v>
      </c>
      <c r="F103" s="165">
        <f>F63*10000/F62</f>
        <v>-1.7444597989359967</v>
      </c>
      <c r="G103" s="165">
        <f>AVERAGE(C103:E103)</f>
        <v>1.0690605647975995</v>
      </c>
      <c r="H103" s="165">
        <f>STDEV(C103:E103)</f>
        <v>1.4279935356967695</v>
      </c>
      <c r="I103" s="165">
        <f>(B103*B4+C103*C4+D103*D4+E103*E4+F103*F4)/SUM(B4:F4)</f>
        <v>0.34641739137295907</v>
      </c>
      <c r="K103" s="165">
        <f>(LN(H103)+LN(H123))/2-LN(K114*K115^3)</f>
        <v>-4.735502302992974</v>
      </c>
    </row>
    <row r="104" spans="1:11" ht="12.75">
      <c r="A104" s="165" t="s">
        <v>160</v>
      </c>
      <c r="B104" s="165">
        <f>B64*10000/B62</f>
        <v>0.11022565490882184</v>
      </c>
      <c r="C104" s="165">
        <f>C64*10000/C62</f>
        <v>-0.4582128793405594</v>
      </c>
      <c r="D104" s="165">
        <f>D64*10000/D62</f>
        <v>-0.7347608736971655</v>
      </c>
      <c r="E104" s="165">
        <f>E64*10000/E62</f>
        <v>-0.08613002786233626</v>
      </c>
      <c r="F104" s="165">
        <f>F64*10000/F62</f>
        <v>-1.4340142632140065</v>
      </c>
      <c r="G104" s="165">
        <f>AVERAGE(C104:E104)</f>
        <v>-0.42636792696668707</v>
      </c>
      <c r="H104" s="165">
        <f>STDEV(C104:E104)</f>
        <v>0.3254858972150284</v>
      </c>
      <c r="I104" s="165">
        <f>(B104*B4+C104*C4+D104*D4+E104*E4+F104*F4)/SUM(B4:F4)</f>
        <v>-0.48359833342592456</v>
      </c>
      <c r="K104" s="165">
        <f>(LN(H104)+LN(H124))/2-LN(K114*K115^4)</f>
        <v>-4.746459604259716</v>
      </c>
    </row>
    <row r="105" spans="1:11" ht="12.75">
      <c r="A105" s="165" t="s">
        <v>161</v>
      </c>
      <c r="B105" s="165">
        <f>B65*10000/B62</f>
        <v>0.7980591246694844</v>
      </c>
      <c r="C105" s="165">
        <f>C65*10000/C62</f>
        <v>0.46068648311387017</v>
      </c>
      <c r="D105" s="165">
        <f>D65*10000/D62</f>
        <v>0.5100474071649163</v>
      </c>
      <c r="E105" s="165">
        <f>E65*10000/E62</f>
        <v>0.056342356005563025</v>
      </c>
      <c r="F105" s="165">
        <f>F65*10000/F62</f>
        <v>-0.36603539614719743</v>
      </c>
      <c r="G105" s="165">
        <f>AVERAGE(C105:E105)</f>
        <v>0.34235874876144984</v>
      </c>
      <c r="H105" s="165">
        <f>STDEV(C105:E105)</f>
        <v>0.24892400024828973</v>
      </c>
      <c r="I105" s="165">
        <f>(B105*B4+C105*C4+D105*D4+E105*E4+F105*F4)/SUM(B4:F4)</f>
        <v>0.31349920975254203</v>
      </c>
      <c r="K105" s="165">
        <f>(LN(H105)+LN(H125))/2-LN(K114*K115^5)</f>
        <v>-4.217517610111162</v>
      </c>
    </row>
    <row r="106" spans="1:11" ht="12.75">
      <c r="A106" s="165" t="s">
        <v>162</v>
      </c>
      <c r="B106" s="165">
        <f>B66*10000/B62</f>
        <v>3.1380279511401077</v>
      </c>
      <c r="C106" s="165">
        <f>C66*10000/C62</f>
        <v>2.522492581215201</v>
      </c>
      <c r="D106" s="165">
        <f>D66*10000/D62</f>
        <v>3.5117233676708013</v>
      </c>
      <c r="E106" s="165">
        <f>E66*10000/E62</f>
        <v>3.054771064198998</v>
      </c>
      <c r="F106" s="165">
        <f>F66*10000/F62</f>
        <v>14.275862722149112</v>
      </c>
      <c r="G106" s="165">
        <f>AVERAGE(C106:E106)</f>
        <v>3.0296623376949996</v>
      </c>
      <c r="H106" s="165">
        <f>STDEV(C106:E106)</f>
        <v>0.4950931461128127</v>
      </c>
      <c r="I106" s="165">
        <f>(B106*B4+C106*C4+D106*D4+E106*E4+F106*F4)/SUM(B4:F4)</f>
        <v>4.548487016866579</v>
      </c>
      <c r="K106" s="165">
        <f>(LN(H106)+LN(H126))/2-LN(K114*K115^6)</f>
        <v>-3.3797611355977883</v>
      </c>
    </row>
    <row r="107" spans="1:11" ht="12.75">
      <c r="A107" s="165" t="s">
        <v>163</v>
      </c>
      <c r="B107" s="165">
        <f>B67*10000/B62</f>
        <v>0.2648578414114859</v>
      </c>
      <c r="C107" s="165">
        <f>C67*10000/C62</f>
        <v>-0.07104649752284058</v>
      </c>
      <c r="D107" s="165">
        <f>D67*10000/D62</f>
        <v>0.0664487961164999</v>
      </c>
      <c r="E107" s="165">
        <f>E67*10000/E62</f>
        <v>0.18851140906143027</v>
      </c>
      <c r="F107" s="165">
        <f>F67*10000/F62</f>
        <v>0.04430559593754375</v>
      </c>
      <c r="G107" s="165">
        <f>AVERAGE(C107:E107)</f>
        <v>0.06130456921836319</v>
      </c>
      <c r="H107" s="165">
        <f>STDEV(C107:E107)</f>
        <v>0.12985539657783537</v>
      </c>
      <c r="I107" s="165">
        <f>(B107*B4+C107*C4+D107*D4+E107*E4+F107*F4)/SUM(B4:F4)</f>
        <v>0.08838031008146682</v>
      </c>
      <c r="K107" s="165">
        <f>(LN(H107)+LN(H127))/2-LN(K114*K115^7)</f>
        <v>-3.7694314933225557</v>
      </c>
    </row>
    <row r="108" spans="1:9" ht="12.75">
      <c r="A108" s="165" t="s">
        <v>164</v>
      </c>
      <c r="B108" s="165">
        <f>B68*10000/B62</f>
        <v>0.05847174325795522</v>
      </c>
      <c r="C108" s="165">
        <f>C68*10000/C62</f>
        <v>-0.17466014228186508</v>
      </c>
      <c r="D108" s="165">
        <f>D68*10000/D62</f>
        <v>-0.25212011207356655</v>
      </c>
      <c r="E108" s="165">
        <f>E68*10000/E62</f>
        <v>0.02147717079228141</v>
      </c>
      <c r="F108" s="165">
        <f>F68*10000/F62</f>
        <v>-0.14109418820129754</v>
      </c>
      <c r="G108" s="165">
        <f>AVERAGE(C108:E108)</f>
        <v>-0.1351010278543834</v>
      </c>
      <c r="H108" s="165">
        <f>STDEV(C108:E108)</f>
        <v>0.1410232638560342</v>
      </c>
      <c r="I108" s="165">
        <f>(B108*B4+C108*C4+D108*D4+E108*E4+F108*F4)/SUM(B4:F4)</f>
        <v>-0.10796537897441115</v>
      </c>
    </row>
    <row r="109" spans="1:9" ht="12.75">
      <c r="A109" s="165" t="s">
        <v>165</v>
      </c>
      <c r="B109" s="165">
        <f>B69*10000/B62</f>
        <v>-0.038923900332840516</v>
      </c>
      <c r="C109" s="165">
        <f>C69*10000/C62</f>
        <v>-0.003060453077645285</v>
      </c>
      <c r="D109" s="165">
        <f>D69*10000/D62</f>
        <v>-0.020988662793246467</v>
      </c>
      <c r="E109" s="165">
        <f>E69*10000/E62</f>
        <v>0.07392743846621865</v>
      </c>
      <c r="F109" s="165">
        <f>F69*10000/F62</f>
        <v>0.03724823888228626</v>
      </c>
      <c r="G109" s="165">
        <f>AVERAGE(C109:E109)</f>
        <v>0.01662610753177563</v>
      </c>
      <c r="H109" s="165">
        <f>STDEV(C109:E109)</f>
        <v>0.05042754278214992</v>
      </c>
      <c r="I109" s="165">
        <f>(B109*B4+C109*C4+D109*D4+E109*E4+F109*F4)/SUM(B4:F4)</f>
        <v>0.011355743274441834</v>
      </c>
    </row>
    <row r="110" spans="1:11" ht="12.75">
      <c r="A110" s="165" t="s">
        <v>166</v>
      </c>
      <c r="B110" s="165">
        <f>B70*10000/B62</f>
        <v>-0.2682599583698071</v>
      </c>
      <c r="C110" s="165">
        <f>C70*10000/C62</f>
        <v>0.01707786542727911</v>
      </c>
      <c r="D110" s="165">
        <f>D70*10000/D62</f>
        <v>-0.02172704258360851</v>
      </c>
      <c r="E110" s="165">
        <f>E70*10000/E62</f>
        <v>-0.08541344247221129</v>
      </c>
      <c r="F110" s="165">
        <f>F70*10000/F62</f>
        <v>-0.38390711741036343</v>
      </c>
      <c r="G110" s="165">
        <f>AVERAGE(C110:E110)</f>
        <v>-0.030020873209513563</v>
      </c>
      <c r="H110" s="165">
        <f>STDEV(C110:E110)</f>
        <v>0.05174657252973801</v>
      </c>
      <c r="I110" s="165">
        <f>(B110*B4+C110*C4+D110*D4+E110*E4+F110*F4)/SUM(B4:F4)</f>
        <v>-0.11171039340946277</v>
      </c>
      <c r="K110" s="165">
        <f>EXP(AVERAGE(K103:K107))</f>
        <v>0.015456364337069472</v>
      </c>
    </row>
    <row r="111" spans="1:9" ht="12.75">
      <c r="A111" s="165" t="s">
        <v>167</v>
      </c>
      <c r="B111" s="165">
        <f>B71*10000/B62</f>
        <v>0.026648443996430553</v>
      </c>
      <c r="C111" s="165">
        <f>C71*10000/C62</f>
        <v>-0.0025242067862163327</v>
      </c>
      <c r="D111" s="165">
        <f>D71*10000/D62</f>
        <v>0.016688186349382936</v>
      </c>
      <c r="E111" s="165">
        <f>E71*10000/E62</f>
        <v>-0.02566408609582014</v>
      </c>
      <c r="F111" s="165">
        <f>F71*10000/F62</f>
        <v>-0.027636783157966558</v>
      </c>
      <c r="G111" s="165">
        <f>AVERAGE(C111:E111)</f>
        <v>-0.003833368844217845</v>
      </c>
      <c r="H111" s="165">
        <f>STDEV(C111:E111)</f>
        <v>0.0212064653888563</v>
      </c>
      <c r="I111" s="165">
        <f>(B111*B4+C111*C4+D111*D4+E111*E4+F111*F4)/SUM(B4:F4)</f>
        <v>-0.0026136901344848596</v>
      </c>
    </row>
    <row r="112" spans="1:9" ht="12.75">
      <c r="A112" s="165" t="s">
        <v>168</v>
      </c>
      <c r="B112" s="165">
        <f>B72*10000/B62</f>
        <v>-0.0041205093958414105</v>
      </c>
      <c r="C112" s="165">
        <f>C72*10000/C62</f>
        <v>0.007727435038724744</v>
      </c>
      <c r="D112" s="165">
        <f>D72*10000/D62</f>
        <v>0.020326896185232188</v>
      </c>
      <c r="E112" s="165">
        <f>E72*10000/E62</f>
        <v>0.003377526579266374</v>
      </c>
      <c r="F112" s="165">
        <f>F72*10000/F62</f>
        <v>-0.01986654970297983</v>
      </c>
      <c r="G112" s="165">
        <f>AVERAGE(C112:E112)</f>
        <v>0.01047728593440777</v>
      </c>
      <c r="H112" s="165">
        <f>STDEV(C112:E112)</f>
        <v>0.008802928062370837</v>
      </c>
      <c r="I112" s="165">
        <f>(B112*B4+C112*C4+D112*D4+E112*E4+F112*F4)/SUM(B4:F4)</f>
        <v>0.0043124405199635694</v>
      </c>
    </row>
    <row r="113" spans="1:9" ht="12.75">
      <c r="A113" s="165" t="s">
        <v>169</v>
      </c>
      <c r="B113" s="165">
        <f>B73*10000/B62</f>
        <v>0.029618728685015583</v>
      </c>
      <c r="C113" s="165">
        <f>C73*10000/C62</f>
        <v>0.03445801417700782</v>
      </c>
      <c r="D113" s="165">
        <f>D73*10000/D62</f>
        <v>0.02281812053782154</v>
      </c>
      <c r="E113" s="165">
        <f>E73*10000/E62</f>
        <v>0.03928610848157124</v>
      </c>
      <c r="F113" s="165">
        <f>F73*10000/F62</f>
        <v>0.006288689014749641</v>
      </c>
      <c r="G113" s="165">
        <f>AVERAGE(C113:E113)</f>
        <v>0.032187414398800206</v>
      </c>
      <c r="H113" s="165">
        <f>STDEV(C113:E113)</f>
        <v>0.00846554039878545</v>
      </c>
      <c r="I113" s="165">
        <f>(B113*B4+C113*C4+D113*D4+E113*E4+F113*F4)/SUM(B4:F4)</f>
        <v>0.028355233369730316</v>
      </c>
    </row>
    <row r="114" spans="1:11" ht="12.75">
      <c r="A114" s="165" t="s">
        <v>170</v>
      </c>
      <c r="B114" s="165">
        <f>B74*10000/B62</f>
        <v>-0.1963850094581291</v>
      </c>
      <c r="C114" s="165">
        <f>C74*10000/C62</f>
        <v>-0.18742134778772315</v>
      </c>
      <c r="D114" s="165">
        <f>D74*10000/D62</f>
        <v>-0.1846109583004816</v>
      </c>
      <c r="E114" s="165">
        <f>E74*10000/E62</f>
        <v>-0.16811149531344816</v>
      </c>
      <c r="F114" s="165">
        <f>F74*10000/F62</f>
        <v>-0.13842908281971653</v>
      </c>
      <c r="G114" s="165">
        <f>AVERAGE(C114:E114)</f>
        <v>-0.18004793380055095</v>
      </c>
      <c r="H114" s="165">
        <f>STDEV(C114:E114)</f>
        <v>0.01043232932210229</v>
      </c>
      <c r="I114" s="165">
        <f>(B114*B4+C114*C4+D114*D4+E114*E4+F114*F4)/SUM(B4:F4)</f>
        <v>-0.17684574899818314</v>
      </c>
      <c r="J114" s="165" t="s">
        <v>188</v>
      </c>
      <c r="K114" s="165">
        <v>285</v>
      </c>
    </row>
    <row r="115" spans="1:11" ht="12.75">
      <c r="A115" s="165" t="s">
        <v>171</v>
      </c>
      <c r="B115" s="165">
        <f>B75*10000/B62</f>
        <v>-0.001957527510916948</v>
      </c>
      <c r="C115" s="165">
        <f>C75*10000/C62</f>
        <v>-0.0015787903708792406</v>
      </c>
      <c r="D115" s="165">
        <f>D75*10000/D62</f>
        <v>-0.002302143851552961</v>
      </c>
      <c r="E115" s="165">
        <f>E75*10000/E62</f>
        <v>-0.0026198560144006146</v>
      </c>
      <c r="F115" s="165">
        <f>F75*10000/F62</f>
        <v>0.0007861678042234956</v>
      </c>
      <c r="G115" s="165">
        <f>AVERAGE(C115:E115)</f>
        <v>-0.002166930078944272</v>
      </c>
      <c r="H115" s="165">
        <f>STDEV(C115:E115)</f>
        <v>0.0005335414620790477</v>
      </c>
      <c r="I115" s="165">
        <f>(B115*B4+C115*C4+D115*D4+E115*E4+F115*F4)/SUM(B4:F4)</f>
        <v>-0.0017417497153976744</v>
      </c>
      <c r="J115" s="165" t="s">
        <v>189</v>
      </c>
      <c r="K115" s="165">
        <v>0.5536</v>
      </c>
    </row>
    <row r="118" ht="12.75">
      <c r="A118" s="165" t="s">
        <v>154</v>
      </c>
    </row>
    <row r="120" spans="2:9" ht="12.75">
      <c r="B120" s="165" t="s">
        <v>84</v>
      </c>
      <c r="C120" s="165" t="s">
        <v>85</v>
      </c>
      <c r="D120" s="165" t="s">
        <v>86</v>
      </c>
      <c r="E120" s="165" t="s">
        <v>87</v>
      </c>
      <c r="F120" s="165" t="s">
        <v>88</v>
      </c>
      <c r="G120" s="165" t="s">
        <v>156</v>
      </c>
      <c r="H120" s="165" t="s">
        <v>157</v>
      </c>
      <c r="I120" s="165" t="s">
        <v>152</v>
      </c>
    </row>
    <row r="121" spans="1:9" ht="12.75">
      <c r="A121" s="165" t="s">
        <v>172</v>
      </c>
      <c r="B121" s="165">
        <f>B81*10000/B62</f>
        <v>0</v>
      </c>
      <c r="C121" s="165">
        <f>C81*10000/C62</f>
        <v>0</v>
      </c>
      <c r="D121" s="165">
        <f>D81*10000/D62</f>
        <v>0</v>
      </c>
      <c r="E121" s="165">
        <f>E81*10000/E62</f>
        <v>0</v>
      </c>
      <c r="F121" s="165">
        <f>F81*10000/F62</f>
        <v>0</v>
      </c>
      <c r="G121" s="165">
        <f>AVERAGE(C121:E121)</f>
        <v>0</v>
      </c>
      <c r="H121" s="165">
        <f>STDEV(C121:E121)</f>
        <v>0</v>
      </c>
      <c r="I121" s="165">
        <f>(B121*B4+C121*C4+D121*D4+E121*E4+F121*F4)/SUM(B4:F4)</f>
        <v>0</v>
      </c>
    </row>
    <row r="122" spans="1:9" ht="12.75">
      <c r="A122" s="165" t="s">
        <v>173</v>
      </c>
      <c r="B122" s="165">
        <f>B82*10000/B62</f>
        <v>110.46466238799862</v>
      </c>
      <c r="C122" s="165">
        <f>C82*10000/C62</f>
        <v>39.42209403820239</v>
      </c>
      <c r="D122" s="165">
        <f>D82*10000/D62</f>
        <v>-16.789511927555964</v>
      </c>
      <c r="E122" s="165">
        <f>E82*10000/E62</f>
        <v>-32.760917292848056</v>
      </c>
      <c r="F122" s="165">
        <f>F82*10000/F62</f>
        <v>-100.91092206553915</v>
      </c>
      <c r="G122" s="165">
        <f>AVERAGE(C122:E122)</f>
        <v>-3.3761117274005437</v>
      </c>
      <c r="H122" s="165">
        <f>STDEV(C122:E122)</f>
        <v>37.91485539866645</v>
      </c>
      <c r="I122" s="165">
        <f>(B122*B4+C122*C4+D122*D4+E122*E4+F122*F4)/SUM(B4:F4)</f>
        <v>0.036783001137668</v>
      </c>
    </row>
    <row r="123" spans="1:9" ht="12.75">
      <c r="A123" s="165" t="s">
        <v>174</v>
      </c>
      <c r="B123" s="165">
        <f>B83*10000/B62</f>
        <v>0.16547995105838129</v>
      </c>
      <c r="C123" s="165">
        <f>C83*10000/C62</f>
        <v>-0.3728701807939026</v>
      </c>
      <c r="D123" s="165">
        <f>D83*10000/D62</f>
        <v>-0.13739055352288346</v>
      </c>
      <c r="E123" s="165">
        <f>E83*10000/E62</f>
        <v>-0.33364125163838076</v>
      </c>
      <c r="F123" s="165">
        <f>F83*10000/F62</f>
        <v>9.393307111505303</v>
      </c>
      <c r="G123" s="165">
        <f>AVERAGE(C123:E123)</f>
        <v>-0.2813006619850556</v>
      </c>
      <c r="H123" s="165">
        <f>STDEV(C123:E123)</f>
        <v>0.1261638486606518</v>
      </c>
      <c r="I123" s="165">
        <f>(B123*B4+C123*C4+D123*D4+E123*E4+F123*F4)/SUM(B4:F4)</f>
        <v>1.0764368564447482</v>
      </c>
    </row>
    <row r="124" spans="1:9" ht="12.75">
      <c r="A124" s="165" t="s">
        <v>175</v>
      </c>
      <c r="B124" s="165">
        <f>B84*10000/B62</f>
        <v>2.892074664085448</v>
      </c>
      <c r="C124" s="165">
        <f>C84*10000/C62</f>
        <v>0.8947215645559734</v>
      </c>
      <c r="D124" s="165">
        <f>D84*10000/D62</f>
        <v>1.194191667079646</v>
      </c>
      <c r="E124" s="165">
        <f>E84*10000/E62</f>
        <v>0.9204947771287053</v>
      </c>
      <c r="F124" s="165">
        <f>F84*10000/F62</f>
        <v>1.7657304225761892</v>
      </c>
      <c r="G124" s="165">
        <f>AVERAGE(C124:E124)</f>
        <v>1.0031360029214416</v>
      </c>
      <c r="H124" s="165">
        <f>STDEV(C124:E124)</f>
        <v>0.16596012993119452</v>
      </c>
      <c r="I124" s="165">
        <f>(B124*B4+C124*C4+D124*D4+E124*E4+F124*F4)/SUM(B4:F4)</f>
        <v>1.3777803662728751</v>
      </c>
    </row>
    <row r="125" spans="1:9" ht="12.75">
      <c r="A125" s="165" t="s">
        <v>176</v>
      </c>
      <c r="B125" s="165">
        <f>B85*10000/B62</f>
        <v>-0.8205887585753221</v>
      </c>
      <c r="C125" s="165">
        <f>C85*10000/C62</f>
        <v>-0.7769569986008728</v>
      </c>
      <c r="D125" s="165">
        <f>D85*10000/D62</f>
        <v>-0.7672465745943643</v>
      </c>
      <c r="E125" s="165">
        <f>E85*10000/E62</f>
        <v>-1.1037789665909237</v>
      </c>
      <c r="F125" s="165">
        <f>F85*10000/F62</f>
        <v>-1.0855232807483546</v>
      </c>
      <c r="G125" s="165">
        <f>AVERAGE(C125:E125)</f>
        <v>-0.8826608465953868</v>
      </c>
      <c r="H125" s="165">
        <f>STDEV(C125:E125)</f>
        <v>0.19155544974332406</v>
      </c>
      <c r="I125" s="165">
        <f>(B125*B4+C125*C4+D125*D4+E125*E4+F125*F4)/SUM(B4:F4)</f>
        <v>-0.9007822400143509</v>
      </c>
    </row>
    <row r="126" spans="1:9" ht="12.75">
      <c r="A126" s="165" t="s">
        <v>177</v>
      </c>
      <c r="B126" s="165">
        <f>B86*10000/B62</f>
        <v>0.28973873474525486</v>
      </c>
      <c r="C126" s="165">
        <f>C86*10000/C62</f>
        <v>-0.5125016137577787</v>
      </c>
      <c r="D126" s="165">
        <f>D86*10000/D62</f>
        <v>-0.2406415608087945</v>
      </c>
      <c r="E126" s="165">
        <f>E86*10000/E62</f>
        <v>-0.2382137134485234</v>
      </c>
      <c r="F126" s="165">
        <f>F86*10000/F62</f>
        <v>0.8344665610738167</v>
      </c>
      <c r="G126" s="165">
        <f>AVERAGE(C126:E126)</f>
        <v>-0.3304522960050322</v>
      </c>
      <c r="H126" s="165">
        <f>STDEV(C126:E126)</f>
        <v>0.1576640072476327</v>
      </c>
      <c r="I126" s="165">
        <f>(B126*B4+C126*C4+D126*D4+E126*E4+F126*F4)/SUM(B4:F4)</f>
        <v>-0.0852418622794098</v>
      </c>
    </row>
    <row r="127" spans="1:9" ht="12.75">
      <c r="A127" s="165" t="s">
        <v>178</v>
      </c>
      <c r="B127" s="165">
        <f>B87*10000/B62</f>
        <v>0.16460003820841768</v>
      </c>
      <c r="C127" s="165">
        <f>C87*10000/C62</f>
        <v>0.35005879994764905</v>
      </c>
      <c r="D127" s="165">
        <f>D87*10000/D62</f>
        <v>0.4689444098182365</v>
      </c>
      <c r="E127" s="165">
        <f>E87*10000/E62</f>
        <v>0.3054654492212806</v>
      </c>
      <c r="F127" s="165">
        <f>F87*10000/F62</f>
        <v>0.836738904377599</v>
      </c>
      <c r="G127" s="165">
        <f>AVERAGE(C127:E127)</f>
        <v>0.3748228863290553</v>
      </c>
      <c r="H127" s="165">
        <f>STDEV(C127:E127)</f>
        <v>0.0845061395414241</v>
      </c>
      <c r="I127" s="165">
        <f>(B127*B4+C127*C4+D127*D4+E127*E4+F127*F4)/SUM(B4:F4)</f>
        <v>0.40620823142602164</v>
      </c>
    </row>
    <row r="128" spans="1:9" ht="12.75">
      <c r="A128" s="165" t="s">
        <v>179</v>
      </c>
      <c r="B128" s="165">
        <f>B88*10000/B62</f>
        <v>0.22464348419113175</v>
      </c>
      <c r="C128" s="165">
        <f>C88*10000/C62</f>
        <v>0.0685428573557573</v>
      </c>
      <c r="D128" s="165">
        <f>D88*10000/D62</f>
        <v>0.12343942108577136</v>
      </c>
      <c r="E128" s="165">
        <f>E88*10000/E62</f>
        <v>0.028830222159632178</v>
      </c>
      <c r="F128" s="165">
        <f>F88*10000/F62</f>
        <v>0.48068408781342314</v>
      </c>
      <c r="G128" s="165">
        <f>AVERAGE(C128:E128)</f>
        <v>0.07360416686705361</v>
      </c>
      <c r="H128" s="165">
        <f>STDEV(C128:E128)</f>
        <v>0.04750723914140137</v>
      </c>
      <c r="I128" s="165">
        <f>(B128*B4+C128*C4+D128*D4+E128*E4+F128*F4)/SUM(B4:F4)</f>
        <v>0.14982730682864295</v>
      </c>
    </row>
    <row r="129" spans="1:9" ht="12.75">
      <c r="A129" s="165" t="s">
        <v>180</v>
      </c>
      <c r="B129" s="165">
        <f>B89*10000/B62</f>
        <v>-0.009792010499325808</v>
      </c>
      <c r="C129" s="165">
        <f>C89*10000/C62</f>
        <v>0.01403149313986866</v>
      </c>
      <c r="D129" s="165">
        <f>D89*10000/D62</f>
        <v>0.003108230717206513</v>
      </c>
      <c r="E129" s="165">
        <f>E89*10000/E62</f>
        <v>0.010440329762163527</v>
      </c>
      <c r="F129" s="165">
        <f>F89*10000/F62</f>
        <v>0.016723885166472805</v>
      </c>
      <c r="G129" s="165">
        <f>AVERAGE(C129:E129)</f>
        <v>0.009193351206412901</v>
      </c>
      <c r="H129" s="165">
        <f>STDEV(C129:E129)</f>
        <v>0.005567372102479064</v>
      </c>
      <c r="I129" s="165">
        <f>(B129*B4+C129*C4+D129*D4+E129*E4+F129*F4)/SUM(B4:F4)</f>
        <v>0.007460302731930173</v>
      </c>
    </row>
    <row r="130" spans="1:9" ht="12.75">
      <c r="A130" s="165" t="s">
        <v>181</v>
      </c>
      <c r="B130" s="165">
        <f>B90*10000/B62</f>
        <v>0.04036041941655522</v>
      </c>
      <c r="C130" s="165">
        <f>C90*10000/C62</f>
        <v>-0.03909278511140174</v>
      </c>
      <c r="D130" s="165">
        <f>D90*10000/D62</f>
        <v>-0.0030692970631708218</v>
      </c>
      <c r="E130" s="165">
        <f>E90*10000/E62</f>
        <v>0.00784708054110021</v>
      </c>
      <c r="F130" s="165">
        <f>F90*10000/F62</f>
        <v>0.18525353931505031</v>
      </c>
      <c r="G130" s="165">
        <f>AVERAGE(C130:E130)</f>
        <v>-0.011438333877824116</v>
      </c>
      <c r="H130" s="165">
        <f>STDEV(C130:E130)</f>
        <v>0.02456355694463853</v>
      </c>
      <c r="I130" s="165">
        <f>(B130*B4+C130*C4+D130*D4+E130*E4+F130*F4)/SUM(B4:F4)</f>
        <v>0.022324756894685847</v>
      </c>
    </row>
    <row r="131" spans="1:9" ht="12.75">
      <c r="A131" s="165" t="s">
        <v>182</v>
      </c>
      <c r="B131" s="165">
        <f>B91*10000/B62</f>
        <v>0.02597605889809064</v>
      </c>
      <c r="C131" s="165">
        <f>C91*10000/C62</f>
        <v>0.05294132647097083</v>
      </c>
      <c r="D131" s="165">
        <f>D91*10000/D62</f>
        <v>0.05178807301930825</v>
      </c>
      <c r="E131" s="165">
        <f>E91*10000/E62</f>
        <v>0.045485689481662074</v>
      </c>
      <c r="F131" s="165">
        <f>F91*10000/F62</f>
        <v>0.0740649980705329</v>
      </c>
      <c r="G131" s="165">
        <f>AVERAGE(C131:E131)</f>
        <v>0.05007169632398039</v>
      </c>
      <c r="H131" s="165">
        <f>STDEV(C131:E131)</f>
        <v>0.004013239645135305</v>
      </c>
      <c r="I131" s="165">
        <f>(B131*B4+C131*C4+D131*D4+E131*E4+F131*F4)/SUM(B4:F4)</f>
        <v>0.04980082455649307</v>
      </c>
    </row>
    <row r="132" spans="1:9" ht="12.75">
      <c r="A132" s="165" t="s">
        <v>183</v>
      </c>
      <c r="B132" s="165">
        <f>B92*10000/B62</f>
        <v>0.011516508092856382</v>
      </c>
      <c r="C132" s="165">
        <f>C92*10000/C62</f>
        <v>0.017861262294912684</v>
      </c>
      <c r="D132" s="165">
        <f>D92*10000/D62</f>
        <v>0.018037114393174045</v>
      </c>
      <c r="E132" s="165">
        <f>E92*10000/E62</f>
        <v>0.008320513927573018</v>
      </c>
      <c r="F132" s="165">
        <f>F92*10000/F62</f>
        <v>0.04539624992024103</v>
      </c>
      <c r="G132" s="165">
        <f>AVERAGE(C132:E132)</f>
        <v>0.014739630205219916</v>
      </c>
      <c r="H132" s="165">
        <f>STDEV(C132:E132)</f>
        <v>0.005559813066064292</v>
      </c>
      <c r="I132" s="165">
        <f>(B132*B4+C132*C4+D132*D4+E132*E4+F132*F4)/SUM(B4:F4)</f>
        <v>0.0183732899724824</v>
      </c>
    </row>
    <row r="133" spans="1:9" ht="12.75">
      <c r="A133" s="165" t="s">
        <v>184</v>
      </c>
      <c r="B133" s="165">
        <f>B93*10000/B62</f>
        <v>0.05063644060087052</v>
      </c>
      <c r="C133" s="165">
        <f>C93*10000/C62</f>
        <v>0.0546650068477142</v>
      </c>
      <c r="D133" s="165">
        <f>D93*10000/D62</f>
        <v>0.05016589024932862</v>
      </c>
      <c r="E133" s="165">
        <f>E93*10000/E62</f>
        <v>0.048449757177133575</v>
      </c>
      <c r="F133" s="165">
        <f>F93*10000/F62</f>
        <v>0.026271036123662262</v>
      </c>
      <c r="G133" s="165">
        <f>AVERAGE(C133:E133)</f>
        <v>0.051093551424725464</v>
      </c>
      <c r="H133" s="165">
        <f>STDEV(C133:E133)</f>
        <v>0.0032097894882946974</v>
      </c>
      <c r="I133" s="165">
        <f>(B133*B4+C133*C4+D133*D4+E133*E4+F133*F4)/SUM(B4:F4)</f>
        <v>0.04771053531986349</v>
      </c>
    </row>
    <row r="134" spans="1:9" ht="12.75">
      <c r="A134" s="165" t="s">
        <v>185</v>
      </c>
      <c r="B134" s="165">
        <f>B94*10000/B62</f>
        <v>0.00025239646391297114</v>
      </c>
      <c r="C134" s="165">
        <f>C94*10000/C62</f>
        <v>0.006786279954609417</v>
      </c>
      <c r="D134" s="165">
        <f>D94*10000/D62</f>
        <v>0.015423444785101588</v>
      </c>
      <c r="E134" s="165">
        <f>E94*10000/E62</f>
        <v>0.020447472308240844</v>
      </c>
      <c r="F134" s="165">
        <f>F94*10000/F62</f>
        <v>-0.016835205200422806</v>
      </c>
      <c r="G134" s="165">
        <f>AVERAGE(C134:E134)</f>
        <v>0.014219065682650614</v>
      </c>
      <c r="H134" s="165">
        <f>STDEV(C134:E134)</f>
        <v>0.006909771407039812</v>
      </c>
      <c r="I134" s="165">
        <f>(B134*B4+C134*C4+D134*D4+E134*E4+F134*F4)/SUM(B4:F4)</f>
        <v>0.008048877301615104</v>
      </c>
    </row>
    <row r="135" spans="1:9" ht="12.75">
      <c r="A135" s="165" t="s">
        <v>186</v>
      </c>
      <c r="B135" s="165">
        <f>B95*10000/B62</f>
        <v>-0.0011309737174292193</v>
      </c>
      <c r="C135" s="165">
        <f>C95*10000/C62</f>
        <v>-0.0029336966891650848</v>
      </c>
      <c r="D135" s="165">
        <f>D95*10000/D62</f>
        <v>-0.004551016729680671</v>
      </c>
      <c r="E135" s="165">
        <f>E95*10000/E62</f>
        <v>-0.002519170975415661</v>
      </c>
      <c r="F135" s="165">
        <f>F95*10000/F62</f>
        <v>0.0006675373327068424</v>
      </c>
      <c r="G135" s="165">
        <f>AVERAGE(C135:E135)</f>
        <v>-0.0033346281314204722</v>
      </c>
      <c r="H135" s="165">
        <f>STDEV(C135:E135)</f>
        <v>0.0010736194895413008</v>
      </c>
      <c r="I135" s="165">
        <f>(B135*B4+C135*C4+D135*D4+E135*E4+F135*F4)/SUM(B4:F4)</f>
        <v>-0.0024813283514110492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2003-11-14T07:33:25Z</cp:lastPrinted>
  <dcterms:created xsi:type="dcterms:W3CDTF">1999-06-17T15:15:05Z</dcterms:created>
  <dcterms:modified xsi:type="dcterms:W3CDTF">2005-10-05T09:40:59Z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173326271</vt:i4>
  </property>
  <property fmtid="{D5CDD505-2E9C-101B-9397-08002B2CF9AE}" pid="3" name="_EmailSubject">
    <vt:lpwstr>WFM result of apertures 94, 119, 127, 128, 129 and 131 : agreement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PreviousAdHocReviewCycleID">
    <vt:i4>1421584721</vt:i4>
  </property>
  <property fmtid="{D5CDD505-2E9C-101B-9397-08002B2CF9AE}" pid="7" name="_ReviewingToolsShownOnce">
    <vt:lpwstr/>
  </property>
</Properties>
</file>