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30_pos1ap2" sheetId="2" r:id="rId2"/>
    <sheet name="HCMQAP130_pos2ap2" sheetId="3" r:id="rId3"/>
    <sheet name="HCMQAP130_pos3ap2" sheetId="4" r:id="rId4"/>
    <sheet name="HCMQAP130_pos4ap2" sheetId="5" r:id="rId5"/>
    <sheet name="HCMQAP130_pos5ap2" sheetId="6" r:id="rId6"/>
    <sheet name="Lmag_hcmqap" sheetId="7" r:id="rId7"/>
    <sheet name="Result_HCMQAP" sheetId="8" r:id="rId8"/>
  </sheets>
  <definedNames>
    <definedName name="_xlnm.Print_Area" localSheetId="1">'HCMQAP130_pos1ap2'!$A$1:$N$28</definedName>
    <definedName name="_xlnm.Print_Area" localSheetId="2">'HCMQAP130_pos2ap2'!$A$1:$N$28</definedName>
    <definedName name="_xlnm.Print_Area" localSheetId="3">'HCMQAP130_pos3ap2'!$A$1:$N$28</definedName>
    <definedName name="_xlnm.Print_Area" localSheetId="4">'HCMQAP130_pos4ap2'!$A$1:$N$28</definedName>
    <definedName name="_xlnm.Print_Area" localSheetId="5">'HCMQAP130_pos5ap2'!$A$1:$N$28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<sst xmlns="http://schemas.openxmlformats.org/spreadsheetml/2006/main" count="510" uniqueCount="189">
  <si>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</si>
  <si>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</si>
  <si>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</si>
  <si>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</si>
  <si>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</si>
  <si>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</si>
  <si>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</si>
  <si>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</si>
  <si>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</si>
  <si>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</si>
  <si>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</si>
  <si>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</si>
  <si>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</si>
  <si>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</si>
  <si>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</si>
  <si>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</si>
  <si>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</si>
  <si>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</si>
  <si>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</si>
  <si>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</si>
  <si>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</si>
  <si>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</si>
  <si>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</si>
  <si>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</si>
  <si>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</si>
  <si>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</si>
  <si>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</si>
  <si>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</si>
  <si>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</si>
  <si>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</si>
  <si>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</si>
  <si>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</si>
  <si>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</si>
  <si>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</si>
  <si>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</si>
  <si>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</si>
  <si>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</si>
  <si>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</si>
  <si>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</si>
  <si>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</si>
  <si>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</si>
  <si>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</si>
  <si>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</si>
  <si>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</si>
  <si>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</si>
  <si>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</si>
  <si>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</si>
  <si>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</si>
  <si>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</si>
  <si>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</si>
  <si>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</si>
  <si>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</si>
  <si>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</si>
  <si>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</si>
  <si>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</si>
  <si>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</si>
  <si>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</si>
  <si>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</si>
  <si>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</si>
  <si>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</si>
  <si>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</si>
  <si>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</si>
  <si>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</si>
  <si>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</si>
  <si>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</si>
  <si>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</si>
  <si>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</si>
  <si>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</si>
  <si>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HCMQAP130_pos1ap2</t>
  </si>
  <si>
    <t>17/11/2003</t>
  </si>
  <si>
    <t>±12.5</t>
  </si>
  <si>
    <t>THCMQAP130_pos1ap2.xls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</si>
  <si>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</si>
  <si>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HCMQAP130_pos2ap2</t>
  </si>
  <si>
    <t>THCMQAP130_pos2ap2.xls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</si>
  <si>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</si>
  <si>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HCMQAP130_pos3ap2</t>
  </si>
  <si>
    <t>THCMQAP130_pos3ap2.xls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</si>
  <si>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</si>
  <si>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HCMQAP130_pos4ap2</t>
  </si>
  <si>
    <t>THCMQAP130_pos4ap2.xls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</si>
  <si>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-2.086 mT)</t>
    </r>
  </si>
  <si>
    <t>HCMQAP130_pos5ap2</t>
  </si>
  <si>
    <t>THCMQAP130_pos5ap2.xls</t>
  </si>
  <si>
    <t>Sommaire : Valeurs intégrales calculées avec les fichiers: HCMQAP130_pos1ap2+HCMQAP130_pos2ap2+HCMQAP130_pos3ap2+HCMQAP130_pos4ap2+HCMQAP130_pos5ap2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</si>
  <si>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</si>
  <si>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</si>
  <si>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</si>
  <si>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</si>
  <si>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</si>
  <si>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</si>
  <si>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</si>
  <si>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</si>
  <si>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</si>
  <si>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</si>
  <si>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</si>
  <si>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</si>
  <si>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</si>
  <si>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</si>
  <si>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</si>
  <si>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</si>
  <si>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</si>
  <si>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</si>
  <si>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</si>
  <si>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</si>
  <si>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</si>
  <si>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</si>
  <si>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</si>
  <si>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</si>
  <si>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</si>
  <si>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</si>
  <si>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</si>
  <si>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</si>
  <si>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</si>
  <si>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</si>
  <si>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</si>
  <si>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</si>
  <si>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</si>
  <si>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</si>
  <si>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</si>
  <si>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</si>
  <si>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</si>
  <si>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</si>
  <si>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</si>
  <si>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</si>
  <si>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</si>
  <si>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</si>
  <si>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</si>
  <si>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=-3.753</t>
    </r>
  </si>
  <si>
    <t>Gradient (T/m)</t>
  </si>
  <si>
    <t xml:space="preserve"> Mon 17/11/2003       10:32:53</t>
  </si>
  <si>
    <t>SIEGMUND</t>
  </si>
  <si>
    <t>HCMQAP130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</si>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</sst>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3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519080"/>
        <c:axId val="41453993"/>
      </c:lineChart>
      <c:catAx>
        <c:axId val="19519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2598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2598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2598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2598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82</v>
      </c>
      <c r="H6" s="25">
        <v>2598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4.3718995999999995E-05</v>
      </c>
      <c r="L2" s="55">
        <v>2.2361636949127982E-07</v>
      </c>
      <c r="M2" s="55">
        <v>6.241208999999999E-05</v>
      </c>
      <c r="N2" s="56">
        <v>2.010057878042526E-07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-3.1410906E-05</v>
      </c>
      <c r="L3" s="55">
        <v>2.7931134363691375E-07</v>
      </c>
      <c r="M3" s="55">
        <v>1.2099138000000001E-05</v>
      </c>
      <c r="N3" s="56">
        <v>2.7160966600259636E-07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-0.002251895389855805</v>
      </c>
      <c r="L4" s="55">
        <v>1.0180049348151099E-05</v>
      </c>
      <c r="M4" s="55">
        <v>8.401572391793043E-08</v>
      </c>
      <c r="N4" s="56">
        <v>-2.2603137</v>
      </c>
    </row>
    <row r="5" spans="1:14" ht="15" customHeight="1" thickBot="1">
      <c r="A5" t="s">
        <v>18</v>
      </c>
      <c r="B5" s="59">
        <v>37942.41820601852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0.53632156</v>
      </c>
      <c r="E8" s="78">
        <v>0.022909874185890258</v>
      </c>
      <c r="F8" s="78">
        <v>0.161415696</v>
      </c>
      <c r="G8" s="78">
        <v>0.02417257359471951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-0.24665417</v>
      </c>
      <c r="E9" s="80">
        <v>0.008136165512672515</v>
      </c>
      <c r="F9" s="80">
        <v>-0.93189514</v>
      </c>
      <c r="G9" s="80">
        <v>0.017953013579882084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-0.014583500000000004</v>
      </c>
      <c r="E10" s="80">
        <v>0.005234946366773974</v>
      </c>
      <c r="F10" s="80">
        <v>0.9216428600000001</v>
      </c>
      <c r="G10" s="80">
        <v>0.013334566252686676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4.162522</v>
      </c>
      <c r="E11" s="78">
        <v>0.01242697424559026</v>
      </c>
      <c r="F11" s="78">
        <v>0.5870782400000001</v>
      </c>
      <c r="G11" s="78">
        <v>0.00863614518470883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0.110849847</v>
      </c>
      <c r="E12" s="80">
        <v>0.004131206141808336</v>
      </c>
      <c r="F12" s="80">
        <v>0.14973588999999998</v>
      </c>
      <c r="G12" s="80">
        <v>0.007666901511719502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18.841553</v>
      </c>
      <c r="D13" s="83">
        <v>0.022244414</v>
      </c>
      <c r="E13" s="80">
        <v>0.00469303132291421</v>
      </c>
      <c r="F13" s="80">
        <v>-0.10667973099999999</v>
      </c>
      <c r="G13" s="80">
        <v>0.0018993904276069528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-0.06744934999999999</v>
      </c>
      <c r="E14" s="80">
        <v>0.0013342558623338201</v>
      </c>
      <c r="F14" s="80">
        <v>0.023518292</v>
      </c>
      <c r="G14" s="80">
        <v>0.0035962576772036276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-0.31601624</v>
      </c>
      <c r="E15" s="78">
        <v>0.003500428393126934</v>
      </c>
      <c r="F15" s="78">
        <v>0.083848136</v>
      </c>
      <c r="G15" s="78">
        <v>0.004646756419241604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0.005134113010000001</v>
      </c>
      <c r="E16" s="80">
        <v>0.0018146001202429124</v>
      </c>
      <c r="F16" s="80">
        <v>0.017204417839999996</v>
      </c>
      <c r="G16" s="80">
        <v>0.002993325085946711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-0.0860000029206276</v>
      </c>
      <c r="D17" s="83">
        <v>-0.0037677629999999995</v>
      </c>
      <c r="E17" s="80">
        <v>0.0029348765300070117</v>
      </c>
      <c r="F17" s="80">
        <v>0.004686365600000001</v>
      </c>
      <c r="G17" s="80">
        <v>0.002973212143427734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5.085999965667725</v>
      </c>
      <c r="D18" s="83">
        <v>0.03473317699999999</v>
      </c>
      <c r="E18" s="80">
        <v>0.0010817428357176547</v>
      </c>
      <c r="F18" s="80">
        <v>0.048799861</v>
      </c>
      <c r="G18" s="80">
        <v>0.001840820015548397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-0.17000000178813934</v>
      </c>
      <c r="D19" s="86">
        <v>-0.19600104000000002</v>
      </c>
      <c r="E19" s="80">
        <v>0.0009736760464267326</v>
      </c>
      <c r="F19" s="80">
        <v>0.015452028000000001</v>
      </c>
      <c r="G19" s="80">
        <v>0.0010362096297738264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0.33216680000000004</v>
      </c>
      <c r="D20" s="88">
        <v>-0.00083652304</v>
      </c>
      <c r="E20" s="89">
        <v>0.0009583375935623762</v>
      </c>
      <c r="F20" s="89">
        <v>0.00207519344</v>
      </c>
      <c r="G20" s="89">
        <v>0.0023011851824930553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0.46966169999999996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-0.12950654477509796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-2.2519183999999997</v>
      </c>
      <c r="I25" s="101" t="s">
        <v>49</v>
      </c>
      <c r="J25" s="102"/>
      <c r="K25" s="101"/>
      <c r="L25" s="104">
        <v>4.203718622882066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0.5600855672448612</v>
      </c>
      <c r="I26" s="106" t="s">
        <v>53</v>
      </c>
      <c r="J26" s="107"/>
      <c r="K26" s="106"/>
      <c r="L26" s="109">
        <v>0.3269507208348256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HCMQAP130_pos1ap2res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5.5020395E-05</v>
      </c>
      <c r="L2" s="55">
        <v>3.3816832103233735E-07</v>
      </c>
      <c r="M2" s="55">
        <v>5.0012373E-05</v>
      </c>
      <c r="N2" s="56">
        <v>5.551508879442096E-07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-3.0012065E-05</v>
      </c>
      <c r="L3" s="55">
        <v>8.688079367616594E-08</v>
      </c>
      <c r="M3" s="55">
        <v>1.2239221E-05</v>
      </c>
      <c r="N3" s="56">
        <v>5.5177159169193236E-08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-0.0037525514138625174</v>
      </c>
      <c r="L4" s="55">
        <v>-2.664371660295845E-05</v>
      </c>
      <c r="M4" s="55">
        <v>4.728954875890381E-08</v>
      </c>
      <c r="N4" s="56">
        <v>3.5500204999999996</v>
      </c>
    </row>
    <row r="5" spans="1:14" ht="15" customHeight="1" thickBot="1">
      <c r="A5" t="s">
        <v>18</v>
      </c>
      <c r="B5" s="59">
        <v>37942.422685185185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-1.787904</v>
      </c>
      <c r="E8" s="78">
        <v>0.005999710843071014</v>
      </c>
      <c r="F8" s="78">
        <v>-0.13936111299999998</v>
      </c>
      <c r="G8" s="78">
        <v>0.013678842683526206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0.69743589</v>
      </c>
      <c r="E9" s="80">
        <v>0.004814618433633039</v>
      </c>
      <c r="F9" s="80">
        <v>1.8059885999999998</v>
      </c>
      <c r="G9" s="80">
        <v>0.01735815714414316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0.7738520799999999</v>
      </c>
      <c r="E10" s="80">
        <v>0.0019329317506373166</v>
      </c>
      <c r="F10" s="80">
        <v>0.26059463000000005</v>
      </c>
      <c r="G10" s="80">
        <v>0.0044410031629794795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3.4167722999999994</v>
      </c>
      <c r="E11" s="78">
        <v>0.0025281807612569304</v>
      </c>
      <c r="F11" s="78">
        <v>-0.17734875000000003</v>
      </c>
      <c r="G11" s="78">
        <v>0.006783606384732906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0.09242906</v>
      </c>
      <c r="E12" s="80">
        <v>0.0018179634223904762</v>
      </c>
      <c r="F12" s="80">
        <v>-0.128214973</v>
      </c>
      <c r="G12" s="80">
        <v>0.0035848398183290077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18.643189</v>
      </c>
      <c r="D13" s="83">
        <v>0.09964146700000001</v>
      </c>
      <c r="E13" s="80">
        <v>0.0018486492515575209</v>
      </c>
      <c r="F13" s="80">
        <v>0.28070218</v>
      </c>
      <c r="G13" s="80">
        <v>0.004003763548286218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-0.007064108827</v>
      </c>
      <c r="E14" s="80">
        <v>0.002511904861632004</v>
      </c>
      <c r="F14" s="80">
        <v>-0.0105670874</v>
      </c>
      <c r="G14" s="80">
        <v>0.001379855741423626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-0.077869944</v>
      </c>
      <c r="E15" s="78">
        <v>0.002718970618913644</v>
      </c>
      <c r="F15" s="78">
        <v>0.052160888</v>
      </c>
      <c r="G15" s="78">
        <v>0.0013558034428652502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0.003920344569000001</v>
      </c>
      <c r="E16" s="80">
        <v>0.0011918405370706367</v>
      </c>
      <c r="F16" s="80">
        <v>-0.0025242794999999997</v>
      </c>
      <c r="G16" s="80">
        <v>0.001646150339243807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-0.23899999260902405</v>
      </c>
      <c r="D17" s="83">
        <v>-0.0037805566</v>
      </c>
      <c r="E17" s="80">
        <v>0.00021362938810295096</v>
      </c>
      <c r="F17" s="80">
        <v>0.020293508299999995</v>
      </c>
      <c r="G17" s="80">
        <v>0.0015223804539831777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17.802000045776367</v>
      </c>
      <c r="D18" s="83">
        <v>0.016088485</v>
      </c>
      <c r="E18" s="80">
        <v>0.0004694976572998856</v>
      </c>
      <c r="F18" s="80">
        <v>0.016856682</v>
      </c>
      <c r="G18" s="80">
        <v>0.0005712835200195666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-0.2840000092983246</v>
      </c>
      <c r="D19" s="86">
        <v>-0.17007201</v>
      </c>
      <c r="E19" s="80">
        <v>0.0011568045251484531</v>
      </c>
      <c r="F19" s="80">
        <v>0.017029757</v>
      </c>
      <c r="G19" s="80">
        <v>0.0010939688118616466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0.24763599999999997</v>
      </c>
      <c r="D20" s="88">
        <v>-0.0034341420900000003</v>
      </c>
      <c r="E20" s="89">
        <v>0.0005027761411326051</v>
      </c>
      <c r="F20" s="89">
        <v>0.00088911783</v>
      </c>
      <c r="G20" s="89">
        <v>0.0007108510215699347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0.22832489999999997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0.2034013636407042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-3.7526459999999995</v>
      </c>
      <c r="I25" s="101" t="s">
        <v>49</v>
      </c>
      <c r="J25" s="102"/>
      <c r="K25" s="101"/>
      <c r="L25" s="104">
        <v>3.421371878234497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1.7933271405498212</v>
      </c>
      <c r="I26" s="106" t="s">
        <v>53</v>
      </c>
      <c r="J26" s="107"/>
      <c r="K26" s="106"/>
      <c r="L26" s="109">
        <v>0.09372559103847615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6.867894500000001E-05</v>
      </c>
      <c r="L2" s="55">
        <v>2.1289480871794398E-07</v>
      </c>
      <c r="M2" s="55">
        <v>2.4668315000000003E-05</v>
      </c>
      <c r="N2" s="56">
        <v>3.4066933293102077E-07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-2.8789967000000004E-05</v>
      </c>
      <c r="L3" s="55">
        <v>7.919991146390863E-08</v>
      </c>
      <c r="M3" s="55">
        <v>1.0673087E-05</v>
      </c>
      <c r="N3" s="56">
        <v>1.1099754707188313E-07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-0.0037513823837194947</v>
      </c>
      <c r="L4" s="55">
        <v>-5.645110033872941E-05</v>
      </c>
      <c r="M4" s="55">
        <v>3.010384074987332E-08</v>
      </c>
      <c r="N4" s="56">
        <v>7.5234719</v>
      </c>
    </row>
    <row r="5" spans="1:14" ht="15" customHeight="1" thickBot="1">
      <c r="A5" t="s">
        <v>18</v>
      </c>
      <c r="B5" s="59">
        <v>37942.427303240744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-0.9999359100000001</v>
      </c>
      <c r="E8" s="78">
        <v>0.013485446169304425</v>
      </c>
      <c r="F8" s="78">
        <v>0.61145313</v>
      </c>
      <c r="G8" s="78">
        <v>0.00865473783557875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0.26093764</v>
      </c>
      <c r="E9" s="80">
        <v>0.012932316452105104</v>
      </c>
      <c r="F9" s="80">
        <v>1.507145</v>
      </c>
      <c r="G9" s="80">
        <v>0.004691196798222076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0.38073549</v>
      </c>
      <c r="E10" s="80">
        <v>0.007663796777210905</v>
      </c>
      <c r="F10" s="80">
        <v>0.44810809</v>
      </c>
      <c r="G10" s="80">
        <v>0.00847195988083078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3.6121289000000005</v>
      </c>
      <c r="E11" s="78">
        <v>0.004459599997603385</v>
      </c>
      <c r="F11" s="78">
        <v>0.039913635</v>
      </c>
      <c r="G11" s="78">
        <v>0.003245886824400961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-0.09335265699999999</v>
      </c>
      <c r="E12" s="80">
        <v>0.0041432223436750236</v>
      </c>
      <c r="F12" s="80">
        <v>-0.20771058</v>
      </c>
      <c r="G12" s="80">
        <v>0.003200772596827525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18.414307</v>
      </c>
      <c r="D13" s="83">
        <v>0.15871749</v>
      </c>
      <c r="E13" s="80">
        <v>0.0021391760052406027</v>
      </c>
      <c r="F13" s="80">
        <v>0.25382644</v>
      </c>
      <c r="G13" s="80">
        <v>0.0017212729398325597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-0.033246117000000006</v>
      </c>
      <c r="E14" s="80">
        <v>0.0024488080421596584</v>
      </c>
      <c r="F14" s="80">
        <v>-0.07415603200000001</v>
      </c>
      <c r="G14" s="80">
        <v>0.0011325247491406573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-0.017753475</v>
      </c>
      <c r="E15" s="78">
        <v>0.0020419519009050886</v>
      </c>
      <c r="F15" s="78">
        <v>0.0049414336000000005</v>
      </c>
      <c r="G15" s="78">
        <v>0.0018868299717689817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-0.00031838661</v>
      </c>
      <c r="E16" s="80">
        <v>0.0019108402202748006</v>
      </c>
      <c r="F16" s="80">
        <v>-0.057908753</v>
      </c>
      <c r="G16" s="80">
        <v>0.0027120212413264478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0.4869999885559082</v>
      </c>
      <c r="D17" s="83">
        <v>-0.0008044015000000001</v>
      </c>
      <c r="E17" s="80">
        <v>0.0018759235912747354</v>
      </c>
      <c r="F17" s="80">
        <v>0.019709482</v>
      </c>
      <c r="G17" s="80">
        <v>0.002031238707854393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0.026512276</v>
      </c>
      <c r="E18" s="80">
        <v>0.0009720059607142473</v>
      </c>
      <c r="F18" s="80">
        <v>-0.0023910867699999997</v>
      </c>
      <c r="G18" s="80">
        <v>0.0009246671358863256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0.3709999918937683</v>
      </c>
      <c r="D19" s="86">
        <v>-0.17712612</v>
      </c>
      <c r="E19" s="80">
        <v>0.0009043157538203088</v>
      </c>
      <c r="F19" s="80">
        <v>0.017381122000000002</v>
      </c>
      <c r="G19" s="80">
        <v>0.0002572070095194096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0.3094753</v>
      </c>
      <c r="D20" s="88">
        <v>0.000510788167</v>
      </c>
      <c r="E20" s="89">
        <v>0.0010398396264270084</v>
      </c>
      <c r="F20" s="89">
        <v>-0.0007936572309999999</v>
      </c>
      <c r="G20" s="89">
        <v>0.0007581934625038101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0.11644349999999999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0.4310635512590758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-3.7518070999999997</v>
      </c>
      <c r="I25" s="101" t="s">
        <v>49</v>
      </c>
      <c r="J25" s="102"/>
      <c r="K25" s="101"/>
      <c r="L25" s="104">
        <v>3.612349413951276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1.1720694323692284</v>
      </c>
      <c r="I26" s="106" t="s">
        <v>53</v>
      </c>
      <c r="J26" s="107"/>
      <c r="K26" s="106"/>
      <c r="L26" s="109">
        <v>0.01842833797711649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7.0891823E-05</v>
      </c>
      <c r="L2" s="55">
        <v>1.057795674779123E-07</v>
      </c>
      <c r="M2" s="55">
        <v>8.4535429E-05</v>
      </c>
      <c r="N2" s="56">
        <v>2.6074624429892776E-07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-2.9171804999999998E-05</v>
      </c>
      <c r="L3" s="55">
        <v>5.200780489120368E-07</v>
      </c>
      <c r="M3" s="55">
        <v>9.508703E-06</v>
      </c>
      <c r="N3" s="56">
        <v>3.6279267383175395E-07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-0.003753834230057318</v>
      </c>
      <c r="L4" s="55">
        <v>-7.646798688983351E-05</v>
      </c>
      <c r="M4" s="55">
        <v>7.801280402154589E-08</v>
      </c>
      <c r="N4" s="56">
        <v>10.183909</v>
      </c>
    </row>
    <row r="5" spans="1:14" ht="15" customHeight="1" thickBot="1">
      <c r="A5" t="s">
        <v>18</v>
      </c>
      <c r="B5" s="59">
        <v>37942.431493055556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-2.8105656</v>
      </c>
      <c r="E8" s="78">
        <v>0.009732021040821118</v>
      </c>
      <c r="F8" s="78">
        <v>-1.3527274999999999</v>
      </c>
      <c r="G8" s="78">
        <v>0.022849344749910246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-0.14628500500000002</v>
      </c>
      <c r="E9" s="80">
        <v>0.004029090215625195</v>
      </c>
      <c r="F9" s="80">
        <v>0.68411808</v>
      </c>
      <c r="G9" s="80">
        <v>0.009127165692950863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1.03789774</v>
      </c>
      <c r="E10" s="80">
        <v>0.0024633553290566218</v>
      </c>
      <c r="F10" s="80">
        <v>-0.44797473000000004</v>
      </c>
      <c r="G10" s="80">
        <v>0.00729268259192467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2.772844</v>
      </c>
      <c r="E11" s="78">
        <v>0.003941514011300543</v>
      </c>
      <c r="F11" s="78">
        <v>0.23699783000000002</v>
      </c>
      <c r="G11" s="78">
        <v>0.005263761719683109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-0.10187163200000002</v>
      </c>
      <c r="E12" s="80">
        <v>0.004375824680543347</v>
      </c>
      <c r="F12" s="80">
        <v>-0.27515377</v>
      </c>
      <c r="G12" s="80">
        <v>0.0051365390450762455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18.252564</v>
      </c>
      <c r="D13" s="83">
        <v>0.018436112999999997</v>
      </c>
      <c r="E13" s="80">
        <v>0.0037551688141807997</v>
      </c>
      <c r="F13" s="80">
        <v>-0.15706499200000001</v>
      </c>
      <c r="G13" s="80">
        <v>0.004235108993627792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0.018301752999999997</v>
      </c>
      <c r="E14" s="80">
        <v>0.0018663440988939083</v>
      </c>
      <c r="F14" s="80">
        <v>-0.097023846</v>
      </c>
      <c r="G14" s="80">
        <v>0.002349126609977285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-0.005513556099999999</v>
      </c>
      <c r="E15" s="78">
        <v>0.0014607830392783002</v>
      </c>
      <c r="F15" s="78">
        <v>0.01078361583</v>
      </c>
      <c r="G15" s="78">
        <v>0.0027123366782386337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0.00711167766</v>
      </c>
      <c r="E16" s="80">
        <v>0.0019362081872384184</v>
      </c>
      <c r="F16" s="80">
        <v>-0.036067641</v>
      </c>
      <c r="G16" s="80">
        <v>0.0021768605042524146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0.5669999718666077</v>
      </c>
      <c r="D17" s="83">
        <v>-0.0072617105</v>
      </c>
      <c r="E17" s="80">
        <v>0.000881502223461177</v>
      </c>
      <c r="F17" s="80">
        <v>-0.0389576731</v>
      </c>
      <c r="G17" s="80">
        <v>0.0010760048689203209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19.327999114990234</v>
      </c>
      <c r="D18" s="83">
        <v>0.035548975999999996</v>
      </c>
      <c r="E18" s="80">
        <v>0.0006498445339800942</v>
      </c>
      <c r="F18" s="80">
        <v>0.024255708000000004</v>
      </c>
      <c r="G18" s="80">
        <v>0.0011392747284724397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0.5099999904632568</v>
      </c>
      <c r="D19" s="86">
        <v>-0.17866221000000002</v>
      </c>
      <c r="E19" s="80">
        <v>0.0008811503052262918</v>
      </c>
      <c r="F19" s="80">
        <v>0.018277626</v>
      </c>
      <c r="G19" s="80">
        <v>0.0015209122006723261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0.3131233</v>
      </c>
      <c r="D20" s="88">
        <v>-0.00402299942</v>
      </c>
      <c r="E20" s="89">
        <v>0.0008449967871960022</v>
      </c>
      <c r="F20" s="89">
        <v>0.0026490024399999997</v>
      </c>
      <c r="G20" s="89">
        <v>0.0007720665676486171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0.3892068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0.5834954975028568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-3.7546130000000004</v>
      </c>
      <c r="I25" s="101" t="s">
        <v>49</v>
      </c>
      <c r="J25" s="102"/>
      <c r="K25" s="101"/>
      <c r="L25" s="104">
        <v>2.7829537940398343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3.119158649565554</v>
      </c>
      <c r="I26" s="106" t="s">
        <v>53</v>
      </c>
      <c r="J26" s="107"/>
      <c r="K26" s="106"/>
      <c r="L26" s="109">
        <v>0.012111386016343206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3.463155659999999E-05</v>
      </c>
      <c r="L2" s="55">
        <v>1.3236157790083379E-07</v>
      </c>
      <c r="M2" s="55">
        <v>5.8926532E-05</v>
      </c>
      <c r="N2" s="56">
        <v>1.5893188753898848E-07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-3.21173394E-05</v>
      </c>
      <c r="L3" s="55">
        <v>5.720487156670913E-08</v>
      </c>
      <c r="M3" s="55">
        <v>1.0448706E-05</v>
      </c>
      <c r="N3" s="56">
        <v>1.1813631780273215E-07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-0.002085364378386861</v>
      </c>
      <c r="L4" s="55">
        <v>-5.696216266978204E-05</v>
      </c>
      <c r="M4" s="55">
        <v>6.115603011558543E-08</v>
      </c>
      <c r="N4" s="56">
        <v>13.654209</v>
      </c>
    </row>
    <row r="5" spans="1:14" ht="15" customHeight="1" thickBot="1">
      <c r="A5" t="s">
        <v>18</v>
      </c>
      <c r="B5" s="59">
        <v>37942.436006944445</v>
      </c>
      <c r="D5" s="60"/>
      <c r="E5" s="61" t="s">
        <v>81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114">
        <v>-6.0165399</v>
      </c>
      <c r="E8" s="78">
        <v>0.038280616903892645</v>
      </c>
      <c r="F8" s="115">
        <v>9.009278799999999</v>
      </c>
      <c r="G8" s="78">
        <v>0.011416038287680653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-1.3358288999999999</v>
      </c>
      <c r="E9" s="80">
        <v>0.024403533472426745</v>
      </c>
      <c r="F9" s="80">
        <v>-0.8822179199999999</v>
      </c>
      <c r="G9" s="80">
        <v>0.014407046303976503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0.20978256999999995</v>
      </c>
      <c r="E10" s="80">
        <v>0.009746961130147329</v>
      </c>
      <c r="F10" s="80">
        <v>-0.21327407599999998</v>
      </c>
      <c r="G10" s="80">
        <v>0.009367866398803245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4">
        <v>14.173946</v>
      </c>
      <c r="E11" s="78">
        <v>0.01307320136525381</v>
      </c>
      <c r="F11" s="78">
        <v>1.02480935</v>
      </c>
      <c r="G11" s="78">
        <v>0.006699659050283279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-0.16459</v>
      </c>
      <c r="E12" s="80">
        <v>0.012757033771688554</v>
      </c>
      <c r="F12" s="80">
        <v>0.117959795</v>
      </c>
      <c r="G12" s="80">
        <v>0.008113846896579962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18.15796</v>
      </c>
      <c r="D13" s="83">
        <v>-0.18040532000000004</v>
      </c>
      <c r="E13" s="80">
        <v>0.002670572408040638</v>
      </c>
      <c r="F13" s="80">
        <v>-0.11103936700000001</v>
      </c>
      <c r="G13" s="80">
        <v>0.0056171688828014115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0.067290922</v>
      </c>
      <c r="E14" s="80">
        <v>0.0011918939425158035</v>
      </c>
      <c r="F14" s="80">
        <v>-0.060058999</v>
      </c>
      <c r="G14" s="80">
        <v>0.0034082197711802066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-0.27019572</v>
      </c>
      <c r="E15" s="78">
        <v>0.003719384455338274</v>
      </c>
      <c r="F15" s="78">
        <v>0.16250323</v>
      </c>
      <c r="G15" s="78">
        <v>0.0012805268273643107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0.009973338100000001</v>
      </c>
      <c r="E16" s="80">
        <v>0.004606472132768856</v>
      </c>
      <c r="F16" s="80">
        <v>0.0045303949</v>
      </c>
      <c r="G16" s="80">
        <v>0.0029592507448139202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0.4390000104904175</v>
      </c>
      <c r="D17" s="83">
        <v>-0.0171736558</v>
      </c>
      <c r="E17" s="80">
        <v>0.002366167031540765</v>
      </c>
      <c r="F17" s="80">
        <v>-0.0054745504</v>
      </c>
      <c r="G17" s="80">
        <v>0.003493671966139958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3.052000045776367</v>
      </c>
      <c r="D18" s="83">
        <v>0.0074464171999999995</v>
      </c>
      <c r="E18" s="80">
        <v>0.0019357998869493844</v>
      </c>
      <c r="F18" s="80">
        <v>0.024900475999999998</v>
      </c>
      <c r="G18" s="80">
        <v>0.000883163927362289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0.3440000116825104</v>
      </c>
      <c r="D19" s="83">
        <v>-0.13821581</v>
      </c>
      <c r="E19" s="80">
        <v>0.0013637109786894565</v>
      </c>
      <c r="F19" s="80">
        <v>-0.020808341</v>
      </c>
      <c r="G19" s="80">
        <v>0.0022887370421422314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0.2689865</v>
      </c>
      <c r="D20" s="88">
        <v>-0.0042912174</v>
      </c>
      <c r="E20" s="89">
        <v>0.001927144586498154</v>
      </c>
      <c r="F20" s="89">
        <v>0.00410998105</v>
      </c>
      <c r="G20" s="89">
        <v>0.0012593137142255769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0.48770199999999997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0.7823292090947578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-2.0861422</v>
      </c>
      <c r="I25" s="101" t="s">
        <v>49</v>
      </c>
      <c r="J25" s="102"/>
      <c r="K25" s="101"/>
      <c r="L25" s="104">
        <v>14.210945760742437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10.83355236588726</v>
      </c>
      <c r="I26" s="106" t="s">
        <v>53</v>
      </c>
      <c r="J26" s="107"/>
      <c r="K26" s="106"/>
      <c r="L26" s="109">
        <v>0.31529831408802567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HCMQAP130_pos5ap2res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121</v>
      </c>
      <c r="B1" s="130" t="s">
        <v>68</v>
      </c>
      <c r="C1" s="120" t="s">
        <v>73</v>
      </c>
      <c r="D1" s="120" t="s">
        <v>76</v>
      </c>
      <c r="E1" s="120" t="s">
        <v>79</v>
      </c>
      <c r="F1" s="127" t="s">
        <v>82</v>
      </c>
      <c r="G1" s="160" t="s">
        <v>122</v>
      </c>
    </row>
    <row r="2" spans="1:7" ht="13.5" thickBot="1">
      <c r="A2" s="139" t="s">
        <v>91</v>
      </c>
      <c r="B2" s="131">
        <v>-2.2519183999999997</v>
      </c>
      <c r="C2" s="122">
        <v>-3.7526459999999995</v>
      </c>
      <c r="D2" s="122">
        <v>-3.7518070999999997</v>
      </c>
      <c r="E2" s="122">
        <v>-3.7546130000000004</v>
      </c>
      <c r="F2" s="128">
        <v>-2.0861422</v>
      </c>
      <c r="G2" s="161">
        <v>3.11649790713903</v>
      </c>
    </row>
    <row r="3" spans="1:7" ht="14.25" thickBot="1" thickTop="1">
      <c r="A3" s="147" t="s">
        <v>90</v>
      </c>
      <c r="B3" s="148" t="s">
        <v>85</v>
      </c>
      <c r="C3" s="149" t="s">
        <v>86</v>
      </c>
      <c r="D3" s="149" t="s">
        <v>87</v>
      </c>
      <c r="E3" s="149" t="s">
        <v>88</v>
      </c>
      <c r="F3" s="150" t="s">
        <v>89</v>
      </c>
      <c r="G3" s="156" t="s">
        <v>123</v>
      </c>
    </row>
    <row r="4" spans="1:7" ht="12.75">
      <c r="A4" s="144" t="s">
        <v>92</v>
      </c>
      <c r="B4" s="145">
        <v>0.53632156</v>
      </c>
      <c r="C4" s="146">
        <v>-1.787904</v>
      </c>
      <c r="D4" s="146">
        <v>-0.9999359100000001</v>
      </c>
      <c r="E4" s="146">
        <v>-2.8105656</v>
      </c>
      <c r="F4" s="151">
        <v>-6.0165399</v>
      </c>
      <c r="G4" s="157">
        <v>-2.0745570383725123</v>
      </c>
    </row>
    <row r="5" spans="1:7" ht="12.75">
      <c r="A5" s="139" t="s">
        <v>94</v>
      </c>
      <c r="B5" s="133">
        <v>-0.24665417</v>
      </c>
      <c r="C5" s="117">
        <v>0.69743589</v>
      </c>
      <c r="D5" s="117">
        <v>0.26093764</v>
      </c>
      <c r="E5" s="117">
        <v>-0.14628500500000002</v>
      </c>
      <c r="F5" s="152">
        <v>-1.3358288999999999</v>
      </c>
      <c r="G5" s="158">
        <v>-0.01892656243750259</v>
      </c>
    </row>
    <row r="6" spans="1:7" ht="12.75">
      <c r="A6" s="139" t="s">
        <v>96</v>
      </c>
      <c r="B6" s="133">
        <v>-0.014583500000000004</v>
      </c>
      <c r="C6" s="117">
        <v>0.7738520799999999</v>
      </c>
      <c r="D6" s="117">
        <v>0.38073549</v>
      </c>
      <c r="E6" s="117">
        <v>1.03789774</v>
      </c>
      <c r="F6" s="152">
        <v>0.20978256999999995</v>
      </c>
      <c r="G6" s="158">
        <v>0.5535723957796235</v>
      </c>
    </row>
    <row r="7" spans="1:7" ht="12.75">
      <c r="A7" s="139" t="s">
        <v>98</v>
      </c>
      <c r="B7" s="132">
        <v>4.162522</v>
      </c>
      <c r="C7" s="116">
        <v>3.4167722999999994</v>
      </c>
      <c r="D7" s="116">
        <v>3.6121289000000005</v>
      </c>
      <c r="E7" s="116">
        <v>2.772844</v>
      </c>
      <c r="F7" s="153">
        <v>14.173946</v>
      </c>
      <c r="G7" s="158">
        <v>4.855216740679486</v>
      </c>
    </row>
    <row r="8" spans="1:7" ht="12.75">
      <c r="A8" s="139" t="s">
        <v>100</v>
      </c>
      <c r="B8" s="133">
        <v>0.110849847</v>
      </c>
      <c r="C8" s="117">
        <v>0.09242906</v>
      </c>
      <c r="D8" s="117">
        <v>-0.09335265699999999</v>
      </c>
      <c r="E8" s="117">
        <v>-0.10187163200000002</v>
      </c>
      <c r="F8" s="152">
        <v>-0.16459</v>
      </c>
      <c r="G8" s="158">
        <v>-0.030749862888761175</v>
      </c>
    </row>
    <row r="9" spans="1:7" ht="12.75">
      <c r="A9" s="139" t="s">
        <v>102</v>
      </c>
      <c r="B9" s="133">
        <v>0.022244414</v>
      </c>
      <c r="C9" s="117">
        <v>0.09964146700000001</v>
      </c>
      <c r="D9" s="117">
        <v>0.15871749</v>
      </c>
      <c r="E9" s="117">
        <v>0.018436112999999997</v>
      </c>
      <c r="F9" s="152">
        <v>-0.18040532000000004</v>
      </c>
      <c r="G9" s="158">
        <v>0.04567241747253637</v>
      </c>
    </row>
    <row r="10" spans="1:7" ht="12.75">
      <c r="A10" s="139" t="s">
        <v>104</v>
      </c>
      <c r="B10" s="133">
        <v>-0.06744934999999999</v>
      </c>
      <c r="C10" s="117">
        <v>-0.007064108827</v>
      </c>
      <c r="D10" s="117">
        <v>-0.033246117000000006</v>
      </c>
      <c r="E10" s="117">
        <v>0.018301752999999997</v>
      </c>
      <c r="F10" s="152">
        <v>0.067290922</v>
      </c>
      <c r="G10" s="158">
        <v>-0.006029194984777519</v>
      </c>
    </row>
    <row r="11" spans="1:7" ht="12.75">
      <c r="A11" s="139" t="s">
        <v>106</v>
      </c>
      <c r="B11" s="132">
        <v>-0.31601624</v>
      </c>
      <c r="C11" s="116">
        <v>-0.077869944</v>
      </c>
      <c r="D11" s="116">
        <v>-0.017753475</v>
      </c>
      <c r="E11" s="116">
        <v>-0.005513556099999999</v>
      </c>
      <c r="F11" s="154">
        <v>-0.27019572</v>
      </c>
      <c r="G11" s="158">
        <v>-0.10609881729959825</v>
      </c>
    </row>
    <row r="12" spans="1:7" ht="12.75">
      <c r="A12" s="139" t="s">
        <v>108</v>
      </c>
      <c r="B12" s="133">
        <v>0.005134113010000001</v>
      </c>
      <c r="C12" s="117">
        <v>0.003920344569000001</v>
      </c>
      <c r="D12" s="117">
        <v>-0.00031838661</v>
      </c>
      <c r="E12" s="117">
        <v>0.00711167766</v>
      </c>
      <c r="F12" s="152">
        <v>0.009973338100000001</v>
      </c>
      <c r="G12" s="158">
        <v>0.0046538150296463535</v>
      </c>
    </row>
    <row r="13" spans="1:7" ht="12.75">
      <c r="A13" s="139" t="s">
        <v>110</v>
      </c>
      <c r="B13" s="133">
        <v>-0.0037677629999999995</v>
      </c>
      <c r="C13" s="117">
        <v>-0.0037805566</v>
      </c>
      <c r="D13" s="117">
        <v>-0.0008044015000000001</v>
      </c>
      <c r="E13" s="117">
        <v>-0.0072617105</v>
      </c>
      <c r="F13" s="152">
        <v>-0.0171736558</v>
      </c>
      <c r="G13" s="158">
        <v>-0.005692160301964125</v>
      </c>
    </row>
    <row r="14" spans="1:7" ht="12.75">
      <c r="A14" s="139" t="s">
        <v>112</v>
      </c>
      <c r="B14" s="133">
        <v>0.03473317699999999</v>
      </c>
      <c r="C14" s="117">
        <v>0.016088485</v>
      </c>
      <c r="D14" s="117">
        <v>0.026512276</v>
      </c>
      <c r="E14" s="117">
        <v>0.035548975999999996</v>
      </c>
      <c r="F14" s="152">
        <v>0.0074464171999999995</v>
      </c>
      <c r="G14" s="158">
        <v>0.024816529007104893</v>
      </c>
    </row>
    <row r="15" spans="1:7" ht="12.75">
      <c r="A15" s="139" t="s">
        <v>114</v>
      </c>
      <c r="B15" s="134">
        <v>-0.19600104000000002</v>
      </c>
      <c r="C15" s="119">
        <v>-0.17007201</v>
      </c>
      <c r="D15" s="119">
        <v>-0.17712612</v>
      </c>
      <c r="E15" s="119">
        <v>-0.17866221000000002</v>
      </c>
      <c r="F15" s="152">
        <v>-0.13821581</v>
      </c>
      <c r="G15" s="158">
        <v>-0.17331953335148323</v>
      </c>
    </row>
    <row r="16" spans="1:7" ht="12.75">
      <c r="A16" s="139" t="s">
        <v>116</v>
      </c>
      <c r="B16" s="133">
        <v>-0.00083652304</v>
      </c>
      <c r="C16" s="117">
        <v>-0.0034341420900000003</v>
      </c>
      <c r="D16" s="117">
        <v>0.000510788167</v>
      </c>
      <c r="E16" s="117">
        <v>-0.00402299942</v>
      </c>
      <c r="F16" s="152">
        <v>-0.0042912174</v>
      </c>
      <c r="G16" s="158">
        <v>-0.002366552434337937</v>
      </c>
    </row>
    <row r="17" spans="1:7" ht="12.75">
      <c r="A17" s="139" t="s">
        <v>93</v>
      </c>
      <c r="B17" s="132">
        <v>0.161415696</v>
      </c>
      <c r="C17" s="116">
        <v>-0.13936111299999998</v>
      </c>
      <c r="D17" s="116">
        <v>0.61145313</v>
      </c>
      <c r="E17" s="116">
        <v>-1.3527274999999999</v>
      </c>
      <c r="F17" s="153">
        <v>9.009278799999999</v>
      </c>
      <c r="G17" s="158">
        <v>1.0162285010068737</v>
      </c>
    </row>
    <row r="18" spans="1:7" ht="12.75">
      <c r="A18" s="139" t="s">
        <v>95</v>
      </c>
      <c r="B18" s="133">
        <v>-0.93189514</v>
      </c>
      <c r="C18" s="117">
        <v>1.8059885999999998</v>
      </c>
      <c r="D18" s="117">
        <v>1.507145</v>
      </c>
      <c r="E18" s="117">
        <v>0.68411808</v>
      </c>
      <c r="F18" s="152">
        <v>-0.8822179199999999</v>
      </c>
      <c r="G18" s="158">
        <v>0.7091926745150656</v>
      </c>
    </row>
    <row r="19" spans="1:7" ht="12.75">
      <c r="A19" s="139" t="s">
        <v>97</v>
      </c>
      <c r="B19" s="133">
        <v>0.9216428600000001</v>
      </c>
      <c r="C19" s="117">
        <v>0.26059463000000005</v>
      </c>
      <c r="D19" s="117">
        <v>0.44810809</v>
      </c>
      <c r="E19" s="117">
        <v>-0.44797473000000004</v>
      </c>
      <c r="F19" s="152">
        <v>-0.21327407599999998</v>
      </c>
      <c r="G19" s="158">
        <v>0.16719151413599437</v>
      </c>
    </row>
    <row r="20" spans="1:7" ht="12.75">
      <c r="A20" s="139" t="s">
        <v>99</v>
      </c>
      <c r="B20" s="132">
        <v>0.5870782400000001</v>
      </c>
      <c r="C20" s="116">
        <v>-0.17734875000000003</v>
      </c>
      <c r="D20" s="116">
        <v>0.039913635</v>
      </c>
      <c r="E20" s="116">
        <v>0.23699783000000002</v>
      </c>
      <c r="F20" s="154">
        <v>1.02480935</v>
      </c>
      <c r="G20" s="158">
        <v>0.24581493194270743</v>
      </c>
    </row>
    <row r="21" spans="1:7" ht="12.75">
      <c r="A21" s="139" t="s">
        <v>101</v>
      </c>
      <c r="B21" s="133">
        <v>0.14973588999999998</v>
      </c>
      <c r="C21" s="117">
        <v>-0.128214973</v>
      </c>
      <c r="D21" s="117">
        <v>-0.20771058</v>
      </c>
      <c r="E21" s="117">
        <v>-0.27515377</v>
      </c>
      <c r="F21" s="152">
        <v>0.117959795</v>
      </c>
      <c r="G21" s="158">
        <v>-0.1096520838106971</v>
      </c>
    </row>
    <row r="22" spans="1:7" ht="12.75">
      <c r="A22" s="139" t="s">
        <v>103</v>
      </c>
      <c r="B22" s="133">
        <v>-0.10667973099999999</v>
      </c>
      <c r="C22" s="117">
        <v>0.28070218</v>
      </c>
      <c r="D22" s="117">
        <v>0.25382644</v>
      </c>
      <c r="E22" s="117">
        <v>-0.15706499200000001</v>
      </c>
      <c r="F22" s="152">
        <v>-0.11103936700000001</v>
      </c>
      <c r="G22" s="158">
        <v>0.060529580324174076</v>
      </c>
    </row>
    <row r="23" spans="1:7" ht="12.75">
      <c r="A23" s="139" t="s">
        <v>105</v>
      </c>
      <c r="B23" s="133">
        <v>0.023518292</v>
      </c>
      <c r="C23" s="117">
        <v>-0.0105670874</v>
      </c>
      <c r="D23" s="117">
        <v>-0.07415603200000001</v>
      </c>
      <c r="E23" s="117">
        <v>-0.097023846</v>
      </c>
      <c r="F23" s="152">
        <v>-0.060058999</v>
      </c>
      <c r="G23" s="158">
        <v>-0.04837371725284316</v>
      </c>
    </row>
    <row r="24" spans="1:7" ht="12.75">
      <c r="A24" s="139" t="s">
        <v>107</v>
      </c>
      <c r="B24" s="132">
        <v>0.083848136</v>
      </c>
      <c r="C24" s="116">
        <v>0.052160888</v>
      </c>
      <c r="D24" s="116">
        <v>0.0049414336000000005</v>
      </c>
      <c r="E24" s="116">
        <v>0.01078361583</v>
      </c>
      <c r="F24" s="154">
        <v>0.16250323</v>
      </c>
      <c r="G24" s="158">
        <v>0.05017545722444114</v>
      </c>
    </row>
    <row r="25" spans="1:7" ht="12.75">
      <c r="A25" s="139" t="s">
        <v>109</v>
      </c>
      <c r="B25" s="133">
        <v>0.017204417839999996</v>
      </c>
      <c r="C25" s="117">
        <v>-0.0025242794999999997</v>
      </c>
      <c r="D25" s="117">
        <v>-0.057908753</v>
      </c>
      <c r="E25" s="117">
        <v>-0.036067641</v>
      </c>
      <c r="F25" s="152">
        <v>0.0045303949</v>
      </c>
      <c r="G25" s="158">
        <v>-0.020129427987867616</v>
      </c>
    </row>
    <row r="26" spans="1:7" ht="12.75">
      <c r="A26" s="139" t="s">
        <v>111</v>
      </c>
      <c r="B26" s="133">
        <v>0.004686365600000001</v>
      </c>
      <c r="C26" s="117">
        <v>0.020293508299999995</v>
      </c>
      <c r="D26" s="117">
        <v>0.019709482</v>
      </c>
      <c r="E26" s="117">
        <v>-0.0389576731</v>
      </c>
      <c r="F26" s="152">
        <v>-0.0054745504</v>
      </c>
      <c r="G26" s="158">
        <v>0.000189917267914085</v>
      </c>
    </row>
    <row r="27" spans="1:7" ht="12.75">
      <c r="A27" s="139" t="s">
        <v>113</v>
      </c>
      <c r="B27" s="133">
        <v>0.048799861</v>
      </c>
      <c r="C27" s="117">
        <v>0.016856682</v>
      </c>
      <c r="D27" s="117">
        <v>-0.0023910867699999997</v>
      </c>
      <c r="E27" s="117">
        <v>0.024255708000000004</v>
      </c>
      <c r="F27" s="152">
        <v>0.024900475999999998</v>
      </c>
      <c r="G27" s="158">
        <v>0.019695698133182667</v>
      </c>
    </row>
    <row r="28" spans="1:7" ht="12.75">
      <c r="A28" s="139" t="s">
        <v>115</v>
      </c>
      <c r="B28" s="133">
        <v>0.015452028000000001</v>
      </c>
      <c r="C28" s="117">
        <v>0.017029757</v>
      </c>
      <c r="D28" s="117">
        <v>0.017381122000000002</v>
      </c>
      <c r="E28" s="117">
        <v>0.018277626</v>
      </c>
      <c r="F28" s="152">
        <v>-0.020808341</v>
      </c>
      <c r="G28" s="158">
        <v>0.01212596589984431</v>
      </c>
    </row>
    <row r="29" spans="1:7" ht="13.5" thickBot="1">
      <c r="A29" s="140" t="s">
        <v>117</v>
      </c>
      <c r="B29" s="135">
        <v>0.00207519344</v>
      </c>
      <c r="C29" s="118">
        <v>0.00088911783</v>
      </c>
      <c r="D29" s="118">
        <v>-0.0007936572309999999</v>
      </c>
      <c r="E29" s="118">
        <v>0.0026490024399999997</v>
      </c>
      <c r="F29" s="155">
        <v>0.00410998105</v>
      </c>
      <c r="G29" s="159">
        <v>0.0015100246530024254</v>
      </c>
    </row>
    <row r="30" spans="1:7" ht="13.5" thickTop="1">
      <c r="A30" s="141" t="s">
        <v>118</v>
      </c>
      <c r="B30" s="136">
        <v>-0.12950654477509796</v>
      </c>
      <c r="C30" s="125">
        <v>0.2034013636407042</v>
      </c>
      <c r="D30" s="125">
        <v>0.4310635512590758</v>
      </c>
      <c r="E30" s="125">
        <v>0.5834954975028568</v>
      </c>
      <c r="F30" s="121">
        <v>0.7823292090947578</v>
      </c>
      <c r="G30" s="160" t="s">
        <v>129</v>
      </c>
    </row>
    <row r="31" spans="1:7" ht="13.5" thickBot="1">
      <c r="A31" s="142" t="s">
        <v>119</v>
      </c>
      <c r="B31" s="131">
        <v>18.841553</v>
      </c>
      <c r="C31" s="122">
        <v>18.643189</v>
      </c>
      <c r="D31" s="122">
        <v>18.414307</v>
      </c>
      <c r="E31" s="122">
        <v>18.252564</v>
      </c>
      <c r="F31" s="123">
        <v>18.15796</v>
      </c>
      <c r="G31" s="162">
        <v>-209.64</v>
      </c>
    </row>
    <row r="32" spans="1:7" ht="15.75" thickBot="1" thickTop="1">
      <c r="A32" s="143" t="s">
        <v>120</v>
      </c>
      <c r="B32" s="137">
        <v>-0.12800000235438347</v>
      </c>
      <c r="C32" s="126">
        <v>-0.2615000009536743</v>
      </c>
      <c r="D32" s="126">
        <v>0.42899999022483826</v>
      </c>
      <c r="E32" s="126">
        <v>0.5384999811649323</v>
      </c>
      <c r="F32" s="124">
        <v>0.39150001108646393</v>
      </c>
      <c r="G32" s="129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5.66015625" style="163" bestFit="1" customWidth="1"/>
    <col min="2" max="2" width="15.66015625" style="163" bestFit="1" customWidth="1"/>
    <col min="3" max="3" width="15.33203125" style="163" bestFit="1" customWidth="1"/>
    <col min="4" max="4" width="16" style="163" bestFit="1" customWidth="1"/>
    <col min="5" max="5" width="22.16015625" style="163" bestFit="1" customWidth="1"/>
    <col min="6" max="6" width="14.83203125" style="163" bestFit="1" customWidth="1"/>
    <col min="7" max="7" width="15.33203125" style="163" bestFit="1" customWidth="1"/>
    <col min="8" max="8" width="14.16015625" style="163" bestFit="1" customWidth="1"/>
    <col min="9" max="9" width="14.83203125" style="163" bestFit="1" customWidth="1"/>
    <col min="10" max="10" width="6.33203125" style="163" bestFit="1" customWidth="1"/>
    <col min="11" max="11" width="15" style="163" bestFit="1" customWidth="1"/>
    <col min="12" max="16384" width="10.66015625" style="163" customWidth="1"/>
  </cols>
  <sheetData>
    <row r="1" spans="1:5" ht="12.75">
      <c r="A1" s="163" t="s">
        <v>130</v>
      </c>
      <c r="B1" s="163" t="s">
        <v>131</v>
      </c>
      <c r="C1" s="163" t="s">
        <v>132</v>
      </c>
      <c r="D1" s="163" t="s">
        <v>133</v>
      </c>
      <c r="E1" s="163" t="s">
        <v>28</v>
      </c>
    </row>
    <row r="3" spans="1:7" ht="12.75">
      <c r="A3" s="163" t="s">
        <v>134</v>
      </c>
      <c r="B3" s="163" t="s">
        <v>85</v>
      </c>
      <c r="C3" s="163" t="s">
        <v>86</v>
      </c>
      <c r="D3" s="163" t="s">
        <v>87</v>
      </c>
      <c r="E3" s="163" t="s">
        <v>88</v>
      </c>
      <c r="F3" s="163" t="s">
        <v>89</v>
      </c>
      <c r="G3" s="163" t="s">
        <v>135</v>
      </c>
    </row>
    <row r="4" spans="1:7" ht="12.75">
      <c r="A4" s="163" t="s">
        <v>136</v>
      </c>
      <c r="B4" s="163">
        <f>0.002251*1.0033</f>
        <v>0.0022584283000000004</v>
      </c>
      <c r="C4" s="163">
        <f>0.003751*1.0033</f>
        <v>0.0037633783000000005</v>
      </c>
      <c r="D4" s="163">
        <f>0.00375*1.0033</f>
        <v>0.003762375</v>
      </c>
      <c r="E4" s="163">
        <f>0.003753*1.0033</f>
        <v>0.0037653849</v>
      </c>
      <c r="F4" s="163">
        <f>0.002085*1.0033</f>
        <v>0.0020918805</v>
      </c>
      <c r="G4" s="163">
        <f>0.01169*1.0033</f>
        <v>0.011728577000000002</v>
      </c>
    </row>
    <row r="5" spans="1:7" ht="12.75">
      <c r="A5" s="163" t="s">
        <v>137</v>
      </c>
      <c r="B5" s="163">
        <v>9.228957</v>
      </c>
      <c r="C5" s="163">
        <v>3.234423</v>
      </c>
      <c r="D5" s="163">
        <v>-0.631906</v>
      </c>
      <c r="E5" s="163">
        <v>-3.941369</v>
      </c>
      <c r="F5" s="163">
        <v>-7.559524</v>
      </c>
      <c r="G5" s="163">
        <v>6.640746</v>
      </c>
    </row>
    <row r="6" spans="1:7" ht="12.75">
      <c r="A6" s="163" t="s">
        <v>138</v>
      </c>
      <c r="B6" s="164">
        <v>-21.75569</v>
      </c>
      <c r="C6" s="164">
        <v>26.94258</v>
      </c>
      <c r="D6" s="164">
        <v>-8.542404</v>
      </c>
      <c r="E6" s="164">
        <v>-12.15661</v>
      </c>
      <c r="F6" s="164">
        <v>12.25399</v>
      </c>
      <c r="G6" s="164">
        <v>-0.000781519</v>
      </c>
    </row>
    <row r="7" spans="1:7" ht="12.75">
      <c r="A7" s="163" t="s">
        <v>139</v>
      </c>
      <c r="B7" s="164">
        <v>10000</v>
      </c>
      <c r="C7" s="164">
        <v>10000</v>
      </c>
      <c r="D7" s="164">
        <v>10000</v>
      </c>
      <c r="E7" s="164">
        <v>10000</v>
      </c>
      <c r="F7" s="164">
        <v>10000</v>
      </c>
      <c r="G7" s="164">
        <v>10000</v>
      </c>
    </row>
    <row r="8" spans="1:7" ht="12.75">
      <c r="A8" s="163" t="s">
        <v>92</v>
      </c>
      <c r="B8" s="164">
        <v>0.5057707</v>
      </c>
      <c r="C8" s="164">
        <v>-1.805735</v>
      </c>
      <c r="D8" s="164">
        <v>-1.050217</v>
      </c>
      <c r="E8" s="164">
        <v>-2.815864</v>
      </c>
      <c r="F8" s="164">
        <v>-5.846389</v>
      </c>
      <c r="G8" s="164">
        <v>-2.073848</v>
      </c>
    </row>
    <row r="9" spans="1:7" ht="12.75">
      <c r="A9" s="163" t="s">
        <v>94</v>
      </c>
      <c r="B9" s="164">
        <v>-0.187363</v>
      </c>
      <c r="C9" s="164">
        <v>0.6751239</v>
      </c>
      <c r="D9" s="164">
        <v>0.2365236</v>
      </c>
      <c r="E9" s="164">
        <v>-0.1510417</v>
      </c>
      <c r="F9" s="164">
        <v>-1.41533</v>
      </c>
      <c r="G9" s="164">
        <v>-0.03335795</v>
      </c>
    </row>
    <row r="10" spans="1:7" ht="12.75">
      <c r="A10" s="163" t="s">
        <v>96</v>
      </c>
      <c r="B10" s="164">
        <v>-0.06155015</v>
      </c>
      <c r="C10" s="164">
        <v>0.821624</v>
      </c>
      <c r="D10" s="164">
        <v>0.3680842</v>
      </c>
      <c r="E10" s="164">
        <v>1.018982</v>
      </c>
      <c r="F10" s="164">
        <v>0.3264713</v>
      </c>
      <c r="G10" s="164">
        <v>0.5663107</v>
      </c>
    </row>
    <row r="11" spans="1:7" ht="12.75">
      <c r="A11" s="163" t="s">
        <v>98</v>
      </c>
      <c r="B11" s="164">
        <v>4.129396</v>
      </c>
      <c r="C11" s="164">
        <v>3.423471</v>
      </c>
      <c r="D11" s="164">
        <v>3.6258</v>
      </c>
      <c r="E11" s="164">
        <v>2.769885</v>
      </c>
      <c r="F11" s="164">
        <v>14.21408</v>
      </c>
      <c r="G11" s="164">
        <v>4.859825</v>
      </c>
    </row>
    <row r="12" spans="1:7" ht="12.75">
      <c r="A12" s="163" t="s">
        <v>100</v>
      </c>
      <c r="B12" s="164">
        <v>0.08429197</v>
      </c>
      <c r="C12" s="164">
        <v>0.08280958</v>
      </c>
      <c r="D12" s="164">
        <v>-0.1196765</v>
      </c>
      <c r="E12" s="164">
        <v>-0.1190873</v>
      </c>
      <c r="F12" s="164">
        <v>-0.1771473</v>
      </c>
      <c r="G12" s="164">
        <v>-0.04905417</v>
      </c>
    </row>
    <row r="13" spans="1:7" ht="12.75">
      <c r="A13" s="163" t="s">
        <v>102</v>
      </c>
      <c r="B13" s="164">
        <v>0.03724844</v>
      </c>
      <c r="C13" s="164">
        <v>0.09328398</v>
      </c>
      <c r="D13" s="164">
        <v>0.1678591</v>
      </c>
      <c r="E13" s="164">
        <v>0.01042063</v>
      </c>
      <c r="F13" s="164">
        <v>-0.1875412</v>
      </c>
      <c r="G13" s="164">
        <v>0.0456288</v>
      </c>
    </row>
    <row r="14" spans="1:7" ht="12.75">
      <c r="A14" s="163" t="s">
        <v>104</v>
      </c>
      <c r="B14" s="164">
        <v>-0.0550051</v>
      </c>
      <c r="C14" s="164">
        <v>-0.01030176</v>
      </c>
      <c r="D14" s="164">
        <v>-0.03390826</v>
      </c>
      <c r="E14" s="164">
        <v>0.01632317</v>
      </c>
      <c r="F14" s="164">
        <v>0.07953829</v>
      </c>
      <c r="G14" s="164">
        <v>-0.004009195</v>
      </c>
    </row>
    <row r="15" spans="1:7" ht="12.75">
      <c r="A15" s="163" t="s">
        <v>106</v>
      </c>
      <c r="B15" s="164">
        <v>-0.3215261</v>
      </c>
      <c r="C15" s="164">
        <v>-0.07970001</v>
      </c>
      <c r="D15" s="164">
        <v>-0.01166563</v>
      </c>
      <c r="E15" s="164">
        <v>-0.006600152</v>
      </c>
      <c r="F15" s="164">
        <v>-0.2562638</v>
      </c>
      <c r="G15" s="164">
        <v>-0.1042614</v>
      </c>
    </row>
    <row r="16" spans="1:7" ht="12.75">
      <c r="A16" s="163" t="s">
        <v>108</v>
      </c>
      <c r="B16" s="164">
        <v>0.001828707</v>
      </c>
      <c r="C16" s="164">
        <v>0.002994871</v>
      </c>
      <c r="D16" s="164">
        <v>-0.002968678</v>
      </c>
      <c r="E16" s="164">
        <v>0.003645083</v>
      </c>
      <c r="F16" s="164">
        <v>0.007998574</v>
      </c>
      <c r="G16" s="164">
        <v>0.00221786</v>
      </c>
    </row>
    <row r="17" spans="1:7" ht="12.75">
      <c r="A17" s="163" t="s">
        <v>110</v>
      </c>
      <c r="B17" s="164">
        <v>0.002195621</v>
      </c>
      <c r="C17" s="164">
        <v>-0.004864791</v>
      </c>
      <c r="D17" s="164">
        <v>8.451859E-05</v>
      </c>
      <c r="E17" s="164">
        <v>-0.008164545</v>
      </c>
      <c r="F17" s="164">
        <v>-0.01309191</v>
      </c>
      <c r="G17" s="164">
        <v>-0.004549551</v>
      </c>
    </row>
    <row r="18" spans="1:7" ht="12.75">
      <c r="A18" s="163" t="s">
        <v>112</v>
      </c>
      <c r="B18" s="164">
        <v>0.03068257</v>
      </c>
      <c r="C18" s="164">
        <v>0.01348125</v>
      </c>
      <c r="D18" s="164">
        <v>0.02644873</v>
      </c>
      <c r="E18" s="164">
        <v>0.03821501</v>
      </c>
      <c r="F18" s="164">
        <v>0.009191355</v>
      </c>
      <c r="G18" s="164">
        <v>0.02446412</v>
      </c>
    </row>
    <row r="19" spans="1:7" ht="12.75">
      <c r="A19" s="163" t="s">
        <v>114</v>
      </c>
      <c r="B19" s="164">
        <v>-0.1964093</v>
      </c>
      <c r="C19" s="164">
        <v>-0.1706863</v>
      </c>
      <c r="D19" s="164">
        <v>-0.1769967</v>
      </c>
      <c r="E19" s="164">
        <v>-0.1773846</v>
      </c>
      <c r="F19" s="164">
        <v>-0.139645</v>
      </c>
      <c r="G19" s="164">
        <v>-0.1733791</v>
      </c>
    </row>
    <row r="20" spans="1:7" ht="12.75">
      <c r="A20" s="163" t="s">
        <v>116</v>
      </c>
      <c r="B20" s="164">
        <v>-0.001115364</v>
      </c>
      <c r="C20" s="164">
        <v>-0.003475377</v>
      </c>
      <c r="D20" s="164">
        <v>0.0004856946</v>
      </c>
      <c r="E20" s="164">
        <v>-0.003853918</v>
      </c>
      <c r="F20" s="164">
        <v>-0.003806191</v>
      </c>
      <c r="G20" s="164">
        <v>-0.0023172</v>
      </c>
    </row>
    <row r="21" spans="1:7" ht="12.75">
      <c r="A21" s="163" t="s">
        <v>140</v>
      </c>
      <c r="B21" s="164">
        <v>-94.29481</v>
      </c>
      <c r="C21" s="164">
        <v>47.89604</v>
      </c>
      <c r="D21" s="164">
        <v>113.808</v>
      </c>
      <c r="E21" s="164">
        <v>-46.66421</v>
      </c>
      <c r="F21" s="164">
        <v>-105.1044</v>
      </c>
      <c r="G21" s="164">
        <v>-0.00123925</v>
      </c>
    </row>
    <row r="22" spans="1:7" ht="12.75">
      <c r="A22" s="163" t="s">
        <v>141</v>
      </c>
      <c r="B22" s="164">
        <v>184.6001</v>
      </c>
      <c r="C22" s="164">
        <v>64.68937</v>
      </c>
      <c r="D22" s="164">
        <v>-12.63812</v>
      </c>
      <c r="E22" s="164">
        <v>-78.82902</v>
      </c>
      <c r="F22" s="164">
        <v>-151.202</v>
      </c>
      <c r="G22" s="164">
        <v>0</v>
      </c>
    </row>
    <row r="23" spans="1:7" ht="12.75">
      <c r="A23" s="163" t="s">
        <v>93</v>
      </c>
      <c r="B23" s="164">
        <v>0.1973729</v>
      </c>
      <c r="C23" s="164">
        <v>-0.1261402</v>
      </c>
      <c r="D23" s="164">
        <v>0.6232368</v>
      </c>
      <c r="E23" s="164">
        <v>-1.313763</v>
      </c>
      <c r="F23" s="164">
        <v>9.194595</v>
      </c>
      <c r="G23" s="164">
        <v>1.061461</v>
      </c>
    </row>
    <row r="24" spans="1:7" ht="12.75">
      <c r="A24" s="163" t="s">
        <v>95</v>
      </c>
      <c r="B24" s="164">
        <v>-0.9373361</v>
      </c>
      <c r="C24" s="164">
        <v>1.835858</v>
      </c>
      <c r="D24" s="164">
        <v>1.523214</v>
      </c>
      <c r="E24" s="164">
        <v>0.6707214</v>
      </c>
      <c r="F24" s="164">
        <v>-0.8337376</v>
      </c>
      <c r="G24" s="164">
        <v>0.7227856</v>
      </c>
    </row>
    <row r="25" spans="1:7" ht="12.75">
      <c r="A25" s="163" t="s">
        <v>97</v>
      </c>
      <c r="B25" s="164">
        <v>0.713495</v>
      </c>
      <c r="C25" s="164">
        <v>0.3525564</v>
      </c>
      <c r="D25" s="164">
        <v>0.651686</v>
      </c>
      <c r="E25" s="164">
        <v>-0.5343816</v>
      </c>
      <c r="F25" s="164">
        <v>-0.9655672</v>
      </c>
      <c r="G25" s="164">
        <v>0.08682853</v>
      </c>
    </row>
    <row r="26" spans="1:7" ht="12.75">
      <c r="A26" s="163" t="s">
        <v>99</v>
      </c>
      <c r="B26" s="164">
        <v>0.8076894</v>
      </c>
      <c r="C26" s="164">
        <v>-0.1113942</v>
      </c>
      <c r="D26" s="164">
        <v>0.01896202</v>
      </c>
      <c r="E26" s="164">
        <v>0.1760535</v>
      </c>
      <c r="F26" s="164">
        <v>0.3895608</v>
      </c>
      <c r="G26" s="164">
        <v>0.1888764</v>
      </c>
    </row>
    <row r="27" spans="1:7" ht="12.75">
      <c r="A27" s="163" t="s">
        <v>101</v>
      </c>
      <c r="B27" s="164">
        <v>0.1487999</v>
      </c>
      <c r="C27" s="164">
        <v>-0.1232025</v>
      </c>
      <c r="D27" s="164">
        <v>-0.2021272</v>
      </c>
      <c r="E27" s="164">
        <v>-0.2769472</v>
      </c>
      <c r="F27" s="164">
        <v>0.1351917</v>
      </c>
      <c r="G27" s="164">
        <v>-0.1053753</v>
      </c>
    </row>
    <row r="28" spans="1:7" ht="12.75">
      <c r="A28" s="163" t="s">
        <v>103</v>
      </c>
      <c r="B28" s="164">
        <v>-0.1008123</v>
      </c>
      <c r="C28" s="164">
        <v>0.2831062</v>
      </c>
      <c r="D28" s="164">
        <v>0.2511344</v>
      </c>
      <c r="E28" s="164">
        <v>-0.1564623</v>
      </c>
      <c r="F28" s="164">
        <v>-0.1073863</v>
      </c>
      <c r="G28" s="164">
        <v>0.06194966</v>
      </c>
    </row>
    <row r="29" spans="1:7" ht="12.75">
      <c r="A29" s="163" t="s">
        <v>105</v>
      </c>
      <c r="B29" s="164">
        <v>0.04266756</v>
      </c>
      <c r="C29" s="164">
        <v>-0.01322219</v>
      </c>
      <c r="D29" s="164">
        <v>-0.07538736</v>
      </c>
      <c r="E29" s="164">
        <v>-0.09782607</v>
      </c>
      <c r="F29" s="164">
        <v>-0.03942197</v>
      </c>
      <c r="G29" s="164">
        <v>-0.04397873</v>
      </c>
    </row>
    <row r="30" spans="1:7" ht="12.75">
      <c r="A30" s="163" t="s">
        <v>107</v>
      </c>
      <c r="B30" s="164">
        <v>0.0509123</v>
      </c>
      <c r="C30" s="164">
        <v>0.0490344</v>
      </c>
      <c r="D30" s="164">
        <v>0.004655645</v>
      </c>
      <c r="E30" s="164">
        <v>0.01048458</v>
      </c>
      <c r="F30" s="164">
        <v>0.1795265</v>
      </c>
      <c r="G30" s="164">
        <v>0.04680015</v>
      </c>
    </row>
    <row r="31" spans="1:7" ht="12.75">
      <c r="A31" s="163" t="s">
        <v>109</v>
      </c>
      <c r="B31" s="164">
        <v>0.02166891</v>
      </c>
      <c r="C31" s="164">
        <v>0.001034468</v>
      </c>
      <c r="D31" s="164">
        <v>-0.05493665</v>
      </c>
      <c r="E31" s="164">
        <v>-0.03259864</v>
      </c>
      <c r="F31" s="164">
        <v>0.008636051</v>
      </c>
      <c r="G31" s="164">
        <v>-0.01653085</v>
      </c>
    </row>
    <row r="32" spans="1:7" ht="12.75">
      <c r="A32" s="163" t="s">
        <v>111</v>
      </c>
      <c r="B32" s="164">
        <v>-0.0003661821</v>
      </c>
      <c r="C32" s="164">
        <v>0.02166081</v>
      </c>
      <c r="D32" s="164">
        <v>0.02348163</v>
      </c>
      <c r="E32" s="164">
        <v>-0.04080658</v>
      </c>
      <c r="F32" s="164">
        <v>-0.003957199</v>
      </c>
      <c r="G32" s="164">
        <v>0.0004548894</v>
      </c>
    </row>
    <row r="33" spans="1:7" ht="12.75">
      <c r="A33" s="163" t="s">
        <v>113</v>
      </c>
      <c r="B33" s="164">
        <v>0.05984593</v>
      </c>
      <c r="C33" s="164">
        <v>0.01423644</v>
      </c>
      <c r="D33" s="164">
        <v>-0.01093616</v>
      </c>
      <c r="E33" s="164">
        <v>0.02557341</v>
      </c>
      <c r="F33" s="164">
        <v>0.02969989</v>
      </c>
      <c r="G33" s="164">
        <v>0.01956297</v>
      </c>
    </row>
    <row r="34" spans="1:7" ht="12.75">
      <c r="A34" s="163" t="s">
        <v>115</v>
      </c>
      <c r="B34" s="164">
        <v>-0.009938572</v>
      </c>
      <c r="C34" s="164">
        <v>0.009302249</v>
      </c>
      <c r="D34" s="164">
        <v>0.01895066</v>
      </c>
      <c r="E34" s="164">
        <v>0.02812628</v>
      </c>
      <c r="F34" s="164">
        <v>-0.006060197</v>
      </c>
      <c r="G34" s="164">
        <v>0.01131968</v>
      </c>
    </row>
    <row r="35" spans="1:7" ht="12.75">
      <c r="A35" s="163" t="s">
        <v>117</v>
      </c>
      <c r="B35" s="164">
        <v>0.001940096</v>
      </c>
      <c r="C35" s="164">
        <v>0.0007215966</v>
      </c>
      <c r="D35" s="164">
        <v>-0.0008004386</v>
      </c>
      <c r="E35" s="164">
        <v>0.002883307</v>
      </c>
      <c r="F35" s="164">
        <v>0.004569354</v>
      </c>
      <c r="G35" s="164">
        <v>0.001566307</v>
      </c>
    </row>
    <row r="36" spans="1:6" ht="12.75">
      <c r="A36" s="163" t="s">
        <v>142</v>
      </c>
      <c r="B36" s="164">
        <v>18.15796</v>
      </c>
      <c r="C36" s="164">
        <v>18.15186</v>
      </c>
      <c r="D36" s="164">
        <v>18.16711</v>
      </c>
      <c r="E36" s="164">
        <v>18.17017</v>
      </c>
      <c r="F36" s="164">
        <v>18.18237</v>
      </c>
    </row>
    <row r="37" spans="1:6" ht="12.75">
      <c r="A37" s="163" t="s">
        <v>143</v>
      </c>
      <c r="B37" s="164">
        <v>0.4048665</v>
      </c>
      <c r="C37" s="164">
        <v>0.3875733</v>
      </c>
      <c r="D37" s="164">
        <v>0.3758748</v>
      </c>
      <c r="E37" s="164">
        <v>0.3677368</v>
      </c>
      <c r="F37" s="164">
        <v>0.3621419</v>
      </c>
    </row>
    <row r="38" spans="1:7" ht="12.75">
      <c r="A38" s="163" t="s">
        <v>144</v>
      </c>
      <c r="B38" s="164">
        <v>3.993023E-05</v>
      </c>
      <c r="C38" s="164">
        <v>-4.632716E-05</v>
      </c>
      <c r="D38" s="164">
        <v>1.476658E-05</v>
      </c>
      <c r="E38" s="164">
        <v>2.003964E-05</v>
      </c>
      <c r="F38" s="164">
        <v>-2.352805E-05</v>
      </c>
      <c r="G38" s="164">
        <v>0.0002934672</v>
      </c>
    </row>
    <row r="39" spans="1:7" ht="12.75">
      <c r="A39" s="163" t="s">
        <v>145</v>
      </c>
      <c r="B39" s="164">
        <v>0.0001595641</v>
      </c>
      <c r="C39" s="164">
        <v>-8.112358E-05</v>
      </c>
      <c r="D39" s="164">
        <v>-0.0001934549</v>
      </c>
      <c r="E39" s="164">
        <v>7.948713E-05</v>
      </c>
      <c r="F39" s="164">
        <v>0.0001783218</v>
      </c>
      <c r="G39" s="164">
        <v>0.0003097169</v>
      </c>
    </row>
    <row r="40" spans="2:5" ht="12.75">
      <c r="B40" s="163" t="s">
        <v>146</v>
      </c>
      <c r="C40" s="163">
        <v>0.003751</v>
      </c>
      <c r="D40" s="163" t="s">
        <v>147</v>
      </c>
      <c r="E40" s="163">
        <v>3.116498</v>
      </c>
    </row>
    <row r="42" ht="12.75">
      <c r="A42" s="163" t="s">
        <v>148</v>
      </c>
    </row>
    <row r="50" spans="1:7" ht="12.75">
      <c r="A50" s="163" t="s">
        <v>149</v>
      </c>
      <c r="B50" s="163">
        <f>-0.017/(B7*B7+B22*B22)*(B21*B22+B6*B7)</f>
        <v>3.993022722826859E-05</v>
      </c>
      <c r="C50" s="163">
        <f>-0.017/(C7*C7+C22*C22)*(C21*C22+C6*C7)</f>
        <v>-4.632716933121152E-05</v>
      </c>
      <c r="D50" s="163">
        <f>-0.017/(D7*D7+D22*D22)*(D21*D22+D6*D7)</f>
        <v>1.476657747187894E-05</v>
      </c>
      <c r="E50" s="163">
        <f>-0.017/(E7*E7+E22*E22)*(E21*E22+E6*E7)</f>
        <v>2.0039647763029856E-05</v>
      </c>
      <c r="F50" s="163">
        <f>-0.017/(F7*F7+F22*F22)*(F21*F22+F6*F7)</f>
        <v>-2.3528043241308665E-05</v>
      </c>
      <c r="G50" s="163">
        <f>(B50*B$4+C50*C$4+D50*D$4+E50*E$4+F50*F$4)/SUM(B$4:F$4)</f>
        <v>-1.5155723248706256E-07</v>
      </c>
    </row>
    <row r="51" spans="1:7" ht="12.75">
      <c r="A51" s="163" t="s">
        <v>150</v>
      </c>
      <c r="B51" s="163">
        <f>-0.017/(B7*B7+B22*B22)*(B21*B7-B6*B22)</f>
        <v>0.00015956406460606389</v>
      </c>
      <c r="C51" s="163">
        <f>-0.017/(C7*C7+C22*C22)*(C21*C7-C6*C22)</f>
        <v>-8.112358046020806E-05</v>
      </c>
      <c r="D51" s="163">
        <f>-0.017/(D7*D7+D22*D22)*(D21*D7-D6*D22)</f>
        <v>-0.00019345493782219213</v>
      </c>
      <c r="E51" s="163">
        <f>-0.017/(E7*E7+E22*E22)*(E21*E7-E6*E22)</f>
        <v>7.948712757943049E-05</v>
      </c>
      <c r="F51" s="163">
        <f>-0.017/(F7*F7+F22*F22)*(F21*F7-F6*F22)</f>
        <v>0.00017832173128058275</v>
      </c>
      <c r="G51" s="163">
        <f>(B51*B$4+C51*C$4+D51*D$4+E51*E$4+F51*F$4)/SUM(B$4:F$4)</f>
        <v>-2.9240422424210767E-08</v>
      </c>
    </row>
    <row r="58" ht="12.75">
      <c r="A58" s="163" t="s">
        <v>152</v>
      </c>
    </row>
    <row r="60" spans="2:6" ht="12.75">
      <c r="B60" s="163" t="s">
        <v>85</v>
      </c>
      <c r="C60" s="163" t="s">
        <v>86</v>
      </c>
      <c r="D60" s="163" t="s">
        <v>87</v>
      </c>
      <c r="E60" s="163" t="s">
        <v>88</v>
      </c>
      <c r="F60" s="163" t="s">
        <v>89</v>
      </c>
    </row>
    <row r="61" spans="1:6" ht="12.75">
      <c r="A61" s="163" t="s">
        <v>154</v>
      </c>
      <c r="B61" s="163">
        <f>B6+(1/0.017)*(B7*B50-B22*B51)</f>
        <v>0</v>
      </c>
      <c r="C61" s="163">
        <f>C6+(1/0.017)*(C7*C50-C22*C51)</f>
        <v>0</v>
      </c>
      <c r="D61" s="163">
        <f>D6+(1/0.017)*(D7*D50-D22*D51)</f>
        <v>0</v>
      </c>
      <c r="E61" s="163">
        <f>E6+(1/0.017)*(E7*E50-E22*E51)</f>
        <v>0</v>
      </c>
      <c r="F61" s="163">
        <f>F6+(1/0.017)*(F7*F50-F22*F51)</f>
        <v>0</v>
      </c>
    </row>
    <row r="62" spans="1:6" ht="12.75">
      <c r="A62" s="163" t="s">
        <v>157</v>
      </c>
      <c r="B62" s="163">
        <f>B7+(2/0.017)*(B8*B50-B23*B51)</f>
        <v>9999.998670813742</v>
      </c>
      <c r="C62" s="163">
        <f>C7+(2/0.017)*(C8*C50-C23*C51)</f>
        <v>10000.008637840758</v>
      </c>
      <c r="D62" s="163">
        <f>D7+(2/0.017)*(D8*D50-D23*D51)</f>
        <v>10000.012360014789</v>
      </c>
      <c r="E62" s="163">
        <f>E7+(2/0.017)*(E8*E50-E23*E51)</f>
        <v>10000.005646861704</v>
      </c>
      <c r="F62" s="163">
        <f>F7+(2/0.017)*(F8*F50-F23*F51)</f>
        <v>9999.823289175809</v>
      </c>
    </row>
    <row r="63" spans="1:6" ht="12.75">
      <c r="A63" s="163" t="s">
        <v>158</v>
      </c>
      <c r="B63" s="163">
        <f>B8+(3/0.017)*(B9*B50-B24*B51)</f>
        <v>0.5308442960330281</v>
      </c>
      <c r="C63" s="163">
        <f>C8+(3/0.017)*(C9*C50-C24*C51)</f>
        <v>-1.784972389127941</v>
      </c>
      <c r="D63" s="163">
        <f>D8+(3/0.017)*(D9*D50-D24*D51)</f>
        <v>-0.9975994858135493</v>
      </c>
      <c r="E63" s="163">
        <f>E8+(3/0.017)*(E9*E50-E24*E51)</f>
        <v>-2.8258064482278087</v>
      </c>
      <c r="F63" s="163">
        <f>F8+(3/0.017)*(F9*F50-F24*F51)</f>
        <v>-5.814276033345923</v>
      </c>
    </row>
    <row r="64" spans="1:6" ht="12.75">
      <c r="A64" s="163" t="s">
        <v>159</v>
      </c>
      <c r="B64" s="163">
        <f>B9+(4/0.017)*(B10*B50-B25*B51)</f>
        <v>-0.21472908794153825</v>
      </c>
      <c r="C64" s="163">
        <f>C9+(4/0.017)*(C10*C50-C25*C51)</f>
        <v>0.6728973407782527</v>
      </c>
      <c r="D64" s="163">
        <f>D9+(4/0.017)*(D10*D50-D25*D51)</f>
        <v>0.2674664749329571</v>
      </c>
      <c r="E64" s="163">
        <f>E9+(4/0.017)*(E10*E50-E25*E51)</f>
        <v>-0.13624252381831345</v>
      </c>
      <c r="F64" s="163">
        <f>F9+(4/0.017)*(F10*F50-F25*F51)</f>
        <v>-1.3766240273156944</v>
      </c>
    </row>
    <row r="65" spans="1:6" ht="12.75">
      <c r="A65" s="163" t="s">
        <v>160</v>
      </c>
      <c r="B65" s="163">
        <f>B10+(5/0.017)*(B11*B50-B26*B51)</f>
        <v>-0.050959115590508704</v>
      </c>
      <c r="C65" s="163">
        <f>C10+(5/0.017)*(C11*C50-C26*C51)</f>
        <v>0.7723191714517669</v>
      </c>
      <c r="D65" s="163">
        <f>D10+(5/0.017)*(D11*D50-D26*D51)</f>
        <v>0.38491036264635936</v>
      </c>
      <c r="E65" s="163">
        <f>E10+(5/0.017)*(E11*E50-E26*E51)</f>
        <v>1.0311918625672927</v>
      </c>
      <c r="F65" s="163">
        <f>F10+(5/0.017)*(F11*F50-F26*F51)</f>
        <v>0.207678169067509</v>
      </c>
    </row>
    <row r="66" spans="1:6" ht="12.75">
      <c r="A66" s="163" t="s">
        <v>161</v>
      </c>
      <c r="B66" s="163">
        <f>B11+(6/0.017)*(B12*B50-B27*B51)</f>
        <v>4.122204004938344</v>
      </c>
      <c r="C66" s="163">
        <f>C11+(6/0.017)*(C12*C50-C27*C51)</f>
        <v>3.4185894842270983</v>
      </c>
      <c r="D66" s="163">
        <f>D11+(6/0.017)*(D12*D50-D27*D51)</f>
        <v>3.6113753939234163</v>
      </c>
      <c r="E66" s="163">
        <f>E11+(6/0.017)*(E12*E50-E27*E51)</f>
        <v>2.776812271720276</v>
      </c>
      <c r="F66" s="163">
        <f>F11+(6/0.017)*(F12*F50-F27*F51)</f>
        <v>14.20704246282437</v>
      </c>
    </row>
    <row r="67" spans="1:6" ht="12.75">
      <c r="A67" s="163" t="s">
        <v>162</v>
      </c>
      <c r="B67" s="163">
        <f>B12+(7/0.017)*(B13*B50-B28*B51)</f>
        <v>0.09152805900962888</v>
      </c>
      <c r="C67" s="163">
        <f>C12+(7/0.017)*(C13*C50-C28*C51)</f>
        <v>0.09048693535293768</v>
      </c>
      <c r="D67" s="163">
        <f>D12+(7/0.017)*(D13*D50-D28*D51)</f>
        <v>-0.09865101417701978</v>
      </c>
      <c r="E67" s="163">
        <f>E12+(7/0.017)*(E13*E50-E28*E51)</f>
        <v>-0.1138803028298247</v>
      </c>
      <c r="F67" s="163">
        <f>F12+(7/0.017)*(F13*F50-F28*F51)</f>
        <v>-0.1674453871314941</v>
      </c>
    </row>
    <row r="68" spans="1:6" ht="12.75">
      <c r="A68" s="163" t="s">
        <v>163</v>
      </c>
      <c r="B68" s="163">
        <f>B13+(8/0.017)*(B14*B50-B29*B51)</f>
        <v>0.03301099273311212</v>
      </c>
      <c r="C68" s="163">
        <f>C13+(8/0.017)*(C14*C50-C29*C51)</f>
        <v>0.09300380116969617</v>
      </c>
      <c r="D68" s="163">
        <f>D13+(8/0.017)*(D14*D50-D29*D51)</f>
        <v>0.1607603865931267</v>
      </c>
      <c r="E68" s="163">
        <f>E13+(8/0.017)*(E14*E50-E29*E51)</f>
        <v>0.014233817710051931</v>
      </c>
      <c r="F68" s="163">
        <f>F13+(8/0.017)*(F14*F50-F29*F51)</f>
        <v>-0.18511371124026754</v>
      </c>
    </row>
    <row r="69" spans="1:6" ht="12.75">
      <c r="A69" s="163" t="s">
        <v>164</v>
      </c>
      <c r="B69" s="163">
        <f>B14+(9/0.017)*(B15*B50-B30*B51)</f>
        <v>-0.066102832578433</v>
      </c>
      <c r="C69" s="163">
        <f>C14+(9/0.017)*(C15*C50-C30*C51)</f>
        <v>-0.006241107201518501</v>
      </c>
      <c r="D69" s="163">
        <f>D14+(9/0.017)*(D15*D50-D30*D51)</f>
        <v>-0.033522638543317926</v>
      </c>
      <c r="E69" s="163">
        <f>E14+(9/0.017)*(E15*E50-E30*E51)</f>
        <v>0.01581194148093807</v>
      </c>
      <c r="F69" s="163">
        <f>F14+(9/0.017)*(F15*F50-F30*F51)</f>
        <v>0.0657820067818557</v>
      </c>
    </row>
    <row r="70" spans="1:6" ht="12.75">
      <c r="A70" s="163" t="s">
        <v>165</v>
      </c>
      <c r="B70" s="163">
        <f>B15+(10/0.017)*(B16*B50-B31*B51)</f>
        <v>-0.3235170168641994</v>
      </c>
      <c r="C70" s="163">
        <f>C15+(10/0.017)*(C16*C50-C31*C51)</f>
        <v>-0.07973225949877095</v>
      </c>
      <c r="D70" s="163">
        <f>D15+(10/0.017)*(D16*D50-D31*D51)</f>
        <v>-0.017943043778579762</v>
      </c>
      <c r="E70" s="163">
        <f>E15+(10/0.017)*(E16*E50-E31*E51)</f>
        <v>-0.005032964684715921</v>
      </c>
      <c r="F70" s="163">
        <f>F15+(10/0.017)*(F16*F50-F31*F51)</f>
        <v>-0.25728038021216953</v>
      </c>
    </row>
    <row r="71" spans="1:6" ht="12.75">
      <c r="A71" s="163" t="s">
        <v>166</v>
      </c>
      <c r="B71" s="163">
        <f>B16+(11/0.017)*(B17*B50-B32*B51)</f>
        <v>0.0019232430380406215</v>
      </c>
      <c r="C71" s="163">
        <f>C16+(11/0.017)*(C17*C50-C32*C51)</f>
        <v>0.004277713297185209</v>
      </c>
      <c r="D71" s="163">
        <f>D16+(11/0.017)*(D17*D50-D32*D51)</f>
        <v>-2.8516909345383847E-05</v>
      </c>
      <c r="E71" s="163">
        <f>E16+(11/0.017)*(E17*E50-E32*E51)</f>
        <v>0.005638013321796654</v>
      </c>
      <c r="F71" s="163">
        <f>F16+(11/0.017)*(F17*F50-F32*F51)</f>
        <v>0.008654485624366132</v>
      </c>
    </row>
    <row r="72" spans="1:6" ht="12.75">
      <c r="A72" s="163" t="s">
        <v>167</v>
      </c>
      <c r="B72" s="163">
        <f>B17+(12/0.017)*(B18*B50-B33*B51)</f>
        <v>-0.0036802127756819193</v>
      </c>
      <c r="C72" s="163">
        <f>C17+(12/0.017)*(C18*C50-C33*C51)</f>
        <v>-0.004490417234639627</v>
      </c>
      <c r="D72" s="163">
        <f>D17+(12/0.017)*(D18*D50-D33*D51)</f>
        <v>-0.0011331968915781667</v>
      </c>
      <c r="E72" s="163">
        <f>E17+(12/0.017)*(E18*E50-E33*E51)</f>
        <v>-0.009058856691988533</v>
      </c>
      <c r="F72" s="163">
        <f>F17+(12/0.017)*(F18*F50-F33*F51)</f>
        <v>-0.016983009106961707</v>
      </c>
    </row>
    <row r="73" spans="1:6" ht="12.75">
      <c r="A73" s="163" t="s">
        <v>168</v>
      </c>
      <c r="B73" s="163">
        <f>B18+(13/0.017)*(B19*B50-B34*B51)</f>
        <v>0.025897936032788997</v>
      </c>
      <c r="C73" s="163">
        <f>C18+(13/0.017)*(C19*C50-C34*C51)</f>
        <v>0.02010516666363498</v>
      </c>
      <c r="D73" s="163">
        <f>D18+(13/0.017)*(D19*D50-D34*D51)</f>
        <v>0.027253554852896687</v>
      </c>
      <c r="E73" s="163">
        <f>E18+(13/0.017)*(E19*E50-E34*E51)</f>
        <v>0.03378705544584415</v>
      </c>
      <c r="F73" s="163">
        <f>F18+(13/0.017)*(F19*F50-F34*F51)</f>
        <v>0.012530243203050661</v>
      </c>
    </row>
    <row r="74" spans="1:6" ht="12.75">
      <c r="A74" s="163" t="s">
        <v>169</v>
      </c>
      <c r="B74" s="163">
        <f>B19+(14/0.017)*(B20*B50-B35*B51)</f>
        <v>-0.19670091698707498</v>
      </c>
      <c r="C74" s="163">
        <f>C19+(14/0.017)*(C20*C50-C35*C51)</f>
        <v>-0.17050549998232226</v>
      </c>
      <c r="D74" s="163">
        <f>D19+(14/0.017)*(D20*D50-D35*D51)</f>
        <v>-0.17711831614924523</v>
      </c>
      <c r="E74" s="163">
        <f>E19+(14/0.017)*(E20*E50-E35*E51)</f>
        <v>-0.17763694337107186</v>
      </c>
      <c r="F74" s="163">
        <f>F19+(14/0.017)*(F20*F50-F35*F51)</f>
        <v>-0.1402422753209139</v>
      </c>
    </row>
    <row r="75" spans="1:6" ht="12.75">
      <c r="A75" s="163" t="s">
        <v>170</v>
      </c>
      <c r="B75" s="164">
        <f>B20</f>
        <v>-0.001115364</v>
      </c>
      <c r="C75" s="164">
        <f>C20</f>
        <v>-0.003475377</v>
      </c>
      <c r="D75" s="164">
        <f>D20</f>
        <v>0.0004856946</v>
      </c>
      <c r="E75" s="164">
        <f>E20</f>
        <v>-0.003853918</v>
      </c>
      <c r="F75" s="164">
        <f>F20</f>
        <v>-0.003806191</v>
      </c>
    </row>
    <row r="78" ht="12.75">
      <c r="A78" s="163" t="s">
        <v>152</v>
      </c>
    </row>
    <row r="80" spans="2:6" ht="12.75">
      <c r="B80" s="163" t="s">
        <v>85</v>
      </c>
      <c r="C80" s="163" t="s">
        <v>86</v>
      </c>
      <c r="D80" s="163" t="s">
        <v>87</v>
      </c>
      <c r="E80" s="163" t="s">
        <v>88</v>
      </c>
      <c r="F80" s="163" t="s">
        <v>89</v>
      </c>
    </row>
    <row r="81" spans="1:6" ht="12.75">
      <c r="A81" s="163" t="s">
        <v>171</v>
      </c>
      <c r="B81" s="163">
        <f>B21+(1/0.017)*(B7*B51+B22*B50)</f>
        <v>0</v>
      </c>
      <c r="C81" s="163">
        <f>C21+(1/0.017)*(C7*C51+C22*C50)</f>
        <v>0</v>
      </c>
      <c r="D81" s="163">
        <f>D21+(1/0.017)*(D7*D51+D22*D50)</f>
        <v>0</v>
      </c>
      <c r="E81" s="163">
        <f>E21+(1/0.017)*(E7*E51+E22*E50)</f>
        <v>0</v>
      </c>
      <c r="F81" s="163">
        <f>F21+(1/0.017)*(F7*F51+F22*F50)</f>
        <v>0</v>
      </c>
    </row>
    <row r="82" spans="1:6" ht="12.75">
      <c r="A82" s="163" t="s">
        <v>172</v>
      </c>
      <c r="B82" s="163">
        <f>B22+(2/0.017)*(B8*B51+B23*B50)</f>
        <v>184.610521643929</v>
      </c>
      <c r="C82" s="163">
        <f>C22+(2/0.017)*(C8*C51+C23*C50)</f>
        <v>64.70729134199614</v>
      </c>
      <c r="D82" s="163">
        <f>D22+(2/0.017)*(D8*D51+D23*D50)</f>
        <v>-12.613134971891137</v>
      </c>
      <c r="E82" s="163">
        <f>E22+(2/0.017)*(E8*E51+E23*E50)</f>
        <v>-78.85844968103275</v>
      </c>
      <c r="F82" s="163">
        <f>F22+(2/0.017)*(F8*F51+F23*F50)</f>
        <v>-151.35010223964306</v>
      </c>
    </row>
    <row r="83" spans="1:6" ht="12.75">
      <c r="A83" s="163" t="s">
        <v>173</v>
      </c>
      <c r="B83" s="163">
        <f>B23+(3/0.017)*(B9*B51+B24*B50)</f>
        <v>0.18549211553546263</v>
      </c>
      <c r="C83" s="163">
        <f>C23+(3/0.017)*(C9*C51+C24*C50)</f>
        <v>-0.15081406572758568</v>
      </c>
      <c r="D83" s="163">
        <f>D23+(3/0.017)*(D9*D51+D24*D50)</f>
        <v>0.6191313880951358</v>
      </c>
      <c r="E83" s="163">
        <f>E23+(3/0.017)*(E9*E51+E24*E50)</f>
        <v>-1.3135097382837508</v>
      </c>
      <c r="F83" s="163">
        <f>F23+(3/0.017)*(F9*F51+F24*F50)</f>
        <v>9.15351831500671</v>
      </c>
    </row>
    <row r="84" spans="1:6" ht="12.75">
      <c r="A84" s="163" t="s">
        <v>174</v>
      </c>
      <c r="B84" s="163">
        <f>B24+(4/0.017)*(B10*B51+B25*B50)</f>
        <v>-0.9329434352082069</v>
      </c>
      <c r="C84" s="163">
        <f>C24+(4/0.017)*(C10*C51+C25*C50)</f>
        <v>1.8163318774791435</v>
      </c>
      <c r="D84" s="163">
        <f>D24+(4/0.017)*(D10*D51+D25*D50)</f>
        <v>1.5087235213604724</v>
      </c>
      <c r="E84" s="163">
        <f>E24+(4/0.017)*(E10*E51+E25*E50)</f>
        <v>0.6872595489882586</v>
      </c>
      <c r="F84" s="163">
        <f>F24+(4/0.017)*(F10*F51+F25*F50)</f>
        <v>-0.8146941095850795</v>
      </c>
    </row>
    <row r="85" spans="1:6" ht="12.75">
      <c r="A85" s="163" t="s">
        <v>175</v>
      </c>
      <c r="B85" s="163">
        <f>B25+(5/0.017)*(B11*B51+B26*B50)</f>
        <v>0.9167757151176135</v>
      </c>
      <c r="C85" s="163">
        <f>C25+(5/0.017)*(C11*C51+C26*C50)</f>
        <v>0.27239062142477233</v>
      </c>
      <c r="D85" s="163">
        <f>D25+(5/0.017)*(D11*D51+D26*D50)</f>
        <v>0.44546573252401445</v>
      </c>
      <c r="E85" s="163">
        <f>E25+(5/0.017)*(E11*E51+E26*E50)</f>
        <v>-0.4685879963227061</v>
      </c>
      <c r="F85" s="163">
        <f>F25+(5/0.017)*(F11*F51+F26*F50)</f>
        <v>-0.22276903799612158</v>
      </c>
    </row>
    <row r="86" spans="1:6" ht="12.75">
      <c r="A86" s="163" t="s">
        <v>176</v>
      </c>
      <c r="B86" s="163">
        <f>B26+(6/0.017)*(B12*B51+B27*B50)</f>
        <v>0.8145334881760221</v>
      </c>
      <c r="C86" s="163">
        <f>C26+(6/0.017)*(C12*C51+C27*C50)</f>
        <v>-0.1117507364281685</v>
      </c>
      <c r="D86" s="163">
        <f>D26+(6/0.017)*(D12*D51+D27*D50)</f>
        <v>0.02607988455587186</v>
      </c>
      <c r="E86" s="163">
        <f>E26+(6/0.017)*(E12*E51+E27*E50)</f>
        <v>0.1707537946781833</v>
      </c>
      <c r="F86" s="163">
        <f>F26+(6/0.017)*(F12*F51+F27*F50)</f>
        <v>0.37728903197959524</v>
      </c>
    </row>
    <row r="87" spans="1:6" ht="12.75">
      <c r="A87" s="163" t="s">
        <v>177</v>
      </c>
      <c r="B87" s="163">
        <f>B27+(7/0.017)*(B13*B51+B28*B50)</f>
        <v>0.14958968712244794</v>
      </c>
      <c r="C87" s="163">
        <f>C27+(7/0.017)*(C13*C51+C28*C50)</f>
        <v>-0.13171904560370942</v>
      </c>
      <c r="D87" s="163">
        <f>D27+(7/0.017)*(D13*D51+D28*D50)</f>
        <v>-0.21397151960350277</v>
      </c>
      <c r="E87" s="163">
        <f>E27+(7/0.017)*(E13*E51+E28*E50)</f>
        <v>-0.2778972002374987</v>
      </c>
      <c r="F87" s="163">
        <f>F27+(7/0.017)*(F13*F51+F28*F50)</f>
        <v>0.12246154860449428</v>
      </c>
    </row>
    <row r="88" spans="1:6" ht="12.75">
      <c r="A88" s="163" t="s">
        <v>178</v>
      </c>
      <c r="B88" s="163">
        <f>B28+(8/0.017)*(B14*B51+B29*B50)</f>
        <v>-0.10414082327717045</v>
      </c>
      <c r="C88" s="163">
        <f>C28+(8/0.017)*(C14*C51+C29*C50)</f>
        <v>0.28378773519590644</v>
      </c>
      <c r="D88" s="163">
        <f>D28+(8/0.017)*(D14*D51+D29*D50)</f>
        <v>0.2536974621355851</v>
      </c>
      <c r="E88" s="163">
        <f>E28+(8/0.017)*(E14*E51+E29*E50)</f>
        <v>-0.15677426145343565</v>
      </c>
      <c r="F88" s="163">
        <f>F28+(8/0.017)*(F14*F51+F29*F50)</f>
        <v>-0.10027527534554606</v>
      </c>
    </row>
    <row r="89" spans="1:6" ht="12.75">
      <c r="A89" s="163" t="s">
        <v>179</v>
      </c>
      <c r="B89" s="163">
        <f>B29+(9/0.017)*(B15*B51+B30*B50)</f>
        <v>0.0165828749901766</v>
      </c>
      <c r="C89" s="163">
        <f>C29+(9/0.017)*(C15*C51+C30*C50)</f>
        <v>-0.011001876647144691</v>
      </c>
      <c r="D89" s="163">
        <f>D29+(9/0.017)*(D15*D51+D30*D50)</f>
        <v>-0.07415620146941607</v>
      </c>
      <c r="E89" s="163">
        <f>E29+(9/0.017)*(E15*E51+E30*E50)</f>
        <v>-0.09799258050031288</v>
      </c>
      <c r="F89" s="163">
        <f>F29+(9/0.017)*(F15*F51+F30*F50)</f>
        <v>-0.06585089974232448</v>
      </c>
    </row>
    <row r="90" spans="1:6" ht="12.75">
      <c r="A90" s="163" t="s">
        <v>180</v>
      </c>
      <c r="B90" s="163">
        <f>B30+(10/0.017)*(B16*B51+B31*B50)</f>
        <v>0.05159291201293086</v>
      </c>
      <c r="C90" s="163">
        <f>C30+(10/0.017)*(C16*C51+C31*C50)</f>
        <v>0.04886329492191755</v>
      </c>
      <c r="D90" s="163">
        <f>D30+(10/0.017)*(D16*D51+D31*D50)</f>
        <v>0.004516279776255065</v>
      </c>
      <c r="E90" s="163">
        <f>E30+(10/0.017)*(E16*E51+E31*E50)</f>
        <v>0.010270739949591058</v>
      </c>
      <c r="F90" s="163">
        <f>F30+(10/0.017)*(F16*F51+F31*F50)</f>
        <v>0.18024598834240807</v>
      </c>
    </row>
    <row r="91" spans="1:6" ht="12.75">
      <c r="A91" s="163" t="s">
        <v>181</v>
      </c>
      <c r="B91" s="163">
        <f>B31+(11/0.017)*(B17*B51+B32*B50)</f>
        <v>0.021886140896645857</v>
      </c>
      <c r="C91" s="163">
        <f>C31+(11/0.017)*(C17*C51+C32*C50)</f>
        <v>0.0006405161038401977</v>
      </c>
      <c r="D91" s="163">
        <f>D31+(11/0.017)*(D17*D51+D32*D50)</f>
        <v>-0.05472286644294912</v>
      </c>
      <c r="E91" s="163">
        <f>E31+(11/0.017)*(E17*E51+E32*E50)</f>
        <v>-0.03354769781860152</v>
      </c>
      <c r="F91" s="163">
        <f>F31+(11/0.017)*(F17*F51+F32*F50)</f>
        <v>0.007185690059669752</v>
      </c>
    </row>
    <row r="92" spans="1:6" ht="12.75">
      <c r="A92" s="163" t="s">
        <v>182</v>
      </c>
      <c r="B92" s="163">
        <f>B32+(12/0.017)*(B18*B51+B33*B50)</f>
        <v>0.004776521781421505</v>
      </c>
      <c r="C92" s="163">
        <f>C32+(12/0.017)*(C18*C51+C33*C50)</f>
        <v>0.02042327030425919</v>
      </c>
      <c r="D92" s="163">
        <f>D32+(12/0.017)*(D18*D51+D33*D50)</f>
        <v>0.019755893243639428</v>
      </c>
      <c r="E92" s="163">
        <f>E32+(12/0.017)*(E18*E51+E33*E50)</f>
        <v>-0.038300638703186764</v>
      </c>
      <c r="F92" s="163">
        <f>F32+(12/0.017)*(F18*F51+F33*F50)</f>
        <v>-0.003293501559836002</v>
      </c>
    </row>
    <row r="93" spans="1:6" ht="12.75">
      <c r="A93" s="163" t="s">
        <v>183</v>
      </c>
      <c r="B93" s="163">
        <f>B33+(13/0.017)*(B19*B51+B34*B50)</f>
        <v>0.03557667683851107</v>
      </c>
      <c r="C93" s="163">
        <f>C33+(13/0.017)*(C19*C51+C34*C50)</f>
        <v>0.024495532944116147</v>
      </c>
      <c r="D93" s="163">
        <f>D33+(13/0.017)*(D19*D51+D34*D50)</f>
        <v>0.015462039162909624</v>
      </c>
      <c r="E93" s="163">
        <f>E33+(13/0.017)*(E19*E51+E34*E50)</f>
        <v>0.015222235257197377</v>
      </c>
      <c r="F93" s="163">
        <f>F33+(13/0.017)*(F19*F51+F34*F50)</f>
        <v>0.010766419609474609</v>
      </c>
    </row>
    <row r="94" spans="1:6" ht="12.75">
      <c r="A94" s="163" t="s">
        <v>184</v>
      </c>
      <c r="B94" s="163">
        <f>B34+(14/0.017)*(B20*B51+B35*B50)</f>
        <v>-0.010021339620542866</v>
      </c>
      <c r="C94" s="163">
        <f>C34+(14/0.017)*(C20*C51+C35*C50)</f>
        <v>0.009506900586433437</v>
      </c>
      <c r="D94" s="163">
        <f>D34+(14/0.017)*(D20*D51+D35*D50)</f>
        <v>0.018863547258741918</v>
      </c>
      <c r="E94" s="163">
        <f>E34+(14/0.017)*(E20*E51+E35*E50)</f>
        <v>0.027921586481703776</v>
      </c>
      <c r="F94" s="163">
        <f>F34+(14/0.017)*(F20*F51+F35*F50)</f>
        <v>-0.006707684257695286</v>
      </c>
    </row>
    <row r="95" spans="1:6" ht="12.75">
      <c r="A95" s="163" t="s">
        <v>185</v>
      </c>
      <c r="B95" s="164">
        <f>B35</f>
        <v>0.001940096</v>
      </c>
      <c r="C95" s="164">
        <f>C35</f>
        <v>0.0007215966</v>
      </c>
      <c r="D95" s="164">
        <f>D35</f>
        <v>-0.0008004386</v>
      </c>
      <c r="E95" s="164">
        <f>E35</f>
        <v>0.002883307</v>
      </c>
      <c r="F95" s="164">
        <f>F35</f>
        <v>0.004569354</v>
      </c>
    </row>
    <row r="98" ht="12.75">
      <c r="A98" s="163" t="s">
        <v>153</v>
      </c>
    </row>
    <row r="100" spans="2:11" ht="12.75">
      <c r="B100" s="163" t="s">
        <v>85</v>
      </c>
      <c r="C100" s="163" t="s">
        <v>86</v>
      </c>
      <c r="D100" s="163" t="s">
        <v>87</v>
      </c>
      <c r="E100" s="163" t="s">
        <v>88</v>
      </c>
      <c r="F100" s="163" t="s">
        <v>89</v>
      </c>
      <c r="G100" s="163" t="s">
        <v>155</v>
      </c>
      <c r="H100" s="163" t="s">
        <v>156</v>
      </c>
      <c r="I100" s="163" t="s">
        <v>151</v>
      </c>
      <c r="K100" s="163" t="s">
        <v>186</v>
      </c>
    </row>
    <row r="101" spans="1:9" ht="12.75">
      <c r="A101" s="163" t="s">
        <v>154</v>
      </c>
      <c r="B101" s="163">
        <f>B61*10000/B62</f>
        <v>0</v>
      </c>
      <c r="C101" s="163">
        <f>C61*10000/C62</f>
        <v>0</v>
      </c>
      <c r="D101" s="163">
        <f>D61*10000/D62</f>
        <v>0</v>
      </c>
      <c r="E101" s="163">
        <f>E61*10000/E62</f>
        <v>0</v>
      </c>
      <c r="F101" s="163">
        <f>F61*10000/F62</f>
        <v>0</v>
      </c>
      <c r="G101" s="163">
        <f>AVERAGE(C101:E101)</f>
        <v>0</v>
      </c>
      <c r="H101" s="163">
        <f>STDEV(C101:E101)</f>
        <v>0</v>
      </c>
      <c r="I101" s="163">
        <f>(B101*B4+C101*C4+D101*D4+E101*E4+F101*F4)/SUM(B4:F4)</f>
        <v>0</v>
      </c>
    </row>
    <row r="102" spans="1:9" ht="12.75">
      <c r="A102" s="163" t="s">
        <v>157</v>
      </c>
      <c r="B102" s="163">
        <f>B62*10000/B62</f>
        <v>10000</v>
      </c>
      <c r="C102" s="163">
        <f>C62*10000/C62</f>
        <v>10000</v>
      </c>
      <c r="D102" s="163">
        <f>D62*10000/D62</f>
        <v>10000</v>
      </c>
      <c r="E102" s="163">
        <f>E62*10000/E62</f>
        <v>10000</v>
      </c>
      <c r="F102" s="163">
        <f>F62*10000/F62</f>
        <v>10000</v>
      </c>
      <c r="G102" s="163">
        <f>AVERAGE(C102:E102)</f>
        <v>10000</v>
      </c>
      <c r="H102" s="163">
        <f>STDEV(C102:E102)</f>
        <v>0</v>
      </c>
      <c r="I102" s="163">
        <f>(B102*B4+C102*C4+D102*D4+E102*E4+F102*F4)/SUM(B4:F4)</f>
        <v>10000</v>
      </c>
    </row>
    <row r="103" spans="1:11" ht="12.75">
      <c r="A103" s="163" t="s">
        <v>158</v>
      </c>
      <c r="B103" s="163">
        <f>B63*10000/B62</f>
        <v>0.5308443665921317</v>
      </c>
      <c r="C103" s="163">
        <f>C63*10000/C62</f>
        <v>-1.7849708472985473</v>
      </c>
      <c r="D103" s="163">
        <f>D63*10000/D62</f>
        <v>-0.9975982527806335</v>
      </c>
      <c r="E103" s="163">
        <f>E63*10000/E62</f>
        <v>-2.8258048525348882</v>
      </c>
      <c r="F103" s="163">
        <f>F63*10000/F62</f>
        <v>-5.814378779712555</v>
      </c>
      <c r="G103" s="163">
        <f>AVERAGE(C103:E103)</f>
        <v>-1.86945798420469</v>
      </c>
      <c r="H103" s="163">
        <f>STDEV(C103:E103)</f>
        <v>0.9170269353040841</v>
      </c>
      <c r="I103" s="163">
        <f>(B103*B4+C103*C4+D103*D4+E103*E4+F103*F4)/SUM(B4:F4)</f>
        <v>-2.0506551503662256</v>
      </c>
      <c r="K103" s="163">
        <f>(LN(H103)+LN(H123))/2-LN(K114*K115^3)</f>
        <v>-3.935571941364341</v>
      </c>
    </row>
    <row r="104" spans="1:11" ht="12.75">
      <c r="A104" s="163" t="s">
        <v>159</v>
      </c>
      <c r="B104" s="163">
        <f>B64*10000/B62</f>
        <v>-0.2147291164830373</v>
      </c>
      <c r="C104" s="163">
        <f>C64*10000/C62</f>
        <v>0.6728967595407471</v>
      </c>
      <c r="D104" s="163">
        <f>D64*10000/D62</f>
        <v>0.26746614434440713</v>
      </c>
      <c r="E104" s="163">
        <f>E64*10000/E62</f>
        <v>-0.13624244688408788</v>
      </c>
      <c r="F104" s="163">
        <f>F64*10000/F62</f>
        <v>-1.3766483541822232</v>
      </c>
      <c r="G104" s="163">
        <f>AVERAGE(C104:E104)</f>
        <v>0.2680401523336888</v>
      </c>
      <c r="H104" s="163">
        <f>STDEV(C104:E104)</f>
        <v>0.4045699086157197</v>
      </c>
      <c r="I104" s="163">
        <f>(B104*B4+C104*C4+D104*D4+E104*E4+F104*F4)/SUM(B4:F4)</f>
        <v>-0.02167743274537299</v>
      </c>
      <c r="K104" s="163">
        <f>(LN(H104)+LN(H124))/2-LN(K114*K115^4)</f>
        <v>-4.008888182434123</v>
      </c>
    </row>
    <row r="105" spans="1:11" ht="12.75">
      <c r="A105" s="163" t="s">
        <v>160</v>
      </c>
      <c r="B105" s="163">
        <f>B65*10000/B62</f>
        <v>-0.05095912236392522</v>
      </c>
      <c r="C105" s="163">
        <f>C65*10000/C62</f>
        <v>0.7723185043353413</v>
      </c>
      <c r="D105" s="163">
        <f>D65*10000/D62</f>
        <v>0.38490988689716993</v>
      </c>
      <c r="E105" s="163">
        <f>E65*10000/E62</f>
        <v>1.0311912802678376</v>
      </c>
      <c r="F105" s="163">
        <f>F65*10000/F62</f>
        <v>0.20768183903040346</v>
      </c>
      <c r="G105" s="163">
        <f>AVERAGE(C105:E105)</f>
        <v>0.7294732238334496</v>
      </c>
      <c r="H105" s="163">
        <f>STDEV(C105:E105)</f>
        <v>0.3252640441245346</v>
      </c>
      <c r="I105" s="163">
        <f>(B105*B4+C105*C4+D105*D4+E105*E4+F105*F4)/SUM(B4:F4)</f>
        <v>0.547065254035192</v>
      </c>
      <c r="K105" s="163">
        <f>(LN(H105)+LN(H125))/2-LN(K114*K115^5)</f>
        <v>-3.618730312028502</v>
      </c>
    </row>
    <row r="106" spans="1:11" ht="12.75">
      <c r="A106" s="163" t="s">
        <v>161</v>
      </c>
      <c r="B106" s="163">
        <f>B66*10000/B62</f>
        <v>4.122204552856108</v>
      </c>
      <c r="C106" s="163">
        <f>C66*10000/C62</f>
        <v>3.4185865313064907</v>
      </c>
      <c r="D106" s="163">
        <f>D66*10000/D62</f>
        <v>3.6113709302636057</v>
      </c>
      <c r="E106" s="163">
        <f>E66*10000/E62</f>
        <v>2.7768107036936738</v>
      </c>
      <c r="F106" s="163">
        <f>F66*10000/F62</f>
        <v>14.207293521079134</v>
      </c>
      <c r="G106" s="163">
        <f>AVERAGE(C106:E106)</f>
        <v>3.26892272175459</v>
      </c>
      <c r="H106" s="163">
        <f>STDEV(C106:E106)</f>
        <v>0.43694637526852736</v>
      </c>
      <c r="I106" s="163">
        <f>(B106*B4+C106*C4+D106*D4+E106*E4+F106*F4)/SUM(B4:F4)</f>
        <v>4.854933872887147</v>
      </c>
      <c r="K106" s="163">
        <f>(LN(H106)+LN(H126))/2-LN(K114*K115^6)</f>
        <v>-3.4971397148665524</v>
      </c>
    </row>
    <row r="107" spans="1:11" ht="12.75">
      <c r="A107" s="163" t="s">
        <v>162</v>
      </c>
      <c r="B107" s="163">
        <f>B67*10000/B62</f>
        <v>0.09152807117541431</v>
      </c>
      <c r="C107" s="163">
        <f>C67*10000/C62</f>
        <v>0.09048685719183137</v>
      </c>
      <c r="D107" s="163">
        <f>D67*10000/D62</f>
        <v>-0.09865089224437107</v>
      </c>
      <c r="E107" s="163">
        <f>E67*10000/E62</f>
        <v>-0.11388023852322893</v>
      </c>
      <c r="F107" s="163">
        <f>F67*10000/F62</f>
        <v>-0.1674483461250194</v>
      </c>
      <c r="G107" s="163">
        <f>AVERAGE(C107:E107)</f>
        <v>-0.04068142452525621</v>
      </c>
      <c r="H107" s="163">
        <f>STDEV(C107:E107)</f>
        <v>0.11384999711673374</v>
      </c>
      <c r="I107" s="163">
        <f>(B107*B4+C107*C4+D107*D4+E107*E4+F107*F4)/SUM(B4:F4)</f>
        <v>-0.03855146204120065</v>
      </c>
      <c r="K107" s="163">
        <f>(LN(H107)+LN(H127))/2-LN(K114*K115^7)</f>
        <v>-3.9064677230610503</v>
      </c>
    </row>
    <row r="108" spans="1:9" ht="12.75">
      <c r="A108" s="163" t="s">
        <v>163</v>
      </c>
      <c r="B108" s="163">
        <f>B68*10000/B62</f>
        <v>0.033010997120888494</v>
      </c>
      <c r="C108" s="163">
        <f>C68*10000/C62</f>
        <v>0.09300372083456312</v>
      </c>
      <c r="D108" s="163">
        <f>D68*10000/D62</f>
        <v>0.1607601878932967</v>
      </c>
      <c r="E108" s="163">
        <f>E68*10000/E62</f>
        <v>0.014233809672416458</v>
      </c>
      <c r="F108" s="163">
        <f>F68*10000/F62</f>
        <v>-0.18511698245772173</v>
      </c>
      <c r="G108" s="163">
        <f>AVERAGE(C108:E108)</f>
        <v>0.08933257280009209</v>
      </c>
      <c r="H108" s="163">
        <f>STDEV(C108:E108)</f>
        <v>0.07333214080163192</v>
      </c>
      <c r="I108" s="163">
        <f>(B108*B4+C108*C4+D108*D4+E108*E4+F108*F4)/SUM(B4:F4)</f>
        <v>0.044481462170985135</v>
      </c>
    </row>
    <row r="109" spans="1:9" ht="12.75">
      <c r="A109" s="163" t="s">
        <v>164</v>
      </c>
      <c r="B109" s="163">
        <f>B69*10000/B62</f>
        <v>-0.06610284136473182</v>
      </c>
      <c r="C109" s="163">
        <f>C69*10000/C62</f>
        <v>-0.006241101810554142</v>
      </c>
      <c r="D109" s="163">
        <f>D69*10000/D62</f>
        <v>-0.03352259710933832</v>
      </c>
      <c r="E109" s="163">
        <f>E69*10000/E62</f>
        <v>0.01581193255215843</v>
      </c>
      <c r="F109" s="163">
        <f>F69*10000/F62</f>
        <v>0.06578316924166115</v>
      </c>
      <c r="G109" s="163">
        <f>AVERAGE(C109:E109)</f>
        <v>-0.00798392212257801</v>
      </c>
      <c r="H109" s="163">
        <f>STDEV(C109:E109)</f>
        <v>0.02471339760555553</v>
      </c>
      <c r="I109" s="163">
        <f>(B109*B4+C109*C4+D109*D4+E109*E4+F109*F4)/SUM(B4:F4)</f>
        <v>-0.006505292958711</v>
      </c>
    </row>
    <row r="110" spans="1:11" ht="12.75">
      <c r="A110" s="163" t="s">
        <v>165</v>
      </c>
      <c r="B110" s="163">
        <f>B70*10000/B62</f>
        <v>-0.32351705986564244</v>
      </c>
      <c r="C110" s="163">
        <f>C70*10000/C62</f>
        <v>-0.07973219062737436</v>
      </c>
      <c r="D110" s="163">
        <f>D70*10000/D62</f>
        <v>-0.017943021600978527</v>
      </c>
      <c r="E110" s="163">
        <f>E70*10000/E62</f>
        <v>-0.005032961842671972</v>
      </c>
      <c r="F110" s="163">
        <f>F70*10000/F62</f>
        <v>-0.2572849267153147</v>
      </c>
      <c r="G110" s="163">
        <f>AVERAGE(C110:E110)</f>
        <v>-0.03423605802367495</v>
      </c>
      <c r="H110" s="163">
        <f>STDEV(C110:E110)</f>
        <v>0.0399260688292851</v>
      </c>
      <c r="I110" s="163">
        <f>(B110*B4+C110*C4+D110*D4+E110*E4+F110*F4)/SUM(B4:F4)</f>
        <v>-0.10583235778072426</v>
      </c>
      <c r="K110" s="163">
        <f>EXP(AVERAGE(K103:K107))</f>
        <v>0.022519817610351794</v>
      </c>
    </row>
    <row r="111" spans="1:9" ht="12.75">
      <c r="A111" s="163" t="s">
        <v>166</v>
      </c>
      <c r="B111" s="163">
        <f>B71*10000/B62</f>
        <v>0.001923243293675477</v>
      </c>
      <c r="C111" s="163">
        <f>C71*10000/C62</f>
        <v>0.004277709602167774</v>
      </c>
      <c r="D111" s="163">
        <f>D71*10000/D62</f>
        <v>-2.8516874098485287E-05</v>
      </c>
      <c r="E111" s="163">
        <f>E71*10000/E62</f>
        <v>0.005638010138090301</v>
      </c>
      <c r="F111" s="163">
        <f>F71*10000/F62</f>
        <v>0.008654638561197454</v>
      </c>
      <c r="G111" s="163">
        <f>AVERAGE(C111:E111)</f>
        <v>0.0032957342887198634</v>
      </c>
      <c r="H111" s="163">
        <f>STDEV(C111:E111)</f>
        <v>0.002958139403769223</v>
      </c>
      <c r="I111" s="163">
        <f>(B111*B4+C111*C4+D111*D4+E111*E4+F111*F4)/SUM(B4:F4)</f>
        <v>0.0038147751470349648</v>
      </c>
    </row>
    <row r="112" spans="1:9" ht="12.75">
      <c r="A112" s="163" t="s">
        <v>167</v>
      </c>
      <c r="B112" s="163">
        <f>B72*10000/B62</f>
        <v>-0.0036802132648508096</v>
      </c>
      <c r="C112" s="163">
        <f>C72*10000/C62</f>
        <v>-0.004490413355892077</v>
      </c>
      <c r="D112" s="163">
        <f>D72*10000/D62</f>
        <v>-0.001133195490946864</v>
      </c>
      <c r="E112" s="163">
        <f>E72*10000/E62</f>
        <v>-0.009058851576580327</v>
      </c>
      <c r="F112" s="163">
        <f>F72*10000/F62</f>
        <v>-0.016983309220418692</v>
      </c>
      <c r="G112" s="163">
        <f>AVERAGE(C112:E112)</f>
        <v>-0.0048941534744730885</v>
      </c>
      <c r="H112" s="163">
        <f>STDEV(C112:E112)</f>
        <v>0.003978223304372009</v>
      </c>
      <c r="I112" s="163">
        <f>(B112*B4+C112*C4+D112*D4+E112*E4+F112*F4)/SUM(B4:F4)</f>
        <v>-0.006336449861427841</v>
      </c>
    </row>
    <row r="113" spans="1:9" ht="12.75">
      <c r="A113" s="163" t="s">
        <v>168</v>
      </c>
      <c r="B113" s="163">
        <f>B73*10000/B62</f>
        <v>0.025897939475107525</v>
      </c>
      <c r="C113" s="163">
        <f>C73*10000/C62</f>
        <v>0.020105149297127176</v>
      </c>
      <c r="D113" s="163">
        <f>D73*10000/D62</f>
        <v>0.027253521167504215</v>
      </c>
      <c r="E113" s="163">
        <f>E73*10000/E62</f>
        <v>0.03378703636677197</v>
      </c>
      <c r="F113" s="163">
        <f>F73*10000/F62</f>
        <v>0.012530464629923885</v>
      </c>
      <c r="G113" s="163">
        <f>AVERAGE(C113:E113)</f>
        <v>0.027048568943801126</v>
      </c>
      <c r="H113" s="163">
        <f>STDEV(C113:E113)</f>
        <v>0.006843245758200466</v>
      </c>
      <c r="I113" s="163">
        <f>(B113*B4+C113*C4+D113*D4+E113*E4+F113*F4)/SUM(B4:F4)</f>
        <v>0.024941638703529088</v>
      </c>
    </row>
    <row r="114" spans="1:11" ht="12.75">
      <c r="A114" s="163" t="s">
        <v>169</v>
      </c>
      <c r="B114" s="163">
        <f>B74*10000/B62</f>
        <v>-0.19670094313229403</v>
      </c>
      <c r="C114" s="163">
        <f>C74*10000/C62</f>
        <v>-0.17050535270251374</v>
      </c>
      <c r="D114" s="163">
        <f>D74*10000/D62</f>
        <v>-0.1771180972310151</v>
      </c>
      <c r="E114" s="163">
        <f>E74*10000/E62</f>
        <v>-0.17763684306200322</v>
      </c>
      <c r="F114" s="163">
        <f>F74*10000/F62</f>
        <v>-0.14024475359751357</v>
      </c>
      <c r="G114" s="163">
        <f>AVERAGE(C114:E114)</f>
        <v>-0.17508676433184403</v>
      </c>
      <c r="H114" s="163">
        <f>STDEV(C114:E114)</f>
        <v>0.003976087737626831</v>
      </c>
      <c r="I114" s="163">
        <f>(B114*B4+C114*C4+D114*D4+E114*E4+F114*F4)/SUM(B4:F4)</f>
        <v>-0.17354802109408235</v>
      </c>
      <c r="J114" s="163" t="s">
        <v>187</v>
      </c>
      <c r="K114" s="163">
        <v>285</v>
      </c>
    </row>
    <row r="115" spans="1:11" ht="12.75">
      <c r="A115" s="163" t="s">
        <v>170</v>
      </c>
      <c r="B115" s="163">
        <f>B75*10000/B62</f>
        <v>-0.0011153641482526697</v>
      </c>
      <c r="C115" s="163">
        <f>C75*10000/C62</f>
        <v>-0.0034753739980272836</v>
      </c>
      <c r="D115" s="163">
        <f>D75*10000/D62</f>
        <v>0.00048569399968149805</v>
      </c>
      <c r="E115" s="163">
        <f>E75*10000/E62</f>
        <v>-0.0038539158237470327</v>
      </c>
      <c r="F115" s="163">
        <f>F75*10000/F62</f>
        <v>-0.003806258260703433</v>
      </c>
      <c r="G115" s="163">
        <f>AVERAGE(C115:E115)</f>
        <v>-0.002281198607364273</v>
      </c>
      <c r="H115" s="163">
        <f>STDEV(C115:E115)</f>
        <v>0.0024036627264756214</v>
      </c>
      <c r="I115" s="163">
        <f>(B115*B4+C115*C4+D115*D4+E115*E4+F115*F4)/SUM(B4:F4)</f>
        <v>-0.0023172068393586117</v>
      </c>
      <c r="J115" s="163" t="s">
        <v>188</v>
      </c>
      <c r="K115" s="163">
        <v>0.5536</v>
      </c>
    </row>
    <row r="118" ht="12.75">
      <c r="A118" s="163" t="s">
        <v>153</v>
      </c>
    </row>
    <row r="120" spans="2:9" ht="12.75">
      <c r="B120" s="163" t="s">
        <v>85</v>
      </c>
      <c r="C120" s="163" t="s">
        <v>86</v>
      </c>
      <c r="D120" s="163" t="s">
        <v>87</v>
      </c>
      <c r="E120" s="163" t="s">
        <v>88</v>
      </c>
      <c r="F120" s="163" t="s">
        <v>89</v>
      </c>
      <c r="G120" s="163" t="s">
        <v>155</v>
      </c>
      <c r="H120" s="163" t="s">
        <v>156</v>
      </c>
      <c r="I120" s="163" t="s">
        <v>151</v>
      </c>
    </row>
    <row r="121" spans="1:9" ht="12.75">
      <c r="A121" s="163" t="s">
        <v>171</v>
      </c>
      <c r="B121" s="163">
        <f>B81*10000/B62</f>
        <v>0</v>
      </c>
      <c r="C121" s="163">
        <f>C81*10000/C62</f>
        <v>0</v>
      </c>
      <c r="D121" s="163">
        <f>D81*10000/D62</f>
        <v>0</v>
      </c>
      <c r="E121" s="163">
        <f>E81*10000/E62</f>
        <v>0</v>
      </c>
      <c r="F121" s="163">
        <f>F81*10000/F62</f>
        <v>0</v>
      </c>
      <c r="G121" s="163">
        <f>AVERAGE(C121:E121)</f>
        <v>0</v>
      </c>
      <c r="H121" s="163">
        <f>STDEV(C121:E121)</f>
        <v>0</v>
      </c>
      <c r="I121" s="163">
        <f>(B121*B4+C121*C4+D121*D4+E121*E4+F121*F4)/SUM(B4:F4)</f>
        <v>0</v>
      </c>
    </row>
    <row r="122" spans="1:9" ht="12.75">
      <c r="A122" s="163" t="s">
        <v>172</v>
      </c>
      <c r="B122" s="163">
        <f>B82*10000/B62</f>
        <v>184.6105461821091</v>
      </c>
      <c r="C122" s="163">
        <f>C82*10000/C62</f>
        <v>64.70723544891656</v>
      </c>
      <c r="D122" s="163">
        <f>D82*10000/D62</f>
        <v>-12.613119382056928</v>
      </c>
      <c r="E122" s="163">
        <f>E82*10000/E62</f>
        <v>-78.85840515078195</v>
      </c>
      <c r="F122" s="163">
        <f>F82*10000/F62</f>
        <v>-151.35277680703638</v>
      </c>
      <c r="G122" s="163">
        <f>AVERAGE(C122:E122)</f>
        <v>-8.921429694640771</v>
      </c>
      <c r="H122" s="163">
        <f>STDEV(C122:E122)</f>
        <v>71.8539819339303</v>
      </c>
      <c r="I122" s="163">
        <f>(B122*B4+C122*C4+D122*D4+E122*E4+F122*F4)/SUM(B4:F4)</f>
        <v>-0.035288789702075433</v>
      </c>
    </row>
    <row r="123" spans="1:9" ht="12.75">
      <c r="A123" s="163" t="s">
        <v>173</v>
      </c>
      <c r="B123" s="163">
        <f>B83*10000/B62</f>
        <v>0.185492140190823</v>
      </c>
      <c r="C123" s="163">
        <f>C83*10000/C62</f>
        <v>-0.15081393545690985</v>
      </c>
      <c r="D123" s="163">
        <f>D83*10000/D62</f>
        <v>0.6191306228487703</v>
      </c>
      <c r="E123" s="163">
        <f>E83*10000/E62</f>
        <v>-1.3135089965633857</v>
      </c>
      <c r="F123" s="163">
        <f>F83*10000/F62</f>
        <v>9.153680070441673</v>
      </c>
      <c r="G123" s="163">
        <f>AVERAGE(C123:E123)</f>
        <v>-0.28173076972384176</v>
      </c>
      <c r="H123" s="163">
        <f>STDEV(C123:E123)</f>
        <v>0.9729482965457349</v>
      </c>
      <c r="I123" s="163">
        <f>(B123*B4+C123*C4+D123*D4+E123*E4+F123*F4)/SUM(B4:F4)</f>
        <v>1.0474280470892923</v>
      </c>
    </row>
    <row r="124" spans="1:9" ht="12.75">
      <c r="A124" s="163" t="s">
        <v>174</v>
      </c>
      <c r="B124" s="163">
        <f>B84*10000/B62</f>
        <v>-0.9329435592137828</v>
      </c>
      <c r="C124" s="163">
        <f>C84*10000/C62</f>
        <v>1.8163303085619467</v>
      </c>
      <c r="D124" s="163">
        <f>D84*10000/D62</f>
        <v>1.5087216565782735</v>
      </c>
      <c r="E124" s="163">
        <f>E84*10000/E62</f>
        <v>0.6872591609025149</v>
      </c>
      <c r="F124" s="163">
        <f>F84*10000/F62</f>
        <v>-0.814708506366243</v>
      </c>
      <c r="G124" s="163">
        <f>AVERAGE(C124:E124)</f>
        <v>1.3374370420142452</v>
      </c>
      <c r="H124" s="163">
        <f>STDEV(C124:E124)</f>
        <v>0.5836987480790125</v>
      </c>
      <c r="I124" s="163">
        <f>(B124*B4+C124*C4+D124*D4+E124*E4+F124*F4)/SUM(B4:F4)</f>
        <v>0.7217011958234563</v>
      </c>
    </row>
    <row r="125" spans="1:9" ht="12.75">
      <c r="A125" s="163" t="s">
        <v>175</v>
      </c>
      <c r="B125" s="163">
        <f>B85*10000/B62</f>
        <v>0.9167758369741978</v>
      </c>
      <c r="C125" s="163">
        <f>C85*10000/C62</f>
        <v>0.27239038613829436</v>
      </c>
      <c r="D125" s="163">
        <f>D85*10000/D62</f>
        <v>0.44546518192839074</v>
      </c>
      <c r="E125" s="163">
        <f>E85*10000/E62</f>
        <v>-0.4685877317176944</v>
      </c>
      <c r="F125" s="163">
        <f>F85*10000/F62</f>
        <v>-0.22277297463571713</v>
      </c>
      <c r="G125" s="163">
        <f>AVERAGE(C125:E125)</f>
        <v>0.08308927878299692</v>
      </c>
      <c r="H125" s="163">
        <f>STDEV(C125:E125)</f>
        <v>0.4855402806881019</v>
      </c>
      <c r="I125" s="163">
        <f>(B125*B4+C125*C4+D125*D4+E125*E4+F125*F4)/SUM(B4:F4)</f>
        <v>0.1624632309437556</v>
      </c>
    </row>
    <row r="126" spans="1:9" ht="12.75">
      <c r="A126" s="163" t="s">
        <v>176</v>
      </c>
      <c r="B126" s="163">
        <f>B86*10000/B62</f>
        <v>0.8145335964427084</v>
      </c>
      <c r="C126" s="163">
        <f>C86*10000/C62</f>
        <v>-0.1117506398997453</v>
      </c>
      <c r="D126" s="163">
        <f>D86*10000/D62</f>
        <v>0.02607985232113582</v>
      </c>
      <c r="E126" s="163">
        <f>E86*10000/E62</f>
        <v>0.17075369825593134</v>
      </c>
      <c r="F126" s="163">
        <f>F86*10000/F62</f>
        <v>0.3772956992029923</v>
      </c>
      <c r="G126" s="163">
        <f>AVERAGE(C126:E126)</f>
        <v>0.02836097022577395</v>
      </c>
      <c r="H126" s="163">
        <f>STDEV(C126:E126)</f>
        <v>0.14126598278908256</v>
      </c>
      <c r="I126" s="163">
        <f>(B126*B4+C126*C4+D126*D4+E126*E4+F126*F4)/SUM(B4:F4)</f>
        <v>0.18855921000164214</v>
      </c>
    </row>
    <row r="127" spans="1:9" ht="12.75">
      <c r="A127" s="163" t="s">
        <v>177</v>
      </c>
      <c r="B127" s="163">
        <f>B87*10000/B62</f>
        <v>0.14958970700570623</v>
      </c>
      <c r="C127" s="163">
        <f>C87*10000/C62</f>
        <v>-0.13171893182699362</v>
      </c>
      <c r="D127" s="163">
        <f>D87*10000/D62</f>
        <v>-0.21397125513471502</v>
      </c>
      <c r="E127" s="163">
        <f>E87*10000/E62</f>
        <v>-0.27789704331288156</v>
      </c>
      <c r="F127" s="163">
        <f>F87*10000/F62</f>
        <v>0.12246371267085424</v>
      </c>
      <c r="G127" s="163">
        <f>AVERAGE(C127:E127)</f>
        <v>-0.20786241009153006</v>
      </c>
      <c r="H127" s="163">
        <f>STDEV(C127:E127)</f>
        <v>0.07328027401843157</v>
      </c>
      <c r="I127" s="163">
        <f>(B127*B4+C127*C4+D127*D4+E127*E4+F127*F4)/SUM(B4:F4)</f>
        <v>-0.11208173522789629</v>
      </c>
    </row>
    <row r="128" spans="1:9" ht="12.75">
      <c r="A128" s="163" t="s">
        <v>178</v>
      </c>
      <c r="B128" s="163">
        <f>B88*10000/B62</f>
        <v>-0.1041408371194274</v>
      </c>
      <c r="C128" s="163">
        <f>C88*10000/C62</f>
        <v>0.28378749006479165</v>
      </c>
      <c r="D128" s="163">
        <f>D88*10000/D62</f>
        <v>0.25369714856553427</v>
      </c>
      <c r="E128" s="163">
        <f>E88*10000/E62</f>
        <v>-0.15677417292522833</v>
      </c>
      <c r="F128" s="163">
        <f>F88*10000/F62</f>
        <v>-0.10027704734951452</v>
      </c>
      <c r="G128" s="163">
        <f>AVERAGE(C128:E128)</f>
        <v>0.12690348856836586</v>
      </c>
      <c r="H128" s="163">
        <f>STDEV(C128:E128)</f>
        <v>0.24613231987234252</v>
      </c>
      <c r="I128" s="163">
        <f>(B128*B4+C128*C4+D128*D4+E128*E4+F128*F4)/SUM(B4:F4)</f>
        <v>0.06311603869697475</v>
      </c>
    </row>
    <row r="129" spans="1:9" ht="12.75">
      <c r="A129" s="163" t="s">
        <v>179</v>
      </c>
      <c r="B129" s="163">
        <f>B89*10000/B62</f>
        <v>0.016582877194349848</v>
      </c>
      <c r="C129" s="163">
        <f>C89*10000/C62</f>
        <v>-0.011001867143907048</v>
      </c>
      <c r="D129" s="163">
        <f>D89*10000/D62</f>
        <v>-0.07415610981235467</v>
      </c>
      <c r="E129" s="163">
        <f>E89*10000/E62</f>
        <v>-0.09799252516528913</v>
      </c>
      <c r="F129" s="163">
        <f>F89*10000/F62</f>
        <v>-0.06585206341956464</v>
      </c>
      <c r="G129" s="163">
        <f>AVERAGE(C129:E129)</f>
        <v>-0.06105016737385028</v>
      </c>
      <c r="H129" s="163">
        <f>STDEV(C129:E129)</f>
        <v>0.04495184024207801</v>
      </c>
      <c r="I129" s="163">
        <f>(B129*B4+C129*C4+D129*D4+E129*E4+F129*F4)/SUM(B4:F4)</f>
        <v>-0.05048703387195421</v>
      </c>
    </row>
    <row r="130" spans="1:9" ht="12.75">
      <c r="A130" s="163" t="s">
        <v>180</v>
      </c>
      <c r="B130" s="163">
        <f>B90*10000/B62</f>
        <v>0.05159291887059075</v>
      </c>
      <c r="C130" s="163">
        <f>C90*10000/C62</f>
        <v>0.048863252714617965</v>
      </c>
      <c r="D130" s="163">
        <f>D90*10000/D62</f>
        <v>0.0045162741941334825</v>
      </c>
      <c r="E130" s="163">
        <f>E90*10000/E62</f>
        <v>0.010270734149849524</v>
      </c>
      <c r="F130" s="163">
        <f>F90*10000/F62</f>
        <v>0.18024917354040967</v>
      </c>
      <c r="G130" s="163">
        <f>AVERAGE(C130:E130)</f>
        <v>0.021216753686200324</v>
      </c>
      <c r="H130" s="163">
        <f>STDEV(C130:E130)</f>
        <v>0.024114832235404584</v>
      </c>
      <c r="I130" s="163">
        <f>(B130*B4+C130*C4+D130*D4+E130*E4+F130*F4)/SUM(B4:F4)</f>
        <v>0.04687128554421885</v>
      </c>
    </row>
    <row r="131" spans="1:9" ht="12.75">
      <c r="A131" s="163" t="s">
        <v>181</v>
      </c>
      <c r="B131" s="163">
        <f>B91*10000/B62</f>
        <v>0.021886143805722014</v>
      </c>
      <c r="C131" s="163">
        <f>C91*10000/C62</f>
        <v>0.0006405155505730648</v>
      </c>
      <c r="D131" s="163">
        <f>D91*10000/D62</f>
        <v>-0.05472279880548886</v>
      </c>
      <c r="E131" s="163">
        <f>E91*10000/E62</f>
        <v>-0.03354767887469121</v>
      </c>
      <c r="F131" s="163">
        <f>F91*10000/F62</f>
        <v>0.00718581704083493</v>
      </c>
      <c r="G131" s="163">
        <f>AVERAGE(C131:E131)</f>
        <v>-0.029209987376535667</v>
      </c>
      <c r="H131" s="163">
        <f>STDEV(C131:E131)</f>
        <v>0.027935386515527426</v>
      </c>
      <c r="I131" s="163">
        <f>(B131*B4+C131*C4+D131*D4+E131*E4+F131*F4)/SUM(B4:F4)</f>
        <v>-0.01696370893330845</v>
      </c>
    </row>
    <row r="132" spans="1:9" ht="12.75">
      <c r="A132" s="163" t="s">
        <v>182</v>
      </c>
      <c r="B132" s="163">
        <f>B92*10000/B62</f>
        <v>0.004776522416310301</v>
      </c>
      <c r="C132" s="163">
        <f>C92*10000/C62</f>
        <v>0.020423252662978765</v>
      </c>
      <c r="D132" s="163">
        <f>D92*10000/D62</f>
        <v>0.019755868825356345</v>
      </c>
      <c r="E132" s="163">
        <f>E92*10000/E62</f>
        <v>-0.038300617075357986</v>
      </c>
      <c r="F132" s="163">
        <f>F92*10000/F62</f>
        <v>-0.0032935597606019843</v>
      </c>
      <c r="G132" s="163">
        <f>AVERAGE(C132:E132)</f>
        <v>0.0006261681376590403</v>
      </c>
      <c r="H132" s="163">
        <f>STDEV(C132:E132)</f>
        <v>0.033713236355502135</v>
      </c>
      <c r="I132" s="163">
        <f>(B132*B4+C132*C4+D132*D4+E132*E4+F132*F4)/SUM(B4:F4)</f>
        <v>0.0006949835027813006</v>
      </c>
    </row>
    <row r="133" spans="1:9" ht="12.75">
      <c r="A133" s="163" t="s">
        <v>183</v>
      </c>
      <c r="B133" s="163">
        <f>B93*10000/B62</f>
        <v>0.03557668156731469</v>
      </c>
      <c r="C133" s="163">
        <f>C93*10000/C62</f>
        <v>0.024495511785283138</v>
      </c>
      <c r="D133" s="163">
        <f>D93*10000/D62</f>
        <v>0.015462020051829974</v>
      </c>
      <c r="E133" s="163">
        <f>E93*10000/E62</f>
        <v>0.015222226661416498</v>
      </c>
      <c r="F133" s="163">
        <f>F93*10000/F62</f>
        <v>0.010766609867124945</v>
      </c>
      <c r="G133" s="163">
        <f>AVERAGE(C133:E133)</f>
        <v>0.018393252832843203</v>
      </c>
      <c r="H133" s="163">
        <f>STDEV(C133:E133)</f>
        <v>0.005286071174274572</v>
      </c>
      <c r="I133" s="163">
        <f>(B133*B4+C133*C4+D133*D4+E133*E4+F133*F4)/SUM(B4:F4)</f>
        <v>0.01985412112522364</v>
      </c>
    </row>
    <row r="134" spans="1:9" ht="12.75">
      <c r="A134" s="163" t="s">
        <v>184</v>
      </c>
      <c r="B134" s="163">
        <f>B94*10000/B62</f>
        <v>-0.010021340952565735</v>
      </c>
      <c r="C134" s="163">
        <f>C94*10000/C62</f>
        <v>0.009506892374531194</v>
      </c>
      <c r="D134" s="163">
        <f>D94*10000/D62</f>
        <v>0.018863523943398425</v>
      </c>
      <c r="E134" s="163">
        <f>E94*10000/E62</f>
        <v>0.027921570714778937</v>
      </c>
      <c r="F134" s="163">
        <f>F94*10000/F62</f>
        <v>-0.006707802791831271</v>
      </c>
      <c r="G134" s="163">
        <f>AVERAGE(C134:E134)</f>
        <v>0.01876399567756952</v>
      </c>
      <c r="H134" s="163">
        <f>STDEV(C134:E134)</f>
        <v>0.009207742611545543</v>
      </c>
      <c r="I134" s="163">
        <f>(B134*B4+C134*C4+D134*D4+E134*E4+F134*F4)/SUM(B4:F4)</f>
        <v>0.011202335835277891</v>
      </c>
    </row>
    <row r="135" spans="1:9" ht="12.75">
      <c r="A135" s="163" t="s">
        <v>185</v>
      </c>
      <c r="B135" s="163">
        <f>B95*10000/B62</f>
        <v>0.0019400962578749285</v>
      </c>
      <c r="C135" s="163">
        <f>C95*10000/C62</f>
        <v>0.0007215959766968861</v>
      </c>
      <c r="D135" s="163">
        <f>D95*10000/D62</f>
        <v>-0.0008004376106579295</v>
      </c>
      <c r="E135" s="163">
        <f>E95*10000/E62</f>
        <v>0.0028833053718373314</v>
      </c>
      <c r="F135" s="163">
        <f>F95*10000/F62</f>
        <v>0.004569434746858021</v>
      </c>
      <c r="G135" s="163">
        <f>AVERAGE(C135:E135)</f>
        <v>0.0009348212459587626</v>
      </c>
      <c r="H135" s="163">
        <f>STDEV(C135:E135)</f>
        <v>0.0018511049002851298</v>
      </c>
      <c r="I135" s="163">
        <f>(B135*B4+C135*C4+D135*D4+E135*E4+F135*F4)/SUM(B4:F4)</f>
        <v>0.0015664232618860636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2003-11-17T10:26:08Z</cp:lastPrinted>
  <dcterms:created xsi:type="dcterms:W3CDTF">1999-06-17T15:15:05Z</dcterms:created>
  <dcterms:modified xsi:type="dcterms:W3CDTF">2005-10-05T09:37:26Z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