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131_pos1ap2" sheetId="2" r:id="rId2"/>
    <sheet name="HCMQAP131_pos2ap2" sheetId="3" r:id="rId3"/>
    <sheet name="HCMQAP131_pos3ap2" sheetId="4" r:id="rId4"/>
    <sheet name="HCMQAP131_pos4ap2" sheetId="5" r:id="rId5"/>
    <sheet name="HCMQAP131_pos5ap2" sheetId="6" r:id="rId6"/>
    <sheet name="Lmag_hcmqap" sheetId="7" r:id="rId7"/>
    <sheet name="Result_HCMQAP" sheetId="8" r:id="rId8"/>
  </sheets>
  <definedNames>
    <definedName name="_xlnm.Print_Area" localSheetId="1">'HCMQAP131_pos1ap2'!$A$1:$N$28</definedName>
    <definedName name="_xlnm.Print_Area" localSheetId="2">'HCMQAP131_pos2ap2'!$A$1:$N$28</definedName>
    <definedName name="_xlnm.Print_Area" localSheetId="3">'HCMQAP131_pos3ap2'!$A$1:$N$28</definedName>
    <definedName name="_xlnm.Print_Area" localSheetId="4">'HCMQAP131_pos4ap2'!$A$1:$N$28</definedName>
    <definedName name="_xlnm.Print_Area" localSheetId="5">'HCMQAP131_pos5ap2'!$A$1:$N$28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<sst xmlns="http://schemas.openxmlformats.org/spreadsheetml/2006/main" count="510" uniqueCount="190">
  <si>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</si>
  <si>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</si>
  <si>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</si>
  <si>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</si>
  <si>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</si>
  <si>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</si>
  <si>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</si>
  <si>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</si>
  <si>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</si>
  <si>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</si>
  <si>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</si>
  <si>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</si>
  <si>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</si>
  <si>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</si>
  <si>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</si>
  <si>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hcmqap131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</si>
  <si>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</si>
  <si>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</si>
  <si>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</si>
  <si>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</si>
  <si>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</si>
  <si>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</si>
  <si>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</si>
  <si>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</si>
  <si>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</si>
  <si>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</si>
  <si>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</si>
  <si>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</si>
  <si>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taupe_quadrupole#12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</si>
  <si>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</si>
  <si>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</si>
  <si>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</si>
  <si>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</si>
  <si>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</si>
  <si>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</si>
  <si>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</si>
  <si>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</si>
  <si>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</si>
  <si>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</si>
  <si>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</si>
  <si>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</si>
  <si>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</si>
  <si>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</si>
  <si>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</si>
  <si>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</si>
  <si>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</si>
  <si>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</si>
  <si>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</si>
  <si>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</si>
  <si>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</si>
  <si>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</si>
  <si>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</si>
  <si>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</si>
  <si>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</si>
  <si>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</si>
  <si>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</si>
  <si>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</si>
  <si>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</si>
  <si>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</si>
  <si>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-2.251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</si>
  <si>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</si>
  <si>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</si>
  <si>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</si>
  <si>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</si>
  <si>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</si>
  <si>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</si>
  <si>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</si>
  <si>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</si>
  <si>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HCMQAP131_pos1ap2</t>
  </si>
  <si>
    <t>17/11/2003</t>
  </si>
  <si>
    <t>±12.5</t>
  </si>
  <si>
    <t>THCMQAP131_pos1ap2.xls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</si>
  <si>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-3.754 mT)</t>
    </r>
  </si>
  <si>
    <t>HCMQAP131_pos2ap2</t>
  </si>
  <si>
    <t>THCMQAP131_pos2ap2.xls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</si>
  <si>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-3.756 mT)</t>
    </r>
  </si>
  <si>
    <t>HCMQAP131_pos3ap2</t>
  </si>
  <si>
    <t>THCMQAP131_pos3ap2.xls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</si>
  <si>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-3.759 mT)</t>
    </r>
  </si>
  <si>
    <t>HCMQAP131_pos4ap2</t>
  </si>
  <si>
    <t>THCMQAP131_pos4ap2.xls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</si>
  <si>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-2.086 mT)</t>
    </r>
  </si>
  <si>
    <t>HCMQAP131_pos5ap2</t>
  </si>
  <si>
    <t>THCMQAP131_pos5ap2.xls</t>
  </si>
  <si>
    <t>Sommaire : Valeurs intégrales calculées avec les fichiers: HCMQAP131_pos1ap2+HCMQAP131_pos2ap2+HCMQAP131_pos3ap2+HCMQAP131_pos4ap2+HCMQAP131_pos5ap2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</si>
  <si>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</si>
  <si>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</si>
  <si>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</si>
  <si>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</si>
  <si>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</si>
  <si>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</si>
  <si>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</si>
  <si>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</si>
  <si>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</si>
  <si>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</si>
  <si>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</si>
  <si>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</si>
  <si>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</si>
  <si>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</si>
  <si>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</si>
  <si>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</si>
  <si>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</si>
  <si>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</si>
  <si>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</si>
  <si>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</si>
  <si>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</si>
  <si>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</si>
  <si>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</si>
  <si>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</si>
  <si>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</si>
  <si>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</si>
  <si>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</si>
  <si>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</si>
  <si>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</si>
  <si>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</si>
  <si>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</si>
  <si>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</si>
  <si>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</si>
  <si>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</si>
  <si>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</si>
  <si>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</si>
  <si>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</si>
  <si>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</si>
  <si>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</si>
  <si>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</si>
  <si>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</si>
  <si>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</si>
  <si>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</si>
  <si>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=-3.756</t>
    </r>
  </si>
  <si>
    <t>Gradient (T/m)</t>
  </si>
  <si>
    <t xml:space="preserve"> Mon 17/11/2003       07:33:36</t>
  </si>
  <si>
    <t>SIEGMUND</t>
  </si>
  <si>
    <t>HCMQAP131</t>
  </si>
  <si>
    <t>Aperture2</t>
  </si>
  <si>
    <t>Position</t>
  </si>
  <si>
    <t>Integrales</t>
  </si>
  <si>
    <t>Cn (mT)</t>
  </si>
  <si>
    <t>Angle(Horiz,Cn)</t>
  </si>
  <si>
    <t>b1</t>
  </si>
  <si>
    <t>b2</t>
  </si>
  <si>
    <t>a1</t>
  </si>
  <si>
    <t>a2</t>
  </si>
  <si>
    <t>a4*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</si>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</sst>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5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0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131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1030610"/>
        <c:axId val="10840035"/>
      </c:lineChart>
      <c:catAx>
        <c:axId val="310306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0840035"/>
        <c:crosses val="autoZero"/>
        <c:auto val="1"/>
        <c:lblOffset val="100"/>
        <c:noMultiLvlLbl val="0"/>
      </c:catAx>
      <c:valAx>
        <c:axId val="10840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3103061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1</v>
      </c>
      <c r="F2" s="26"/>
      <c r="G2" s="26" t="s">
        <v>68</v>
      </c>
      <c r="H2" s="25">
        <v>2593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2593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76</v>
      </c>
      <c r="H4" s="25">
        <v>2593</v>
      </c>
      <c r="I4" s="27" t="s">
        <v>77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79</v>
      </c>
      <c r="H5" s="25">
        <v>2593</v>
      </c>
      <c r="I5" s="27" t="s">
        <v>80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5</v>
      </c>
      <c r="F6" s="26"/>
      <c r="G6" s="26" t="s">
        <v>82</v>
      </c>
      <c r="H6" s="25">
        <v>2593</v>
      </c>
      <c r="I6" s="27" t="s">
        <v>83</v>
      </c>
      <c r="J6" s="30"/>
      <c r="K6" s="28"/>
      <c r="L6" s="28"/>
      <c r="M6" s="28"/>
      <c r="N6" s="28"/>
    </row>
    <row r="7" spans="1:14" s="29" customFormat="1" ht="15" customHeight="1">
      <c r="A7" s="40" t="s">
        <v>84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4.8143964E-05</v>
      </c>
      <c r="L2" s="55">
        <v>9.101534966108979E-08</v>
      </c>
      <c r="M2" s="55">
        <v>6.236653999999999E-05</v>
      </c>
      <c r="N2" s="56">
        <v>2.174462609498099E-07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-3.1303132E-05</v>
      </c>
      <c r="L3" s="55">
        <v>5.413441646376021E-08</v>
      </c>
      <c r="M3" s="55">
        <v>1.3103081999999997E-05</v>
      </c>
      <c r="N3" s="56">
        <v>7.567199003612632E-08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-0.002251364891107854</v>
      </c>
      <c r="L4" s="55">
        <v>-2.0009730191740071E-07</v>
      </c>
      <c r="M4" s="55">
        <v>4.9654212231817615E-08</v>
      </c>
      <c r="N4" s="56">
        <v>0.044439109399999996</v>
      </c>
    </row>
    <row r="5" spans="1:14" ht="15" customHeight="1" thickBot="1">
      <c r="A5" t="s">
        <v>18</v>
      </c>
      <c r="B5" s="59">
        <v>37942.29340277778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2593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1.04271869</v>
      </c>
      <c r="E8" s="78">
        <v>0.0028837381880219837</v>
      </c>
      <c r="F8" s="78">
        <v>0.6745877700000001</v>
      </c>
      <c r="G8" s="78">
        <v>0.008476337596656381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-0.38633104</v>
      </c>
      <c r="E9" s="80">
        <v>0.01793251194167825</v>
      </c>
      <c r="F9" s="80">
        <v>0.28110567599999997</v>
      </c>
      <c r="G9" s="80">
        <v>0.009487688568166704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-0.35334575</v>
      </c>
      <c r="E10" s="80">
        <v>0.007153536784205882</v>
      </c>
      <c r="F10" s="80">
        <v>-0.61510133</v>
      </c>
      <c r="G10" s="80">
        <v>0.009062072888284957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3.3032960000000005</v>
      </c>
      <c r="E11" s="78">
        <v>0.008425195540613373</v>
      </c>
      <c r="F11" s="78">
        <v>-0.035149906189999996</v>
      </c>
      <c r="G11" s="78">
        <v>0.005957233207275629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-0.039323237500000004</v>
      </c>
      <c r="E12" s="80">
        <v>0.009032443953543828</v>
      </c>
      <c r="F12" s="80">
        <v>-0.12870143</v>
      </c>
      <c r="G12" s="80">
        <v>0.006448460230731707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17.559815</v>
      </c>
      <c r="D13" s="83">
        <v>-0.07149940863000001</v>
      </c>
      <c r="E13" s="80">
        <v>0.002709348312086956</v>
      </c>
      <c r="F13" s="80">
        <v>0.071513581</v>
      </c>
      <c r="G13" s="80">
        <v>0.005631688229850284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-0.0224099793</v>
      </c>
      <c r="E14" s="80">
        <v>0.002800582351797198</v>
      </c>
      <c r="F14" s="80">
        <v>0.006642363</v>
      </c>
      <c r="G14" s="80">
        <v>0.002524957578709711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-0.26696365999999994</v>
      </c>
      <c r="E15" s="78">
        <v>0.0022273253187232475</v>
      </c>
      <c r="F15" s="78">
        <v>0.08704722499999999</v>
      </c>
      <c r="G15" s="78">
        <v>0.0032462442242877864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-0.015402602000000001</v>
      </c>
      <c r="E16" s="80">
        <v>0.002432745193386664</v>
      </c>
      <c r="F16" s="80">
        <v>-0.004751132900000001</v>
      </c>
      <c r="G16" s="80">
        <v>0.0027696908440279643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-0.32100000977516174</v>
      </c>
      <c r="D17" s="83">
        <v>0.00024668479999999935</v>
      </c>
      <c r="E17" s="80">
        <v>0.002853640368220592</v>
      </c>
      <c r="F17" s="80">
        <v>0.023017783999999996</v>
      </c>
      <c r="G17" s="80">
        <v>0.002634083228928834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51.37099838256836</v>
      </c>
      <c r="D18" s="83">
        <v>0.046674404</v>
      </c>
      <c r="E18" s="80">
        <v>0.0019818547003536096</v>
      </c>
      <c r="F18" s="80">
        <v>0.043727506000000006</v>
      </c>
      <c r="G18" s="80">
        <v>0.0020420542622427147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-0.4880000054836273</v>
      </c>
      <c r="D19" s="86">
        <v>-0.19411339</v>
      </c>
      <c r="E19" s="80">
        <v>0.0006899549430154485</v>
      </c>
      <c r="F19" s="80">
        <v>0.016559425</v>
      </c>
      <c r="G19" s="80">
        <v>0.0012531313586651796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0.36348749999999996</v>
      </c>
      <c r="D20" s="88">
        <v>0.0002943119</v>
      </c>
      <c r="E20" s="89">
        <v>0.001230001664374175</v>
      </c>
      <c r="F20" s="89">
        <v>-0.00118023824</v>
      </c>
      <c r="G20" s="89">
        <v>0.0014641069334518056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0.47096790000000005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0.002546175564602637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-2.2513649</v>
      </c>
      <c r="I25" s="101" t="s">
        <v>49</v>
      </c>
      <c r="J25" s="102"/>
      <c r="K25" s="101"/>
      <c r="L25" s="104">
        <v>3.303483007300199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1.2419061663060094</v>
      </c>
      <c r="I26" s="106" t="s">
        <v>53</v>
      </c>
      <c r="J26" s="107"/>
      <c r="K26" s="106"/>
      <c r="L26" s="109">
        <v>0.2807967505880297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HCMQAP131_pos1ap2res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6.4387374E-05</v>
      </c>
      <c r="L2" s="55">
        <v>1.3644003622193856E-07</v>
      </c>
      <c r="M2" s="55">
        <v>5.2331047999999995E-05</v>
      </c>
      <c r="N2" s="56">
        <v>2.5349046638188033E-07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-2.9250872E-05</v>
      </c>
      <c r="L3" s="55">
        <v>2.980108147300226E-07</v>
      </c>
      <c r="M3" s="55">
        <v>1.2076404000000001E-05</v>
      </c>
      <c r="N3" s="56">
        <v>7.177334682166141E-08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-0.0037540562820518766</v>
      </c>
      <c r="L4" s="55">
        <v>-3.1626461975579324E-05</v>
      </c>
      <c r="M4" s="55">
        <v>4.70797148817032E-08</v>
      </c>
      <c r="N4" s="56">
        <v>4.212205599999999</v>
      </c>
    </row>
    <row r="5" spans="1:14" ht="15" customHeight="1" thickBot="1">
      <c r="A5" t="s">
        <v>18</v>
      </c>
      <c r="B5" s="59">
        <v>37942.29788194445</v>
      </c>
      <c r="D5" s="60"/>
      <c r="E5" s="61" t="s">
        <v>72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2593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0.92170585</v>
      </c>
      <c r="E8" s="78">
        <v>0.0058793699891307736</v>
      </c>
      <c r="F8" s="78">
        <v>0.25530698</v>
      </c>
      <c r="G8" s="78">
        <v>0.00878374461597023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0.027456830000000005</v>
      </c>
      <c r="E9" s="80">
        <v>0.010077820812040667</v>
      </c>
      <c r="F9" s="80">
        <v>-1.6265356</v>
      </c>
      <c r="G9" s="80">
        <v>0.011397758316412782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0.084290304</v>
      </c>
      <c r="E10" s="80">
        <v>0.004219563345303028</v>
      </c>
      <c r="F10" s="80">
        <v>0.215016643</v>
      </c>
      <c r="G10" s="80">
        <v>0.007695858382587086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2.8123894</v>
      </c>
      <c r="E11" s="78">
        <v>0.006779087043185889</v>
      </c>
      <c r="F11" s="78">
        <v>0.043890643</v>
      </c>
      <c r="G11" s="78">
        <v>0.005429031196808131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0.106513013</v>
      </c>
      <c r="E12" s="80">
        <v>0.003725326253860825</v>
      </c>
      <c r="F12" s="80">
        <v>-0.034734409</v>
      </c>
      <c r="G12" s="80">
        <v>0.005500284456387155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17.480469</v>
      </c>
      <c r="D13" s="83">
        <v>-0.005390149999999999</v>
      </c>
      <c r="E13" s="80">
        <v>0.003243082860643557</v>
      </c>
      <c r="F13" s="80">
        <v>-0.10759706</v>
      </c>
      <c r="G13" s="80">
        <v>0.0026327987056359143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0.114718659</v>
      </c>
      <c r="E14" s="80">
        <v>0.0021397417415015842</v>
      </c>
      <c r="F14" s="80">
        <v>0.002195983</v>
      </c>
      <c r="G14" s="80">
        <v>0.002790340253120755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-0.010490470799999999</v>
      </c>
      <c r="E15" s="78">
        <v>0.0029175683788824403</v>
      </c>
      <c r="F15" s="78">
        <v>0.11389429300000001</v>
      </c>
      <c r="G15" s="78">
        <v>0.002629757686384193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-0.028941518</v>
      </c>
      <c r="E16" s="80">
        <v>0.0015860351550788432</v>
      </c>
      <c r="F16" s="80">
        <v>-0.0166132426</v>
      </c>
      <c r="G16" s="80">
        <v>0.0029543864985490925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0.35600000619888306</v>
      </c>
      <c r="D17" s="83">
        <v>-0.0006132185</v>
      </c>
      <c r="E17" s="80">
        <v>0.0013105039966529108</v>
      </c>
      <c r="F17" s="80">
        <v>-0.011773334000000002</v>
      </c>
      <c r="G17" s="80">
        <v>0.0021736749482555878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1.5260000228881836</v>
      </c>
      <c r="D18" s="83">
        <v>0.029272061</v>
      </c>
      <c r="E18" s="80">
        <v>0.0014248752722164947</v>
      </c>
      <c r="F18" s="80">
        <v>0.0066867004199999995</v>
      </c>
      <c r="G18" s="80">
        <v>0.0012123264242057696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0.2770000100135803</v>
      </c>
      <c r="D19" s="86">
        <v>-0.17416652</v>
      </c>
      <c r="E19" s="80">
        <v>0.0005090065074273217</v>
      </c>
      <c r="F19" s="80">
        <v>0.02248503</v>
      </c>
      <c r="G19" s="80">
        <v>0.0016356701775632654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0.2895578</v>
      </c>
      <c r="D20" s="88">
        <v>0.0007971373000000001</v>
      </c>
      <c r="E20" s="89">
        <v>0.0010348599918677697</v>
      </c>
      <c r="F20" s="89">
        <v>-0.0023692986399999998</v>
      </c>
      <c r="G20" s="89">
        <v>0.0011369871263549902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0.2394209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0.24134180717407422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-3.7541895</v>
      </c>
      <c r="I25" s="101" t="s">
        <v>49</v>
      </c>
      <c r="J25" s="102"/>
      <c r="K25" s="101"/>
      <c r="L25" s="104">
        <v>2.812731861691639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0.9564116937600371</v>
      </c>
      <c r="I26" s="106" t="s">
        <v>53</v>
      </c>
      <c r="J26" s="107"/>
      <c r="K26" s="106"/>
      <c r="L26" s="109">
        <v>0.11437639597213886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HCMQAP131_pos2ap2res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4.3795896E-05</v>
      </c>
      <c r="L2" s="55">
        <v>1.286071173135103E-07</v>
      </c>
      <c r="M2" s="55">
        <v>6.268773599999999E-05</v>
      </c>
      <c r="N2" s="56">
        <v>1.8488721379397426E-07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-2.8405152E-05</v>
      </c>
      <c r="L3" s="55">
        <v>3.3040031900126995E-07</v>
      </c>
      <c r="M3" s="55">
        <v>1.118226E-05</v>
      </c>
      <c r="N3" s="56">
        <v>8.772117201662275E-08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-0.003755536449101773</v>
      </c>
      <c r="L4" s="55">
        <v>-5.35210222705584E-05</v>
      </c>
      <c r="M4" s="55">
        <v>7.0366628576074E-08</v>
      </c>
      <c r="N4" s="56">
        <v>7.1251338</v>
      </c>
    </row>
    <row r="5" spans="1:14" ht="15" customHeight="1" thickBot="1">
      <c r="A5" t="s">
        <v>18</v>
      </c>
      <c r="B5" s="59">
        <v>37942.30241898148</v>
      </c>
      <c r="D5" s="60"/>
      <c r="E5" s="61" t="s">
        <v>75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2593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0.43978923999999997</v>
      </c>
      <c r="E8" s="78">
        <v>0.009889809800973419</v>
      </c>
      <c r="F8" s="78">
        <v>0.65950487</v>
      </c>
      <c r="G8" s="78">
        <v>0.00949158986516577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-0.11914834999999999</v>
      </c>
      <c r="E9" s="80">
        <v>0.007615406136970223</v>
      </c>
      <c r="F9" s="80">
        <v>-2.3454265</v>
      </c>
      <c r="G9" s="80">
        <v>0.010659182548432547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0.137656827</v>
      </c>
      <c r="E10" s="80">
        <v>0.0023361843299632623</v>
      </c>
      <c r="F10" s="80">
        <v>0.25530171399999996</v>
      </c>
      <c r="G10" s="80">
        <v>0.0025883031006336934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3.0411357000000003</v>
      </c>
      <c r="E11" s="78">
        <v>0.005096334423647357</v>
      </c>
      <c r="F11" s="78">
        <v>-0.105355079</v>
      </c>
      <c r="G11" s="78">
        <v>0.004091917338831952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0.28677304000000003</v>
      </c>
      <c r="E12" s="80">
        <v>0.002290360815976369</v>
      </c>
      <c r="F12" s="80">
        <v>-0.008416543799999999</v>
      </c>
      <c r="G12" s="80">
        <v>0.004992119859582878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17.376709</v>
      </c>
      <c r="D13" s="83">
        <v>-0.18764384499999998</v>
      </c>
      <c r="E13" s="80">
        <v>0.0036039508551885496</v>
      </c>
      <c r="F13" s="80">
        <v>-0.22779227500000002</v>
      </c>
      <c r="G13" s="80">
        <v>0.0029357306490856725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0.07234391500000001</v>
      </c>
      <c r="E14" s="80">
        <v>0.0019128310270304007</v>
      </c>
      <c r="F14" s="80">
        <v>-0.09631530699999999</v>
      </c>
      <c r="G14" s="80">
        <v>0.002374743167857709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0.10117881799999999</v>
      </c>
      <c r="E15" s="78">
        <v>0.0016466096391242416</v>
      </c>
      <c r="F15" s="78">
        <v>0.07207996600000001</v>
      </c>
      <c r="G15" s="78">
        <v>0.0016163092889927703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-0.00048436899999999996</v>
      </c>
      <c r="E16" s="80">
        <v>0.0020091440655946</v>
      </c>
      <c r="F16" s="80">
        <v>-0.032438167</v>
      </c>
      <c r="G16" s="80">
        <v>0.0006701291290088345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-0.2840000092983246</v>
      </c>
      <c r="D17" s="83">
        <v>0.0083071226</v>
      </c>
      <c r="E17" s="80">
        <v>0.0008395211283594009</v>
      </c>
      <c r="F17" s="80">
        <v>-0.020740142</v>
      </c>
      <c r="G17" s="80">
        <v>0.0014878339576095325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21.36199951171875</v>
      </c>
      <c r="D18" s="83">
        <v>0.022000026</v>
      </c>
      <c r="E18" s="80">
        <v>0.0013377028821431392</v>
      </c>
      <c r="F18" s="80">
        <v>0.021463358999999998</v>
      </c>
      <c r="G18" s="80">
        <v>0.0002438719473700321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-0.3540000021457672</v>
      </c>
      <c r="D19" s="86">
        <v>-0.19003899</v>
      </c>
      <c r="E19" s="80">
        <v>0.00031427471008228233</v>
      </c>
      <c r="F19" s="80">
        <v>0.025507820999999996</v>
      </c>
      <c r="G19" s="80">
        <v>0.0010635977161333485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0.1941626</v>
      </c>
      <c r="D20" s="88">
        <v>-0.0046059249</v>
      </c>
      <c r="E20" s="89">
        <v>0.0002603365114714827</v>
      </c>
      <c r="F20" s="89">
        <v>-0.0008839320999999999</v>
      </c>
      <c r="G20" s="89">
        <v>0.0010683236126484523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0.2865324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0.40824044003195836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-3.7559177999999998</v>
      </c>
      <c r="I25" s="101" t="s">
        <v>49</v>
      </c>
      <c r="J25" s="102"/>
      <c r="K25" s="101"/>
      <c r="L25" s="104">
        <v>3.042960078358832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0.7926924051443248</v>
      </c>
      <c r="I26" s="106" t="s">
        <v>53</v>
      </c>
      <c r="J26" s="107"/>
      <c r="K26" s="106"/>
      <c r="L26" s="109">
        <v>0.12422831686229303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HCMQAP131_pos3ap2res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5.3404132E-05</v>
      </c>
      <c r="L2" s="55">
        <v>1.2323909094117218E-07</v>
      </c>
      <c r="M2" s="55">
        <v>9.7334571E-05</v>
      </c>
      <c r="N2" s="56">
        <v>2.1620286747667262E-07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-2.9208806E-05</v>
      </c>
      <c r="L3" s="55">
        <v>2.5022185440921504E-07</v>
      </c>
      <c r="M3" s="55">
        <v>1.0879209000000002E-05</v>
      </c>
      <c r="N3" s="56">
        <v>1.972770596496131E-07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-0.0037579833573375227</v>
      </c>
      <c r="L4" s="55">
        <v>-8.060470066620534E-05</v>
      </c>
      <c r="M4" s="55">
        <v>4.0292188829002575E-08</v>
      </c>
      <c r="N4" s="56">
        <v>10.722818</v>
      </c>
    </row>
    <row r="5" spans="1:14" ht="15" customHeight="1" thickBot="1">
      <c r="A5" t="s">
        <v>18</v>
      </c>
      <c r="B5" s="59">
        <v>37942.306967592594</v>
      </c>
      <c r="D5" s="60"/>
      <c r="E5" s="61" t="s">
        <v>78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2593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-0.28564258000000003</v>
      </c>
      <c r="E8" s="78">
        <v>0.004274482804924301</v>
      </c>
      <c r="F8" s="78">
        <v>0.3641585</v>
      </c>
      <c r="G8" s="78">
        <v>0.011928587582401272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-0.007181439999999995</v>
      </c>
      <c r="E9" s="80">
        <v>0.004653977191327876</v>
      </c>
      <c r="F9" s="80">
        <v>-2.5582374000000003</v>
      </c>
      <c r="G9" s="80">
        <v>0.011572859013213475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0.048254148</v>
      </c>
      <c r="E10" s="80">
        <v>0.007969008462130372</v>
      </c>
      <c r="F10" s="80">
        <v>0.14808697</v>
      </c>
      <c r="G10" s="80">
        <v>0.006172913844487667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1.9596906</v>
      </c>
      <c r="E11" s="78">
        <v>0.0041868904380228</v>
      </c>
      <c r="F11" s="78">
        <v>-0.072114643</v>
      </c>
      <c r="G11" s="78">
        <v>0.006696754464683283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0.10132937</v>
      </c>
      <c r="E12" s="80">
        <v>0.0026325353979313034</v>
      </c>
      <c r="F12" s="80">
        <v>0.028268209300000003</v>
      </c>
      <c r="G12" s="80">
        <v>0.004333809128508244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17.288209</v>
      </c>
      <c r="D13" s="83">
        <v>-0.167348215</v>
      </c>
      <c r="E13" s="80">
        <v>0.002471587451242781</v>
      </c>
      <c r="F13" s="80">
        <v>-0.2551992261</v>
      </c>
      <c r="G13" s="80">
        <v>0.0025249712017790292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0.022395303</v>
      </c>
      <c r="E14" s="80">
        <v>0.0012164599815995736</v>
      </c>
      <c r="F14" s="80">
        <v>-0.056061004000000005</v>
      </c>
      <c r="G14" s="80">
        <v>0.00280898197082921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0.102539787</v>
      </c>
      <c r="E15" s="78">
        <v>0.0022312474888336914</v>
      </c>
      <c r="F15" s="78">
        <v>0.054809701</v>
      </c>
      <c r="G15" s="78">
        <v>0.0015572671698599499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0.013518948119999999</v>
      </c>
      <c r="E16" s="80">
        <v>0.0026435726765801715</v>
      </c>
      <c r="F16" s="80">
        <v>-0.036360806</v>
      </c>
      <c r="G16" s="80">
        <v>0.001279983489320977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0.4749999940395355</v>
      </c>
      <c r="D17" s="83">
        <v>0.0005101817600000001</v>
      </c>
      <c r="E17" s="80">
        <v>0.0017624337157238642</v>
      </c>
      <c r="F17" s="80">
        <v>-0.023777445</v>
      </c>
      <c r="G17" s="80">
        <v>0.0012187633632825899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0.5090000033378601</v>
      </c>
      <c r="D18" s="83">
        <v>0.027200277000000002</v>
      </c>
      <c r="E18" s="80">
        <v>0.0008713981978441366</v>
      </c>
      <c r="F18" s="80">
        <v>0.03984511</v>
      </c>
      <c r="G18" s="80">
        <v>0.001486762088385366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0.38600000739097595</v>
      </c>
      <c r="D19" s="86">
        <v>-0.18652909</v>
      </c>
      <c r="E19" s="80">
        <v>0.000711768876394799</v>
      </c>
      <c r="F19" s="80">
        <v>0.0269119</v>
      </c>
      <c r="G19" s="80">
        <v>0.000909129723587304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0.2320322</v>
      </c>
      <c r="D20" s="88">
        <v>-0.0031464663</v>
      </c>
      <c r="E20" s="89">
        <v>0.0007585810333547489</v>
      </c>
      <c r="F20" s="89">
        <v>-0.0006508334389999998</v>
      </c>
      <c r="G20" s="89">
        <v>0.0009590790265422852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0.4452844000000001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0.6143727348253591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-3.7588476999999996</v>
      </c>
      <c r="I25" s="101" t="s">
        <v>49</v>
      </c>
      <c r="J25" s="102"/>
      <c r="K25" s="101"/>
      <c r="L25" s="104">
        <v>1.9610170242665863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0.46282080401739334</v>
      </c>
      <c r="I26" s="106" t="s">
        <v>53</v>
      </c>
      <c r="J26" s="107"/>
      <c r="K26" s="106"/>
      <c r="L26" s="109">
        <v>0.11626913279849803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HCMQAP131_pos4ap2res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4.319604E-05</v>
      </c>
      <c r="L2" s="55">
        <v>2.3959566083206067E-07</v>
      </c>
      <c r="M2" s="55">
        <v>5.7168351000000006E-05</v>
      </c>
      <c r="N2" s="56">
        <v>1.288854787564269E-07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-3.132220799999999E-05</v>
      </c>
      <c r="L3" s="55">
        <v>1.4608583136792133E-07</v>
      </c>
      <c r="M3" s="55">
        <v>1.0445742999999998E-05</v>
      </c>
      <c r="N3" s="56">
        <v>1.0944588884941277E-07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-0.002084676402485508</v>
      </c>
      <c r="L4" s="55">
        <v>-5.889608804766714E-05</v>
      </c>
      <c r="M4" s="55">
        <v>7.967973203718626E-08</v>
      </c>
      <c r="N4" s="56">
        <v>14.122198000000001</v>
      </c>
    </row>
    <row r="5" spans="1:14" ht="15" customHeight="1" thickBot="1">
      <c r="A5" t="s">
        <v>18</v>
      </c>
      <c r="B5" s="59">
        <v>37942.31146990741</v>
      </c>
      <c r="D5" s="60"/>
      <c r="E5" s="61" t="s">
        <v>81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2593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0.09346659399999999</v>
      </c>
      <c r="E8" s="78">
        <v>0.00873000404458987</v>
      </c>
      <c r="F8" s="114">
        <v>7.894147800000001</v>
      </c>
      <c r="G8" s="78">
        <v>0.043758086290005084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-1.9221758000000002</v>
      </c>
      <c r="E9" s="80">
        <v>0.009762302569544053</v>
      </c>
      <c r="F9" s="115">
        <v>-4.1448227</v>
      </c>
      <c r="G9" s="80">
        <v>0.018632454034949373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-1.175329182</v>
      </c>
      <c r="E10" s="80">
        <v>0.014677137637052766</v>
      </c>
      <c r="F10" s="80">
        <v>-1.2757267799999998</v>
      </c>
      <c r="G10" s="80">
        <v>0.015271098460488903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6">
        <v>13.764448999999999</v>
      </c>
      <c r="E11" s="78">
        <v>0.006364945718280845</v>
      </c>
      <c r="F11" s="78">
        <v>1.07660531</v>
      </c>
      <c r="G11" s="78">
        <v>0.010716535490338863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0.0015069363000000003</v>
      </c>
      <c r="E12" s="80">
        <v>0.012065822893794213</v>
      </c>
      <c r="F12" s="115">
        <v>0.60452462</v>
      </c>
      <c r="G12" s="80">
        <v>0.002282474210510541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17.269898</v>
      </c>
      <c r="D13" s="83">
        <v>-0.19960739</v>
      </c>
      <c r="E13" s="80">
        <v>0.006087053654141221</v>
      </c>
      <c r="F13" s="115">
        <v>-0.48762983000000004</v>
      </c>
      <c r="G13" s="80">
        <v>0.005508527420242595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0.058765006800000005</v>
      </c>
      <c r="E14" s="80">
        <v>0.008778717081797857</v>
      </c>
      <c r="F14" s="80">
        <v>-0.07821365200000001</v>
      </c>
      <c r="G14" s="80">
        <v>0.005395785362077755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-0.34358134</v>
      </c>
      <c r="E15" s="78">
        <v>0.004233215941860196</v>
      </c>
      <c r="F15" s="78">
        <v>0.17900369</v>
      </c>
      <c r="G15" s="78">
        <v>0.002278296875607455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-0.03194881</v>
      </c>
      <c r="E16" s="80">
        <v>0.0017810633437219338</v>
      </c>
      <c r="F16" s="80">
        <v>0.0158880712</v>
      </c>
      <c r="G16" s="80">
        <v>0.001652895004959411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-0.30799999833106995</v>
      </c>
      <c r="D17" s="83">
        <v>-0.0026125735000000006</v>
      </c>
      <c r="E17" s="80">
        <v>0.0019945079683230138</v>
      </c>
      <c r="F17" s="80">
        <v>-0.032146190000000005</v>
      </c>
      <c r="G17" s="80">
        <v>0.0020030777708175736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25.940000534057617</v>
      </c>
      <c r="D18" s="83">
        <v>0.024729177</v>
      </c>
      <c r="E18" s="80">
        <v>0.0012423992475391783</v>
      </c>
      <c r="F18" s="80">
        <v>0.04179485199999999</v>
      </c>
      <c r="G18" s="80">
        <v>0.001236795066341465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-0.38999998569488525</v>
      </c>
      <c r="D19" s="83">
        <v>-0.12949153</v>
      </c>
      <c r="E19" s="80">
        <v>0.001421180317412192</v>
      </c>
      <c r="F19" s="80">
        <v>-0.019799647999999996</v>
      </c>
      <c r="G19" s="80">
        <v>0.0015539823260533358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0.3387891</v>
      </c>
      <c r="D20" s="88">
        <v>0.0025530430700000002</v>
      </c>
      <c r="E20" s="89">
        <v>0.0009859650358724176</v>
      </c>
      <c r="F20" s="89">
        <v>0.004035444710000001</v>
      </c>
      <c r="G20" s="89">
        <v>0.0013918400876200532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0.4757713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0.8091430263019682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-2.0855082</v>
      </c>
      <c r="I25" s="101" t="s">
        <v>49</v>
      </c>
      <c r="J25" s="102"/>
      <c r="K25" s="101"/>
      <c r="L25" s="104">
        <v>13.806488882663874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7.894701102159525</v>
      </c>
      <c r="I26" s="106" t="s">
        <v>53</v>
      </c>
      <c r="J26" s="107"/>
      <c r="K26" s="106"/>
      <c r="L26" s="109">
        <v>0.38741509809222935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HCMQAP131_pos5ap2res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121</v>
      </c>
      <c r="B1" s="131" t="s">
        <v>68</v>
      </c>
      <c r="C1" s="121" t="s">
        <v>73</v>
      </c>
      <c r="D1" s="121" t="s">
        <v>76</v>
      </c>
      <c r="E1" s="121" t="s">
        <v>79</v>
      </c>
      <c r="F1" s="128" t="s">
        <v>82</v>
      </c>
      <c r="G1" s="163" t="s">
        <v>122</v>
      </c>
    </row>
    <row r="2" spans="1:7" ht="13.5" thickBot="1">
      <c r="A2" s="140" t="s">
        <v>91</v>
      </c>
      <c r="B2" s="132">
        <v>-2.2513649</v>
      </c>
      <c r="C2" s="123">
        <v>-3.7541895</v>
      </c>
      <c r="D2" s="123">
        <v>-3.7559177999999998</v>
      </c>
      <c r="E2" s="123">
        <v>-3.7588476999999996</v>
      </c>
      <c r="F2" s="129">
        <v>-2.0855082</v>
      </c>
      <c r="G2" s="164">
        <v>3.1155001929256083</v>
      </c>
    </row>
    <row r="3" spans="1:7" ht="14.25" thickBot="1" thickTop="1">
      <c r="A3" s="148" t="s">
        <v>90</v>
      </c>
      <c r="B3" s="149" t="s">
        <v>85</v>
      </c>
      <c r="C3" s="150" t="s">
        <v>86</v>
      </c>
      <c r="D3" s="150" t="s">
        <v>87</v>
      </c>
      <c r="E3" s="150" t="s">
        <v>88</v>
      </c>
      <c r="F3" s="151" t="s">
        <v>89</v>
      </c>
      <c r="G3" s="158" t="s">
        <v>123</v>
      </c>
    </row>
    <row r="4" spans="1:7" ht="12.75">
      <c r="A4" s="145" t="s">
        <v>92</v>
      </c>
      <c r="B4" s="146">
        <v>1.04271869</v>
      </c>
      <c r="C4" s="147">
        <v>0.92170585</v>
      </c>
      <c r="D4" s="147">
        <v>0.43978923999999997</v>
      </c>
      <c r="E4" s="147">
        <v>-0.28564258000000003</v>
      </c>
      <c r="F4" s="152">
        <v>0.09346659399999999</v>
      </c>
      <c r="G4" s="159">
        <v>0.4216917724168083</v>
      </c>
    </row>
    <row r="5" spans="1:7" ht="12.75">
      <c r="A5" s="140" t="s">
        <v>94</v>
      </c>
      <c r="B5" s="134">
        <v>-0.38633104</v>
      </c>
      <c r="C5" s="118">
        <v>0.027456830000000005</v>
      </c>
      <c r="D5" s="118">
        <v>-0.11914834999999999</v>
      </c>
      <c r="E5" s="118">
        <v>-0.007181439999999995</v>
      </c>
      <c r="F5" s="153">
        <v>-1.9221758000000002</v>
      </c>
      <c r="G5" s="160">
        <v>-0.3364071875763574</v>
      </c>
    </row>
    <row r="6" spans="1:7" ht="12.75">
      <c r="A6" s="140" t="s">
        <v>96</v>
      </c>
      <c r="B6" s="134">
        <v>-0.35334575</v>
      </c>
      <c r="C6" s="118">
        <v>0.084290304</v>
      </c>
      <c r="D6" s="118">
        <v>0.137656827</v>
      </c>
      <c r="E6" s="118">
        <v>0.048254148</v>
      </c>
      <c r="F6" s="153">
        <v>-1.175329182</v>
      </c>
      <c r="G6" s="160">
        <v>-0.143011915631685</v>
      </c>
    </row>
    <row r="7" spans="1:7" ht="12.75">
      <c r="A7" s="140" t="s">
        <v>98</v>
      </c>
      <c r="B7" s="133">
        <v>3.3032960000000005</v>
      </c>
      <c r="C7" s="117">
        <v>2.8123894</v>
      </c>
      <c r="D7" s="117">
        <v>3.0411357000000003</v>
      </c>
      <c r="E7" s="117">
        <v>1.9596906</v>
      </c>
      <c r="F7" s="154">
        <v>13.764448999999999</v>
      </c>
      <c r="G7" s="160">
        <v>4.1964753472102245</v>
      </c>
    </row>
    <row r="8" spans="1:7" ht="12.75">
      <c r="A8" s="140" t="s">
        <v>100</v>
      </c>
      <c r="B8" s="134">
        <v>-0.039323237500000004</v>
      </c>
      <c r="C8" s="118">
        <v>0.106513013</v>
      </c>
      <c r="D8" s="118">
        <v>0.28677304000000003</v>
      </c>
      <c r="E8" s="118">
        <v>0.10132937</v>
      </c>
      <c r="F8" s="153">
        <v>0.0015069363000000003</v>
      </c>
      <c r="G8" s="160">
        <v>0.11357676310875733</v>
      </c>
    </row>
    <row r="9" spans="1:7" ht="12.75">
      <c r="A9" s="140" t="s">
        <v>102</v>
      </c>
      <c r="B9" s="134">
        <v>-0.07149940863000001</v>
      </c>
      <c r="C9" s="118">
        <v>-0.005390149999999999</v>
      </c>
      <c r="D9" s="118">
        <v>-0.18764384499999998</v>
      </c>
      <c r="E9" s="118">
        <v>-0.167348215</v>
      </c>
      <c r="F9" s="153">
        <v>-0.19960739</v>
      </c>
      <c r="G9" s="160">
        <v>-0.12375511573571404</v>
      </c>
    </row>
    <row r="10" spans="1:7" ht="12.75">
      <c r="A10" s="140" t="s">
        <v>104</v>
      </c>
      <c r="B10" s="134">
        <v>-0.0224099793</v>
      </c>
      <c r="C10" s="118">
        <v>0.114718659</v>
      </c>
      <c r="D10" s="118">
        <v>0.07234391500000001</v>
      </c>
      <c r="E10" s="118">
        <v>0.022395303</v>
      </c>
      <c r="F10" s="153">
        <v>0.058765006800000005</v>
      </c>
      <c r="G10" s="160">
        <v>0.05502276287812819</v>
      </c>
    </row>
    <row r="11" spans="1:7" ht="12.75">
      <c r="A11" s="140" t="s">
        <v>106</v>
      </c>
      <c r="B11" s="133">
        <v>-0.26696365999999994</v>
      </c>
      <c r="C11" s="117">
        <v>-0.010490470799999999</v>
      </c>
      <c r="D11" s="117">
        <v>0.10117881799999999</v>
      </c>
      <c r="E11" s="117">
        <v>0.102539787</v>
      </c>
      <c r="F11" s="155">
        <v>-0.34358134</v>
      </c>
      <c r="G11" s="160">
        <v>-0.037902939923536536</v>
      </c>
    </row>
    <row r="12" spans="1:7" ht="12.75">
      <c r="A12" s="140" t="s">
        <v>108</v>
      </c>
      <c r="B12" s="134">
        <v>-0.015402602000000001</v>
      </c>
      <c r="C12" s="118">
        <v>-0.028941518</v>
      </c>
      <c r="D12" s="118">
        <v>-0.00048436899999999996</v>
      </c>
      <c r="E12" s="118">
        <v>0.013518948119999999</v>
      </c>
      <c r="F12" s="153">
        <v>-0.03194881</v>
      </c>
      <c r="G12" s="160">
        <v>-0.010314217727283545</v>
      </c>
    </row>
    <row r="13" spans="1:7" ht="12.75">
      <c r="A13" s="140" t="s">
        <v>110</v>
      </c>
      <c r="B13" s="134">
        <v>0.00024668479999999935</v>
      </c>
      <c r="C13" s="118">
        <v>-0.0006132185</v>
      </c>
      <c r="D13" s="118">
        <v>0.0083071226</v>
      </c>
      <c r="E13" s="118">
        <v>0.0005101817600000001</v>
      </c>
      <c r="F13" s="153">
        <v>-0.0026125735000000006</v>
      </c>
      <c r="G13" s="160">
        <v>0.0016611268942597986</v>
      </c>
    </row>
    <row r="14" spans="1:7" ht="12.75">
      <c r="A14" s="140" t="s">
        <v>112</v>
      </c>
      <c r="B14" s="134">
        <v>0.046674404</v>
      </c>
      <c r="C14" s="118">
        <v>0.029272061</v>
      </c>
      <c r="D14" s="118">
        <v>0.022000026</v>
      </c>
      <c r="E14" s="118">
        <v>0.027200277000000002</v>
      </c>
      <c r="F14" s="153">
        <v>0.024729177</v>
      </c>
      <c r="G14" s="160">
        <v>0.02892630018467307</v>
      </c>
    </row>
    <row r="15" spans="1:7" ht="12.75">
      <c r="A15" s="140" t="s">
        <v>114</v>
      </c>
      <c r="B15" s="135">
        <v>-0.19411339</v>
      </c>
      <c r="C15" s="119">
        <v>-0.17416652</v>
      </c>
      <c r="D15" s="119">
        <v>-0.19003899</v>
      </c>
      <c r="E15" s="119">
        <v>-0.18652909</v>
      </c>
      <c r="F15" s="153">
        <v>-0.12949153</v>
      </c>
      <c r="G15" s="160">
        <v>-0.17787169572319667</v>
      </c>
    </row>
    <row r="16" spans="1:7" ht="12.75">
      <c r="A16" s="140" t="s">
        <v>116</v>
      </c>
      <c r="B16" s="134">
        <v>0.0002943119</v>
      </c>
      <c r="C16" s="118">
        <v>0.0007971373000000001</v>
      </c>
      <c r="D16" s="118">
        <v>-0.0046059249</v>
      </c>
      <c r="E16" s="118">
        <v>-0.0031464663</v>
      </c>
      <c r="F16" s="153">
        <v>0.0025530430700000002</v>
      </c>
      <c r="G16" s="160">
        <v>-0.001290989659932682</v>
      </c>
    </row>
    <row r="17" spans="1:7" ht="12.75">
      <c r="A17" s="140" t="s">
        <v>93</v>
      </c>
      <c r="B17" s="133">
        <v>0.6745877700000001</v>
      </c>
      <c r="C17" s="117">
        <v>0.25530698</v>
      </c>
      <c r="D17" s="117">
        <v>0.65950487</v>
      </c>
      <c r="E17" s="117">
        <v>0.3641585</v>
      </c>
      <c r="F17" s="154">
        <v>7.894147800000001</v>
      </c>
      <c r="G17" s="160">
        <v>1.4601202995714198</v>
      </c>
    </row>
    <row r="18" spans="1:7" ht="12.75">
      <c r="A18" s="140" t="s">
        <v>95</v>
      </c>
      <c r="B18" s="134">
        <v>0.28110567599999997</v>
      </c>
      <c r="C18" s="118">
        <v>-1.6265356</v>
      </c>
      <c r="D18" s="118">
        <v>-2.3454265</v>
      </c>
      <c r="E18" s="118">
        <v>-2.5582374000000003</v>
      </c>
      <c r="F18" s="156">
        <v>-4.1448227</v>
      </c>
      <c r="G18" s="161">
        <v>-2.085295752690038</v>
      </c>
    </row>
    <row r="19" spans="1:7" ht="12.75">
      <c r="A19" s="140" t="s">
        <v>97</v>
      </c>
      <c r="B19" s="134">
        <v>-0.61510133</v>
      </c>
      <c r="C19" s="118">
        <v>0.215016643</v>
      </c>
      <c r="D19" s="118">
        <v>0.25530171399999996</v>
      </c>
      <c r="E19" s="118">
        <v>0.14808697</v>
      </c>
      <c r="F19" s="153">
        <v>-1.2757267799999998</v>
      </c>
      <c r="G19" s="160">
        <v>-0.1103827590482998</v>
      </c>
    </row>
    <row r="20" spans="1:7" ht="12.75">
      <c r="A20" s="140" t="s">
        <v>99</v>
      </c>
      <c r="B20" s="133">
        <v>-0.035149906189999996</v>
      </c>
      <c r="C20" s="117">
        <v>0.043890643</v>
      </c>
      <c r="D20" s="117">
        <v>-0.105355079</v>
      </c>
      <c r="E20" s="117">
        <v>-0.072114643</v>
      </c>
      <c r="F20" s="155">
        <v>1.07660531</v>
      </c>
      <c r="G20" s="160">
        <v>0.1066354659974471</v>
      </c>
    </row>
    <row r="21" spans="1:7" ht="12.75">
      <c r="A21" s="140" t="s">
        <v>101</v>
      </c>
      <c r="B21" s="134">
        <v>-0.12870143</v>
      </c>
      <c r="C21" s="118">
        <v>-0.034734409</v>
      </c>
      <c r="D21" s="118">
        <v>-0.008416543799999999</v>
      </c>
      <c r="E21" s="118">
        <v>0.028268209300000003</v>
      </c>
      <c r="F21" s="156">
        <v>0.60452462</v>
      </c>
      <c r="G21" s="160">
        <v>0.05864678615235391</v>
      </c>
    </row>
    <row r="22" spans="1:7" ht="12.75">
      <c r="A22" s="140" t="s">
        <v>103</v>
      </c>
      <c r="B22" s="134">
        <v>0.071513581</v>
      </c>
      <c r="C22" s="118">
        <v>-0.10759706</v>
      </c>
      <c r="D22" s="118">
        <v>-0.22779227500000002</v>
      </c>
      <c r="E22" s="118">
        <v>-0.2551992261</v>
      </c>
      <c r="F22" s="156">
        <v>-0.48762983000000004</v>
      </c>
      <c r="G22" s="160">
        <v>-0.19702361582584196</v>
      </c>
    </row>
    <row r="23" spans="1:7" ht="12.75">
      <c r="A23" s="140" t="s">
        <v>105</v>
      </c>
      <c r="B23" s="134">
        <v>0.006642363</v>
      </c>
      <c r="C23" s="118">
        <v>0.002195983</v>
      </c>
      <c r="D23" s="118">
        <v>-0.09631530699999999</v>
      </c>
      <c r="E23" s="118">
        <v>-0.056061004000000005</v>
      </c>
      <c r="F23" s="153">
        <v>-0.07821365200000001</v>
      </c>
      <c r="G23" s="160">
        <v>-0.04564921776145698</v>
      </c>
    </row>
    <row r="24" spans="1:7" ht="12.75">
      <c r="A24" s="140" t="s">
        <v>107</v>
      </c>
      <c r="B24" s="133">
        <v>0.08704722499999999</v>
      </c>
      <c r="C24" s="117">
        <v>0.11389429300000001</v>
      </c>
      <c r="D24" s="117">
        <v>0.07207996600000001</v>
      </c>
      <c r="E24" s="117">
        <v>0.054809701</v>
      </c>
      <c r="F24" s="155">
        <v>0.17900369</v>
      </c>
      <c r="G24" s="160">
        <v>0.09442736557424444</v>
      </c>
    </row>
    <row r="25" spans="1:7" ht="12.75">
      <c r="A25" s="140" t="s">
        <v>109</v>
      </c>
      <c r="B25" s="134">
        <v>-0.004751132900000001</v>
      </c>
      <c r="C25" s="118">
        <v>-0.0166132426</v>
      </c>
      <c r="D25" s="118">
        <v>-0.032438167</v>
      </c>
      <c r="E25" s="118">
        <v>-0.036360806</v>
      </c>
      <c r="F25" s="153">
        <v>0.0158880712</v>
      </c>
      <c r="G25" s="160">
        <v>-0.01912368321193432</v>
      </c>
    </row>
    <row r="26" spans="1:7" ht="12.75">
      <c r="A26" s="140" t="s">
        <v>111</v>
      </c>
      <c r="B26" s="134">
        <v>0.023017783999999996</v>
      </c>
      <c r="C26" s="118">
        <v>-0.011773334000000002</v>
      </c>
      <c r="D26" s="118">
        <v>-0.020740142</v>
      </c>
      <c r="E26" s="118">
        <v>-0.023777445</v>
      </c>
      <c r="F26" s="153">
        <v>-0.032146190000000005</v>
      </c>
      <c r="G26" s="160">
        <v>-0.014526182158550338</v>
      </c>
    </row>
    <row r="27" spans="1:7" ht="12.75">
      <c r="A27" s="140" t="s">
        <v>113</v>
      </c>
      <c r="B27" s="134">
        <v>0.043727506000000006</v>
      </c>
      <c r="C27" s="118">
        <v>0.0066867004199999995</v>
      </c>
      <c r="D27" s="118">
        <v>0.021463358999999998</v>
      </c>
      <c r="E27" s="118">
        <v>0.03984511</v>
      </c>
      <c r="F27" s="153">
        <v>0.04179485199999999</v>
      </c>
      <c r="G27" s="160">
        <v>0.028265051275220224</v>
      </c>
    </row>
    <row r="28" spans="1:7" ht="12.75">
      <c r="A28" s="140" t="s">
        <v>115</v>
      </c>
      <c r="B28" s="134">
        <v>0.016559425</v>
      </c>
      <c r="C28" s="118">
        <v>0.02248503</v>
      </c>
      <c r="D28" s="118">
        <v>0.025507820999999996</v>
      </c>
      <c r="E28" s="118">
        <v>0.0269119</v>
      </c>
      <c r="F28" s="153">
        <v>-0.019799647999999996</v>
      </c>
      <c r="G28" s="160">
        <v>0.01777317128284898</v>
      </c>
    </row>
    <row r="29" spans="1:7" ht="13.5" thickBot="1">
      <c r="A29" s="141" t="s">
        <v>117</v>
      </c>
      <c r="B29" s="136">
        <v>-0.00118023824</v>
      </c>
      <c r="C29" s="120">
        <v>-0.0023692986399999998</v>
      </c>
      <c r="D29" s="120">
        <v>-0.0008839320999999999</v>
      </c>
      <c r="E29" s="120">
        <v>-0.0006508334389999998</v>
      </c>
      <c r="F29" s="157">
        <v>0.004035444710000001</v>
      </c>
      <c r="G29" s="162">
        <v>-0.0005704503482339426</v>
      </c>
    </row>
    <row r="30" spans="1:7" ht="13.5" thickTop="1">
      <c r="A30" s="142" t="s">
        <v>118</v>
      </c>
      <c r="B30" s="137">
        <v>0.002546175564602637</v>
      </c>
      <c r="C30" s="126">
        <v>0.24134180717407422</v>
      </c>
      <c r="D30" s="126">
        <v>0.40824044003195836</v>
      </c>
      <c r="E30" s="126">
        <v>0.6143727348253591</v>
      </c>
      <c r="F30" s="122">
        <v>0.8091430263019682</v>
      </c>
      <c r="G30" s="163" t="s">
        <v>129</v>
      </c>
    </row>
    <row r="31" spans="1:7" ht="13.5" thickBot="1">
      <c r="A31" s="143" t="s">
        <v>119</v>
      </c>
      <c r="B31" s="132">
        <v>17.559815</v>
      </c>
      <c r="C31" s="123">
        <v>17.480469</v>
      </c>
      <c r="D31" s="123">
        <v>17.376709</v>
      </c>
      <c r="E31" s="123">
        <v>17.288209</v>
      </c>
      <c r="F31" s="124">
        <v>17.269898</v>
      </c>
      <c r="G31" s="165">
        <v>-209.82</v>
      </c>
    </row>
    <row r="32" spans="1:7" ht="15.75" thickBot="1" thickTop="1">
      <c r="A32" s="144" t="s">
        <v>120</v>
      </c>
      <c r="B32" s="138">
        <v>-0.40450000762939453</v>
      </c>
      <c r="C32" s="127">
        <v>0.3165000081062317</v>
      </c>
      <c r="D32" s="127">
        <v>-0.3190000057220459</v>
      </c>
      <c r="E32" s="127">
        <v>0.43050000071525574</v>
      </c>
      <c r="F32" s="125">
        <v>-0.3489999920129776</v>
      </c>
      <c r="G32" s="130" t="s">
        <v>128</v>
      </c>
    </row>
    <row r="33" spans="1:7" ht="15" thickTop="1">
      <c r="A33" t="s">
        <v>124</v>
      </c>
      <c r="G33" s="32" t="s">
        <v>125</v>
      </c>
    </row>
    <row r="34" ht="14.25">
      <c r="A34" t="s">
        <v>126</v>
      </c>
    </row>
    <row r="35" spans="1:2" ht="12.75">
      <c r="A35" t="s">
        <v>127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6" bestFit="1" customWidth="1"/>
    <col min="2" max="2" width="15.66015625" style="166" bestFit="1" customWidth="1"/>
    <col min="3" max="3" width="14.83203125" style="166" bestFit="1" customWidth="1"/>
    <col min="4" max="4" width="16" style="166" bestFit="1" customWidth="1"/>
    <col min="5" max="5" width="22.16015625" style="166" bestFit="1" customWidth="1"/>
    <col min="6" max="6" width="14.83203125" style="166" bestFit="1" customWidth="1"/>
    <col min="7" max="7" width="15.33203125" style="166" bestFit="1" customWidth="1"/>
    <col min="8" max="8" width="14.16015625" style="166" bestFit="1" customWidth="1"/>
    <col min="9" max="9" width="14.83203125" style="166" bestFit="1" customWidth="1"/>
    <col min="10" max="10" width="6.33203125" style="166" bestFit="1" customWidth="1"/>
    <col min="11" max="11" width="15" style="166" bestFit="1" customWidth="1"/>
    <col min="12" max="16384" width="10.66015625" style="166" customWidth="1"/>
  </cols>
  <sheetData>
    <row r="1" spans="1:5" ht="12.75">
      <c r="A1" s="166" t="s">
        <v>130</v>
      </c>
      <c r="B1" s="166" t="s">
        <v>131</v>
      </c>
      <c r="C1" s="166" t="s">
        <v>132</v>
      </c>
      <c r="D1" s="166" t="s">
        <v>133</v>
      </c>
      <c r="E1" s="166" t="s">
        <v>28</v>
      </c>
    </row>
    <row r="3" spans="1:7" ht="12.75">
      <c r="A3" s="166" t="s">
        <v>134</v>
      </c>
      <c r="B3" s="166" t="s">
        <v>85</v>
      </c>
      <c r="C3" s="166" t="s">
        <v>86</v>
      </c>
      <c r="D3" s="166" t="s">
        <v>87</v>
      </c>
      <c r="E3" s="166" t="s">
        <v>88</v>
      </c>
      <c r="F3" s="166" t="s">
        <v>89</v>
      </c>
      <c r="G3" s="166" t="s">
        <v>135</v>
      </c>
    </row>
    <row r="4" spans="1:7" ht="12.75">
      <c r="A4" s="166" t="s">
        <v>136</v>
      </c>
      <c r="B4" s="166">
        <f>0.00225*1.0033</f>
        <v>0.002257425</v>
      </c>
      <c r="C4" s="166">
        <f>0.003752*1.0033</f>
        <v>0.0037643816000000004</v>
      </c>
      <c r="D4" s="166">
        <f>0.003754*1.0033</f>
        <v>0.0037663882000000004</v>
      </c>
      <c r="E4" s="166">
        <f>0.003757*1.0033</f>
        <v>0.0037693981000000002</v>
      </c>
      <c r="F4" s="166">
        <f>0.002084*1.0033</f>
        <v>0.0020908772</v>
      </c>
      <c r="G4" s="166">
        <f>0.011696*1.0033</f>
        <v>0.0117345968</v>
      </c>
    </row>
    <row r="5" spans="1:7" ht="12.75">
      <c r="A5" s="166" t="s">
        <v>137</v>
      </c>
      <c r="B5" s="166">
        <v>7.404524</v>
      </c>
      <c r="C5" s="166">
        <v>3.290238</v>
      </c>
      <c r="D5" s="166">
        <v>-0.298921</v>
      </c>
      <c r="E5" s="166">
        <v>-3.296776</v>
      </c>
      <c r="F5" s="166">
        <v>-7.406907</v>
      </c>
      <c r="G5" s="166">
        <v>7.12158</v>
      </c>
    </row>
    <row r="6" spans="1:7" ht="12.75">
      <c r="A6" s="166" t="s">
        <v>138</v>
      </c>
      <c r="B6" s="167">
        <v>-54.42445</v>
      </c>
      <c r="C6" s="167">
        <v>-11.32412</v>
      </c>
      <c r="D6" s="167">
        <v>45.20851</v>
      </c>
      <c r="E6" s="167">
        <v>21.80109</v>
      </c>
      <c r="F6" s="167">
        <v>-41.59662</v>
      </c>
      <c r="G6" s="167">
        <v>-0.001387604</v>
      </c>
    </row>
    <row r="7" spans="1:7" ht="12.75">
      <c r="A7" s="166" t="s">
        <v>139</v>
      </c>
      <c r="B7" s="167">
        <v>10000</v>
      </c>
      <c r="C7" s="167">
        <v>10000</v>
      </c>
      <c r="D7" s="167">
        <v>10000</v>
      </c>
      <c r="E7" s="167">
        <v>10000</v>
      </c>
      <c r="F7" s="167">
        <v>10000</v>
      </c>
      <c r="G7" s="167">
        <v>10000</v>
      </c>
    </row>
    <row r="8" spans="1:7" ht="12.75">
      <c r="A8" s="166" t="s">
        <v>92</v>
      </c>
      <c r="B8" s="167">
        <v>1.049824</v>
      </c>
      <c r="C8" s="167">
        <v>0.9682582</v>
      </c>
      <c r="D8" s="167">
        <v>0.4835396</v>
      </c>
      <c r="E8" s="167">
        <v>-0.3066981</v>
      </c>
      <c r="F8" s="167">
        <v>0.2219475</v>
      </c>
      <c r="G8" s="167">
        <v>0.4565581</v>
      </c>
    </row>
    <row r="9" spans="1:7" ht="12.75">
      <c r="A9" s="166" t="s">
        <v>94</v>
      </c>
      <c r="B9" s="167">
        <v>-0.4065582</v>
      </c>
      <c r="C9" s="167">
        <v>0.03876391</v>
      </c>
      <c r="D9" s="167">
        <v>-0.1268067</v>
      </c>
      <c r="E9" s="167">
        <v>-0.04012032</v>
      </c>
      <c r="F9" s="167">
        <v>-2.092979</v>
      </c>
      <c r="G9" s="167">
        <v>-0.3692102</v>
      </c>
    </row>
    <row r="10" spans="1:7" ht="12.75">
      <c r="A10" s="166" t="s">
        <v>96</v>
      </c>
      <c r="B10" s="167">
        <v>-0.4145357</v>
      </c>
      <c r="C10" s="167">
        <v>0.06197476</v>
      </c>
      <c r="D10" s="167">
        <v>0.209015</v>
      </c>
      <c r="E10" s="167">
        <v>0.0697102</v>
      </c>
      <c r="F10" s="167">
        <v>-1.485855</v>
      </c>
      <c r="G10" s="167">
        <v>-0.1763404</v>
      </c>
    </row>
    <row r="11" spans="1:7" ht="12.75">
      <c r="A11" s="166" t="s">
        <v>98</v>
      </c>
      <c r="B11" s="167">
        <v>3.293894</v>
      </c>
      <c r="C11" s="167">
        <v>2.808858</v>
      </c>
      <c r="D11" s="167">
        <v>3.046722</v>
      </c>
      <c r="E11" s="167">
        <v>1.957201</v>
      </c>
      <c r="F11" s="167">
        <v>13.82148</v>
      </c>
      <c r="G11" s="167">
        <v>4.202487</v>
      </c>
    </row>
    <row r="12" spans="1:7" ht="12.75">
      <c r="A12" s="166" t="s">
        <v>100</v>
      </c>
      <c r="B12" s="167">
        <v>-0.03990302</v>
      </c>
      <c r="C12" s="167">
        <v>0.1013052</v>
      </c>
      <c r="D12" s="167">
        <v>0.277397</v>
      </c>
      <c r="E12" s="167">
        <v>0.07995425</v>
      </c>
      <c r="F12" s="167">
        <v>0.004697469</v>
      </c>
      <c r="G12" s="167">
        <v>0.1052672</v>
      </c>
    </row>
    <row r="13" spans="1:7" ht="12.75">
      <c r="A13" s="166" t="s">
        <v>102</v>
      </c>
      <c r="B13" s="167">
        <v>-0.07191659</v>
      </c>
      <c r="C13" s="167">
        <v>-0.003258391</v>
      </c>
      <c r="D13" s="167">
        <v>-0.1807985</v>
      </c>
      <c r="E13" s="167">
        <v>-0.1748715</v>
      </c>
      <c r="F13" s="167">
        <v>-0.2288132</v>
      </c>
      <c r="G13" s="167">
        <v>-0.1273754</v>
      </c>
    </row>
    <row r="14" spans="1:7" ht="12.75">
      <c r="A14" s="166" t="s">
        <v>104</v>
      </c>
      <c r="B14" s="167">
        <v>-0.002909342</v>
      </c>
      <c r="C14" s="167">
        <v>0.108367</v>
      </c>
      <c r="D14" s="167">
        <v>0.0750357</v>
      </c>
      <c r="E14" s="167">
        <v>0.02632396</v>
      </c>
      <c r="F14" s="167">
        <v>0.08003765</v>
      </c>
      <c r="G14" s="167">
        <v>0.06074404</v>
      </c>
    </row>
    <row r="15" spans="1:7" ht="12.75">
      <c r="A15" s="166" t="s">
        <v>106</v>
      </c>
      <c r="B15" s="167">
        <v>-0.2721405</v>
      </c>
      <c r="C15" s="167">
        <v>-0.01180681</v>
      </c>
      <c r="D15" s="167">
        <v>0.1042072</v>
      </c>
      <c r="E15" s="167">
        <v>0.1043752</v>
      </c>
      <c r="F15" s="167">
        <v>-0.3251486</v>
      </c>
      <c r="G15" s="167">
        <v>-0.03532036</v>
      </c>
    </row>
    <row r="16" spans="1:7" ht="12.75">
      <c r="A16" s="166" t="s">
        <v>108</v>
      </c>
      <c r="B16" s="167">
        <v>-0.01332557</v>
      </c>
      <c r="C16" s="167">
        <v>-0.02524668</v>
      </c>
      <c r="D16" s="167">
        <v>0.00318186</v>
      </c>
      <c r="E16" s="167">
        <v>0.0133421</v>
      </c>
      <c r="F16" s="167">
        <v>-0.03176806</v>
      </c>
      <c r="G16" s="167">
        <v>-0.008261893</v>
      </c>
    </row>
    <row r="17" spans="1:7" ht="12.75">
      <c r="A17" s="166" t="s">
        <v>110</v>
      </c>
      <c r="B17" s="167">
        <v>-0.0003519485</v>
      </c>
      <c r="C17" s="167">
        <v>-0.0007336437</v>
      </c>
      <c r="D17" s="167">
        <v>0.008127908</v>
      </c>
      <c r="E17" s="167">
        <v>0.002548782</v>
      </c>
      <c r="F17" s="167">
        <v>-0.003295776</v>
      </c>
      <c r="G17" s="167">
        <v>0.001901862</v>
      </c>
    </row>
    <row r="18" spans="1:7" ht="12.75">
      <c r="A18" s="166" t="s">
        <v>112</v>
      </c>
      <c r="B18" s="167">
        <v>0.04681923</v>
      </c>
      <c r="C18" s="167">
        <v>0.02939782</v>
      </c>
      <c r="D18" s="167">
        <v>0.01811335</v>
      </c>
      <c r="E18" s="167">
        <v>0.02793435</v>
      </c>
      <c r="F18" s="167">
        <v>0.03084248</v>
      </c>
      <c r="G18" s="167">
        <v>0.02903695</v>
      </c>
    </row>
    <row r="19" spans="1:7" ht="12.75">
      <c r="A19" s="166" t="s">
        <v>114</v>
      </c>
      <c r="B19" s="167">
        <v>-0.1948532</v>
      </c>
      <c r="C19" s="167">
        <v>-0.1750331</v>
      </c>
      <c r="D19" s="167">
        <v>-0.1899985</v>
      </c>
      <c r="E19" s="167">
        <v>-0.185141</v>
      </c>
      <c r="F19" s="167">
        <v>-0.1309461</v>
      </c>
      <c r="G19" s="167">
        <v>-0.1780369</v>
      </c>
    </row>
    <row r="20" spans="1:7" ht="12.75">
      <c r="A20" s="166" t="s">
        <v>116</v>
      </c>
      <c r="B20" s="167">
        <v>0.0004290439</v>
      </c>
      <c r="C20" s="167">
        <v>0.0009143832</v>
      </c>
      <c r="D20" s="167">
        <v>-0.004615234</v>
      </c>
      <c r="E20" s="167">
        <v>-0.003180587</v>
      </c>
      <c r="F20" s="167">
        <v>0.002997582</v>
      </c>
      <c r="G20" s="167">
        <v>-0.001194535</v>
      </c>
    </row>
    <row r="21" spans="1:7" ht="12.75">
      <c r="A21" s="166" t="s">
        <v>140</v>
      </c>
      <c r="B21" s="167">
        <v>-62.40976</v>
      </c>
      <c r="C21" s="167">
        <v>74.22015</v>
      </c>
      <c r="D21" s="167">
        <v>46.0502</v>
      </c>
      <c r="E21" s="167">
        <v>-47.21775</v>
      </c>
      <c r="F21" s="167">
        <v>-64.08039</v>
      </c>
      <c r="G21" s="167">
        <v>-0.0001074496</v>
      </c>
    </row>
    <row r="22" spans="1:7" ht="12.75">
      <c r="A22" s="166" t="s">
        <v>141</v>
      </c>
      <c r="B22" s="167">
        <v>148.1013</v>
      </c>
      <c r="C22" s="167">
        <v>65.80571</v>
      </c>
      <c r="D22" s="167">
        <v>-5.97842</v>
      </c>
      <c r="E22" s="167">
        <v>-65.93647</v>
      </c>
      <c r="F22" s="167">
        <v>-148.149</v>
      </c>
      <c r="G22" s="167">
        <v>0</v>
      </c>
    </row>
    <row r="23" spans="1:7" ht="12.75">
      <c r="A23" s="166" t="s">
        <v>93</v>
      </c>
      <c r="B23" s="167">
        <v>0.7123477</v>
      </c>
      <c r="C23" s="167">
        <v>0.2786057</v>
      </c>
      <c r="D23" s="167">
        <v>0.6330639</v>
      </c>
      <c r="E23" s="167">
        <v>0.3589141</v>
      </c>
      <c r="F23" s="167">
        <v>7.994988</v>
      </c>
      <c r="G23" s="167">
        <v>1.476916</v>
      </c>
    </row>
    <row r="24" spans="1:7" ht="12.75">
      <c r="A24" s="166" t="s">
        <v>142</v>
      </c>
      <c r="B24" s="167">
        <v>0.3045079</v>
      </c>
      <c r="C24" s="167">
        <v>-1.621271</v>
      </c>
      <c r="D24" s="167">
        <v>-2.331208</v>
      </c>
      <c r="E24" s="167">
        <v>-2.553627</v>
      </c>
      <c r="F24" s="167">
        <v>-4.005028</v>
      </c>
      <c r="G24" s="167">
        <v>-2.057432</v>
      </c>
    </row>
    <row r="25" spans="1:7" ht="12.75">
      <c r="A25" s="166" t="s">
        <v>97</v>
      </c>
      <c r="B25" s="167">
        <v>-0.7373736</v>
      </c>
      <c r="C25" s="167">
        <v>0.3161367</v>
      </c>
      <c r="D25" s="167">
        <v>0.3215032</v>
      </c>
      <c r="E25" s="167">
        <v>0.0979118</v>
      </c>
      <c r="F25" s="167">
        <v>-1.693481</v>
      </c>
      <c r="G25" s="167">
        <v>-0.155638</v>
      </c>
    </row>
    <row r="26" spans="1:7" ht="12.75">
      <c r="A26" s="166" t="s">
        <v>99</v>
      </c>
      <c r="B26" s="167">
        <v>0.1151138</v>
      </c>
      <c r="C26" s="167">
        <v>0.1020066</v>
      </c>
      <c r="D26" s="167">
        <v>-0.1040209</v>
      </c>
      <c r="E26" s="167">
        <v>-0.1134659</v>
      </c>
      <c r="F26" s="167">
        <v>0.4455382</v>
      </c>
      <c r="G26" s="167">
        <v>0.04821474</v>
      </c>
    </row>
    <row r="27" spans="1:7" ht="12.75">
      <c r="A27" s="166" t="s">
        <v>101</v>
      </c>
      <c r="B27" s="167">
        <v>-0.1440972</v>
      </c>
      <c r="C27" s="167">
        <v>-0.04309919</v>
      </c>
      <c r="D27" s="167">
        <v>-0.03298954</v>
      </c>
      <c r="E27" s="167">
        <v>0.01578645</v>
      </c>
      <c r="F27" s="167">
        <v>0.6137645</v>
      </c>
      <c r="G27" s="167">
        <v>0.04671766</v>
      </c>
    </row>
    <row r="28" spans="1:7" ht="12.75">
      <c r="A28" s="166" t="s">
        <v>103</v>
      </c>
      <c r="B28" s="167">
        <v>0.06507691</v>
      </c>
      <c r="C28" s="167">
        <v>-0.1026455</v>
      </c>
      <c r="D28" s="167">
        <v>-0.2298849</v>
      </c>
      <c r="E28" s="167">
        <v>-0.2544037</v>
      </c>
      <c r="F28" s="167">
        <v>-0.480903</v>
      </c>
      <c r="G28" s="167">
        <v>-0.1961688</v>
      </c>
    </row>
    <row r="29" spans="1:7" ht="12.75">
      <c r="A29" s="166" t="s">
        <v>105</v>
      </c>
      <c r="B29" s="167">
        <v>0.01674193</v>
      </c>
      <c r="C29" s="167">
        <v>0.004208833</v>
      </c>
      <c r="D29" s="167">
        <v>-0.08966603</v>
      </c>
      <c r="E29" s="167">
        <v>-0.06023607</v>
      </c>
      <c r="F29" s="167">
        <v>-0.07133622</v>
      </c>
      <c r="G29" s="167">
        <v>-0.04219682</v>
      </c>
    </row>
    <row r="30" spans="1:7" ht="12.75">
      <c r="A30" s="166" t="s">
        <v>107</v>
      </c>
      <c r="B30" s="167">
        <v>0.06751173</v>
      </c>
      <c r="C30" s="167">
        <v>0.1122796</v>
      </c>
      <c r="D30" s="167">
        <v>0.0705703</v>
      </c>
      <c r="E30" s="167">
        <v>0.04978244</v>
      </c>
      <c r="F30" s="167">
        <v>0.2046367</v>
      </c>
      <c r="G30" s="167">
        <v>0.09307176</v>
      </c>
    </row>
    <row r="31" spans="1:7" ht="12.75">
      <c r="A31" s="166" t="s">
        <v>109</v>
      </c>
      <c r="B31" s="167">
        <v>0.001085701</v>
      </c>
      <c r="C31" s="167">
        <v>-0.01149555</v>
      </c>
      <c r="D31" s="167">
        <v>-0.02735015</v>
      </c>
      <c r="E31" s="167">
        <v>-0.03174897</v>
      </c>
      <c r="F31" s="167">
        <v>0.0278711</v>
      </c>
      <c r="G31" s="167">
        <v>-0.01311431</v>
      </c>
    </row>
    <row r="32" spans="1:7" ht="12.75">
      <c r="A32" s="166" t="s">
        <v>111</v>
      </c>
      <c r="B32" s="167">
        <v>0.01765781</v>
      </c>
      <c r="C32" s="167">
        <v>-0.008451165</v>
      </c>
      <c r="D32" s="167">
        <v>-0.01769471</v>
      </c>
      <c r="E32" s="167">
        <v>-0.02361629</v>
      </c>
      <c r="F32" s="167">
        <v>-0.03504518</v>
      </c>
      <c r="G32" s="167">
        <v>-0.01411603</v>
      </c>
    </row>
    <row r="33" spans="1:7" ht="12.75">
      <c r="A33" s="166" t="s">
        <v>113</v>
      </c>
      <c r="B33" s="167">
        <v>0.05278368</v>
      </c>
      <c r="C33" s="167">
        <v>0.002604486</v>
      </c>
      <c r="D33" s="167">
        <v>0.01833081</v>
      </c>
      <c r="E33" s="167">
        <v>0.04251751</v>
      </c>
      <c r="F33" s="167">
        <v>0.04261024</v>
      </c>
      <c r="G33" s="167">
        <v>0.02858615</v>
      </c>
    </row>
    <row r="34" spans="1:7" ht="12.75">
      <c r="A34" s="166" t="s">
        <v>115</v>
      </c>
      <c r="B34" s="167">
        <v>-0.003608708</v>
      </c>
      <c r="C34" s="167">
        <v>0.01445698</v>
      </c>
      <c r="D34" s="167">
        <v>0.02629148</v>
      </c>
      <c r="E34" s="167">
        <v>0.03551314</v>
      </c>
      <c r="F34" s="167">
        <v>-0.006325087</v>
      </c>
      <c r="G34" s="167">
        <v>0.0170038</v>
      </c>
    </row>
    <row r="35" spans="1:7" ht="12.75">
      <c r="A35" s="166" t="s">
        <v>117</v>
      </c>
      <c r="B35" s="167">
        <v>-0.001140542</v>
      </c>
      <c r="C35" s="167">
        <v>-0.002328063</v>
      </c>
      <c r="D35" s="167">
        <v>-0.0008628315</v>
      </c>
      <c r="E35" s="167">
        <v>-0.0004933223</v>
      </c>
      <c r="F35" s="167">
        <v>0.003731555</v>
      </c>
      <c r="G35" s="167">
        <v>-0.0005523922</v>
      </c>
    </row>
    <row r="36" spans="1:6" ht="12.75">
      <c r="A36" s="166" t="s">
        <v>143</v>
      </c>
      <c r="B36" s="167">
        <v>17.2699</v>
      </c>
      <c r="C36" s="167">
        <v>17.28516</v>
      </c>
      <c r="D36" s="167">
        <v>17.30347</v>
      </c>
      <c r="E36" s="167">
        <v>17.33093</v>
      </c>
      <c r="F36" s="167">
        <v>17.36145</v>
      </c>
    </row>
    <row r="37" spans="1:6" ht="12.75">
      <c r="A37" s="166" t="s">
        <v>144</v>
      </c>
      <c r="B37" s="167">
        <v>-0.3641764</v>
      </c>
      <c r="C37" s="167">
        <v>-0.3494263</v>
      </c>
      <c r="D37" s="167">
        <v>-0.3392538</v>
      </c>
      <c r="E37" s="167">
        <v>-0.3295899</v>
      </c>
      <c r="F37" s="167">
        <v>-0.3265381</v>
      </c>
    </row>
    <row r="38" spans="1:7" ht="12.75">
      <c r="A38" s="166" t="s">
        <v>145</v>
      </c>
      <c r="B38" s="167">
        <v>9.407224E-05</v>
      </c>
      <c r="C38" s="167">
        <v>1.84199E-05</v>
      </c>
      <c r="D38" s="167">
        <v>-7.680764E-05</v>
      </c>
      <c r="E38" s="167">
        <v>-3.758949E-05</v>
      </c>
      <c r="F38" s="167">
        <v>6.90852E-05</v>
      </c>
      <c r="G38" s="167">
        <v>0.0002703367</v>
      </c>
    </row>
    <row r="39" spans="1:7" ht="12.75">
      <c r="A39" s="166" t="s">
        <v>146</v>
      </c>
      <c r="B39" s="167">
        <v>0.0001047034</v>
      </c>
      <c r="C39" s="167">
        <v>-0.0001262955</v>
      </c>
      <c r="D39" s="167">
        <v>-7.833126E-05</v>
      </c>
      <c r="E39" s="167">
        <v>8.002233E-05</v>
      </c>
      <c r="F39" s="167">
        <v>0.0001099602</v>
      </c>
      <c r="G39" s="167">
        <v>0.0003654639</v>
      </c>
    </row>
    <row r="40" spans="2:5" ht="12.75">
      <c r="B40" s="166" t="s">
        <v>147</v>
      </c>
      <c r="C40" s="166">
        <v>0.003754</v>
      </c>
      <c r="D40" s="166" t="s">
        <v>148</v>
      </c>
      <c r="E40" s="166">
        <v>3.1155</v>
      </c>
    </row>
    <row r="42" ht="12.75">
      <c r="A42" s="166" t="s">
        <v>149</v>
      </c>
    </row>
    <row r="50" spans="1:7" ht="12.75">
      <c r="A50" s="166" t="s">
        <v>150</v>
      </c>
      <c r="B50" s="166">
        <f>-0.017/(B7*B7+B22*B22)*(B21*B22+B6*B7)</f>
        <v>9.407223552058345E-05</v>
      </c>
      <c r="C50" s="166">
        <f>-0.017/(C7*C7+C22*C22)*(C21*C22+C6*C7)</f>
        <v>1.8419907702488725E-05</v>
      </c>
      <c r="D50" s="166">
        <f>-0.017/(D7*D7+D22*D22)*(D21*D22+D6*D7)</f>
        <v>-7.680763728355767E-05</v>
      </c>
      <c r="E50" s="166">
        <f>-0.017/(E7*E7+E22*E22)*(E21*E22+E6*E7)</f>
        <v>-3.758949195103146E-05</v>
      </c>
      <c r="F50" s="166">
        <f>-0.017/(F7*F7+F22*F22)*(F21*F22+F6*F7)</f>
        <v>6.908520532327074E-05</v>
      </c>
      <c r="G50" s="166">
        <f>(B50*B$4+C50*C$4+D50*D$4+E50*E$4+F50*F$4)/SUM(B$4:F$4)</f>
        <v>-3.0852087630659974E-07</v>
      </c>
    </row>
    <row r="51" spans="1:7" ht="12.75">
      <c r="A51" s="166" t="s">
        <v>151</v>
      </c>
      <c r="B51" s="166">
        <f>-0.017/(B7*B7+B22*B22)*(B21*B7-B6*B22)</f>
        <v>0.00010470336996254955</v>
      </c>
      <c r="C51" s="166">
        <f>-0.017/(C7*C7+C22*C22)*(C21*C7-C6*C22)</f>
        <v>-0.00012629546851044968</v>
      </c>
      <c r="D51" s="166">
        <f>-0.017/(D7*D7+D22*D22)*(D21*D7-D6*D22)</f>
        <v>-7.833125883148888E-05</v>
      </c>
      <c r="E51" s="166">
        <f>-0.017/(E7*E7+E22*E22)*(E21*E7-E6*E22)</f>
        <v>8.002232315916557E-05</v>
      </c>
      <c r="F51" s="166">
        <f>-0.017/(F7*F7+F22*F22)*(F21*F7-F6*F22)</f>
        <v>0.0001099601534083437</v>
      </c>
      <c r="G51" s="166">
        <f>(B51*B$4+C51*C$4+D51*D$4+E51*E$4+F51*F$4)/SUM(B$4:F$4)</f>
        <v>-1.6238592530016852E-07</v>
      </c>
    </row>
    <row r="58" ht="12.75">
      <c r="A58" s="166" t="s">
        <v>153</v>
      </c>
    </row>
    <row r="60" spans="2:6" ht="12.75">
      <c r="B60" s="166" t="s">
        <v>85</v>
      </c>
      <c r="C60" s="166" t="s">
        <v>86</v>
      </c>
      <c r="D60" s="166" t="s">
        <v>87</v>
      </c>
      <c r="E60" s="166" t="s">
        <v>88</v>
      </c>
      <c r="F60" s="166" t="s">
        <v>89</v>
      </c>
    </row>
    <row r="61" spans="1:6" ht="12.75">
      <c r="A61" s="166" t="s">
        <v>155</v>
      </c>
      <c r="B61" s="166">
        <f>B6+(1/0.017)*(B7*B50-B22*B51)</f>
        <v>0</v>
      </c>
      <c r="C61" s="166">
        <f>C6+(1/0.017)*(C7*C50-C22*C51)</f>
        <v>0</v>
      </c>
      <c r="D61" s="166">
        <f>D6+(1/0.017)*(D7*D50-D22*D51)</f>
        <v>0</v>
      </c>
      <c r="E61" s="166">
        <f>E6+(1/0.017)*(E7*E50-E22*E51)</f>
        <v>0</v>
      </c>
      <c r="F61" s="166">
        <f>F6+(1/0.017)*(F7*F50-F22*F51)</f>
        <v>0</v>
      </c>
    </row>
    <row r="62" spans="1:6" ht="12.75">
      <c r="A62" s="166" t="s">
        <v>158</v>
      </c>
      <c r="B62" s="166">
        <f>B7+(2/0.017)*(B8*B50-B23*B51)</f>
        <v>10000.002844010096</v>
      </c>
      <c r="C62" s="166">
        <f>C7+(2/0.017)*(C8*C50-C23*C51)</f>
        <v>10000.006237866362</v>
      </c>
      <c r="D62" s="166">
        <f>D7+(2/0.017)*(D8*D50-D23*D51)</f>
        <v>10000.001464606823</v>
      </c>
      <c r="E62" s="166">
        <f>E7+(2/0.017)*(E8*E50-E23*E51)</f>
        <v>9999.997977351255</v>
      </c>
      <c r="F62" s="166">
        <f>F7+(2/0.017)*(F8*F50-F23*F51)</f>
        <v>9999.898376844898</v>
      </c>
    </row>
    <row r="63" spans="1:6" ht="12.75">
      <c r="A63" s="166" t="s">
        <v>159</v>
      </c>
      <c r="B63" s="166">
        <f>B8+(3/0.017)*(B9*B50-B24*B51)</f>
        <v>1.0374483219905688</v>
      </c>
      <c r="C63" s="166">
        <f>C8+(3/0.017)*(C9*C50-C24*C51)</f>
        <v>0.9322502318441733</v>
      </c>
      <c r="D63" s="166">
        <f>D8+(3/0.017)*(D9*D50-D24*D51)</f>
        <v>0.45303370572600365</v>
      </c>
      <c r="E63" s="166">
        <f>E8+(3/0.017)*(E9*E50-E24*E51)</f>
        <v>-0.2703706998586441</v>
      </c>
      <c r="F63" s="166">
        <f>F8+(3/0.017)*(F9*F50-F24*F51)</f>
        <v>0.274147431058662</v>
      </c>
    </row>
    <row r="64" spans="1:6" ht="12.75">
      <c r="A64" s="166" t="s">
        <v>160</v>
      </c>
      <c r="B64" s="166">
        <f>B9+(4/0.017)*(B10*B50-B25*B51)</f>
        <v>-0.3975677998025113</v>
      </c>
      <c r="C64" s="166">
        <f>C9+(4/0.017)*(C10*C50-C25*C51)</f>
        <v>0.04842701635268973</v>
      </c>
      <c r="D64" s="166">
        <f>D9+(4/0.017)*(D10*D50-D25*D51)</f>
        <v>-0.12465851127822844</v>
      </c>
      <c r="E64" s="166">
        <f>E9+(4/0.017)*(E10*E50-E25*E51)</f>
        <v>-0.04258043781235303</v>
      </c>
      <c r="F64" s="166">
        <f>F9+(4/0.017)*(F10*F50-F25*F51)</f>
        <v>-2.0733166864003514</v>
      </c>
    </row>
    <row r="65" spans="1:6" ht="12.75">
      <c r="A65" s="166" t="s">
        <v>161</v>
      </c>
      <c r="B65" s="166">
        <f>B10+(5/0.017)*(B11*B50-B26*B51)</f>
        <v>-0.3269441796003995</v>
      </c>
      <c r="C65" s="166">
        <f>C10+(5/0.017)*(C11*C50-C26*C51)</f>
        <v>0.08098119424928091</v>
      </c>
      <c r="D65" s="166">
        <f>D10+(5/0.017)*(D11*D50-D26*D51)</f>
        <v>0.13779158637599417</v>
      </c>
      <c r="E65" s="166">
        <f>E10+(5/0.017)*(E11*E50-E26*E51)</f>
        <v>0.050742439318027896</v>
      </c>
      <c r="F65" s="166">
        <f>F10+(5/0.017)*(F11*F50-F26*F51)</f>
        <v>-1.2194231368087638</v>
      </c>
    </row>
    <row r="66" spans="1:6" ht="12.75">
      <c r="A66" s="166" t="s">
        <v>162</v>
      </c>
      <c r="B66" s="166">
        <f>B11+(6/0.017)*(B12*B50-B27*B51)</f>
        <v>3.297894128051792</v>
      </c>
      <c r="C66" s="166">
        <f>C11+(6/0.017)*(C12*C50-C27*C51)</f>
        <v>2.8075954588377567</v>
      </c>
      <c r="D66" s="166">
        <f>D11+(6/0.017)*(D12*D50-D27*D51)</f>
        <v>3.0382901222272873</v>
      </c>
      <c r="E66" s="166">
        <f>E11+(6/0.017)*(E12*E50-E27*E51)</f>
        <v>1.9556943971622605</v>
      </c>
      <c r="F66" s="166">
        <f>F11+(6/0.017)*(F12*F50-F27*F51)</f>
        <v>13.797774666011918</v>
      </c>
    </row>
    <row r="67" spans="1:6" ht="12.75">
      <c r="A67" s="166" t="s">
        <v>163</v>
      </c>
      <c r="B67" s="166">
        <f>B12+(7/0.017)*(B13*B50-B28*B51)</f>
        <v>-0.045494424896027494</v>
      </c>
      <c r="C67" s="166">
        <f>C12+(7/0.017)*(C13*C50-C28*C51)</f>
        <v>0.09594250791639554</v>
      </c>
      <c r="D67" s="166">
        <f>D12+(7/0.017)*(D13*D50-D28*D51)</f>
        <v>0.2757003367083778</v>
      </c>
      <c r="E67" s="166">
        <f>E12+(7/0.017)*(E13*E50-E28*E51)</f>
        <v>0.09104361126776563</v>
      </c>
      <c r="F67" s="166">
        <f>F12+(7/0.017)*(F13*F50-F28*F51)</f>
        <v>0.01996264107429451</v>
      </c>
    </row>
    <row r="68" spans="1:6" ht="12.75">
      <c r="A68" s="166" t="s">
        <v>164</v>
      </c>
      <c r="B68" s="166">
        <f>B13+(8/0.017)*(B14*B50-B29*B51)</f>
        <v>-0.07287029578659343</v>
      </c>
      <c r="C68" s="166">
        <f>C13+(8/0.017)*(C14*C50-C29*C51)</f>
        <v>-0.002068900800652782</v>
      </c>
      <c r="D68" s="166">
        <f>D13+(8/0.017)*(D14*D50-D29*D51)</f>
        <v>-0.186815896627407</v>
      </c>
      <c r="E68" s="166">
        <f>E13+(8/0.017)*(E14*E50-E29*E51)</f>
        <v>-0.1730688054226641</v>
      </c>
      <c r="F68" s="166">
        <f>F13+(8/0.017)*(F14*F50-F29*F51)</f>
        <v>-0.22251976038653484</v>
      </c>
    </row>
    <row r="69" spans="1:6" ht="12.75">
      <c r="A69" s="166" t="s">
        <v>165</v>
      </c>
      <c r="B69" s="166">
        <f>B14+(9/0.017)*(B15*B50-B30*B51)</f>
        <v>-0.020204997157836458</v>
      </c>
      <c r="C69" s="166">
        <f>C14+(9/0.017)*(C15*C50-C30*C51)</f>
        <v>0.11575913641302032</v>
      </c>
      <c r="D69" s="166">
        <f>D14+(9/0.017)*(D15*D50-D30*D51)</f>
        <v>0.07372485085509564</v>
      </c>
      <c r="E69" s="166">
        <f>E14+(9/0.017)*(E15*E50-E30*E51)</f>
        <v>0.02213783910737814</v>
      </c>
      <c r="F69" s="166">
        <f>F14+(9/0.017)*(F15*F50-F30*F51)</f>
        <v>0.0562327343265317</v>
      </c>
    </row>
    <row r="70" spans="1:6" ht="12.75">
      <c r="A70" s="166" t="s">
        <v>166</v>
      </c>
      <c r="B70" s="166">
        <f>B15+(10/0.017)*(B16*B50-B31*B51)</f>
        <v>-0.2729447604193869</v>
      </c>
      <c r="C70" s="166">
        <f>C15+(10/0.017)*(C16*C50-C31*C51)</f>
        <v>-0.012934384934370333</v>
      </c>
      <c r="D70" s="166">
        <f>D15+(10/0.017)*(D16*D50-D31*D51)</f>
        <v>0.10280322186617817</v>
      </c>
      <c r="E70" s="166">
        <f>E15+(10/0.017)*(E16*E50-E31*E51)</f>
        <v>0.10557467269220636</v>
      </c>
      <c r="F70" s="166">
        <f>F15+(10/0.017)*(F16*F50-F31*F51)</f>
        <v>-0.32824237257616545</v>
      </c>
    </row>
    <row r="71" spans="1:6" ht="12.75">
      <c r="A71" s="166" t="s">
        <v>167</v>
      </c>
      <c r="B71" s="166">
        <f>B16+(11/0.017)*(B17*B50-B32*B51)</f>
        <v>-0.014543296396985692</v>
      </c>
      <c r="C71" s="166">
        <f>C16+(11/0.017)*(C17*C50-C32*C51)</f>
        <v>-0.025946058377418875</v>
      </c>
      <c r="D71" s="166">
        <f>D16+(11/0.017)*(D17*D50-D32*D51)</f>
        <v>0.0018810554409730074</v>
      </c>
      <c r="E71" s="166">
        <f>E16+(11/0.017)*(E17*E50-E32*E51)</f>
        <v>0.014502938392176059</v>
      </c>
      <c r="F71" s="166">
        <f>F16+(11/0.017)*(F17*F50-F32*F51)</f>
        <v>-0.029421899759941257</v>
      </c>
    </row>
    <row r="72" spans="1:6" ht="12.75">
      <c r="A72" s="166" t="s">
        <v>168</v>
      </c>
      <c r="B72" s="166">
        <f>B17+(12/0.017)*(B18*B50-B33*B51)</f>
        <v>-0.0011441175895805598</v>
      </c>
      <c r="C72" s="166">
        <f>C17+(12/0.017)*(C18*C50-C33*C51)</f>
        <v>-0.00011921552777415228</v>
      </c>
      <c r="D72" s="166">
        <f>D17+(12/0.017)*(D18*D50-D33*D51)</f>
        <v>0.00815941280417227</v>
      </c>
      <c r="E72" s="166">
        <f>E17+(12/0.017)*(E18*E50-E33*E51)</f>
        <v>-0.0005940800820884821</v>
      </c>
      <c r="F72" s="166">
        <f>F17+(12/0.017)*(F18*F50-F33*F51)</f>
        <v>-0.0050990720920146854</v>
      </c>
    </row>
    <row r="73" spans="1:6" ht="12.75">
      <c r="A73" s="166" t="s">
        <v>169</v>
      </c>
      <c r="B73" s="166">
        <f>B18+(13/0.017)*(B19*B50-B34*B51)</f>
        <v>0.03309089946847818</v>
      </c>
      <c r="C73" s="166">
        <f>C18+(13/0.017)*(C19*C50-C34*C51)</f>
        <v>0.028328575747120846</v>
      </c>
      <c r="D73" s="166">
        <f>D18+(13/0.017)*(D19*D50-D34*D51)</f>
        <v>0.03084782928033637</v>
      </c>
      <c r="E73" s="166">
        <f>E18+(13/0.017)*(E19*E50-E34*E51)</f>
        <v>0.031083035772339996</v>
      </c>
      <c r="F73" s="166">
        <f>F18+(13/0.017)*(F19*F50-F34*F51)</f>
        <v>0.024456474195104383</v>
      </c>
    </row>
    <row r="74" spans="1:6" ht="12.75">
      <c r="A74" s="166" t="s">
        <v>170</v>
      </c>
      <c r="B74" s="166">
        <f>B19+(14/0.017)*(B20*B50-B35*B51)</f>
        <v>-0.194721616709582</v>
      </c>
      <c r="C74" s="166">
        <f>C19+(14/0.017)*(C20*C50-C35*C51)</f>
        <v>-0.1752613666673067</v>
      </c>
      <c r="D74" s="166">
        <f>D19+(14/0.017)*(D20*D50-D35*D51)</f>
        <v>-0.1897622306128854</v>
      </c>
      <c r="E74" s="166">
        <f>E19+(14/0.017)*(E20*E50-E35*E51)</f>
        <v>-0.1850100312798073</v>
      </c>
      <c r="F74" s="166">
        <f>F19+(14/0.017)*(F20*F50-F35*F51)</f>
        <v>-0.1311134690054304</v>
      </c>
    </row>
    <row r="75" spans="1:6" ht="12.75">
      <c r="A75" s="166" t="s">
        <v>171</v>
      </c>
      <c r="B75" s="167">
        <f>B20</f>
        <v>0.0004290439</v>
      </c>
      <c r="C75" s="167">
        <f>C20</f>
        <v>0.0009143832</v>
      </c>
      <c r="D75" s="167">
        <f>D20</f>
        <v>-0.004615234</v>
      </c>
      <c r="E75" s="167">
        <f>E20</f>
        <v>-0.003180587</v>
      </c>
      <c r="F75" s="167">
        <f>F20</f>
        <v>0.002997582</v>
      </c>
    </row>
    <row r="78" ht="12.75">
      <c r="A78" s="166" t="s">
        <v>153</v>
      </c>
    </row>
    <row r="80" spans="2:6" ht="12.75">
      <c r="B80" s="166" t="s">
        <v>85</v>
      </c>
      <c r="C80" s="166" t="s">
        <v>86</v>
      </c>
      <c r="D80" s="166" t="s">
        <v>87</v>
      </c>
      <c r="E80" s="166" t="s">
        <v>88</v>
      </c>
      <c r="F80" s="166" t="s">
        <v>89</v>
      </c>
    </row>
    <row r="81" spans="1:6" ht="12.75">
      <c r="A81" s="166" t="s">
        <v>172</v>
      </c>
      <c r="B81" s="166">
        <f>B21+(1/0.017)*(B7*B51+B22*B50)</f>
        <v>0</v>
      </c>
      <c r="C81" s="166">
        <f>C21+(1/0.017)*(C7*C51+C22*C50)</f>
        <v>0</v>
      </c>
      <c r="D81" s="166">
        <f>D21+(1/0.017)*(D7*D51+D22*D50)</f>
        <v>0</v>
      </c>
      <c r="E81" s="166">
        <f>E21+(1/0.017)*(E7*E51+E22*E50)</f>
        <v>0</v>
      </c>
      <c r="F81" s="166">
        <f>F21+(1/0.017)*(F7*F51+F22*F50)</f>
        <v>0</v>
      </c>
    </row>
    <row r="82" spans="1:6" ht="12.75">
      <c r="A82" s="166" t="s">
        <v>173</v>
      </c>
      <c r="B82" s="166">
        <f>B22+(2/0.017)*(B8*B51+B23*B50)</f>
        <v>148.1221155589735</v>
      </c>
      <c r="C82" s="166">
        <f>C22+(2/0.017)*(C8*C51+C23*C50)</f>
        <v>65.79192709038486</v>
      </c>
      <c r="D82" s="166">
        <f>D22+(2/0.017)*(D8*D51+D23*D50)</f>
        <v>-5.9885965185848695</v>
      </c>
      <c r="E82" s="166">
        <f>E22+(2/0.017)*(E8*E51+E23*E50)</f>
        <v>-65.94094459919336</v>
      </c>
      <c r="F82" s="166">
        <f>F22+(2/0.017)*(F8*F51+F23*F50)</f>
        <v>-148.08114814486052</v>
      </c>
    </row>
    <row r="83" spans="1:6" ht="12.75">
      <c r="A83" s="166" t="s">
        <v>174</v>
      </c>
      <c r="B83" s="166">
        <f>B23+(3/0.017)*(B9*B51+B24*B50)</f>
        <v>0.7098908279871947</v>
      </c>
      <c r="C83" s="166">
        <f>C23+(3/0.017)*(C9*C51+C24*C50)</f>
        <v>0.2724716938196232</v>
      </c>
      <c r="D83" s="166">
        <f>D23+(3/0.017)*(D9*D51+D24*D50)</f>
        <v>0.6664146365180814</v>
      </c>
      <c r="E83" s="166">
        <f>E23+(3/0.017)*(E9*E51+E24*E50)</f>
        <v>0.37528686829708485</v>
      </c>
      <c r="F83" s="166">
        <f>F23+(3/0.017)*(F9*F51+F24*F50)</f>
        <v>7.9055469752424905</v>
      </c>
    </row>
    <row r="84" spans="1:6" ht="12.75">
      <c r="A84" s="166" t="s">
        <v>175</v>
      </c>
      <c r="B84" s="166">
        <f>B24+(4/0.017)*(B10*B51+B25*B50)</f>
        <v>0.2779738605351424</v>
      </c>
      <c r="C84" s="166">
        <f>C24+(4/0.017)*(C10*C51+C25*C50)</f>
        <v>-1.6217425111799184</v>
      </c>
      <c r="D84" s="166">
        <f>D24+(4/0.017)*(D10*D51+D25*D50)</f>
        <v>-2.340870660996651</v>
      </c>
      <c r="E84" s="166">
        <f>E24+(4/0.017)*(E10*E51+E25*E50)</f>
        <v>-2.553180431215558</v>
      </c>
      <c r="F84" s="166">
        <f>F24+(4/0.017)*(F10*F51+F25*F50)</f>
        <v>-4.07099960619732</v>
      </c>
    </row>
    <row r="85" spans="1:6" ht="12.75">
      <c r="A85" s="166" t="s">
        <v>176</v>
      </c>
      <c r="B85" s="166">
        <f>B25+(5/0.017)*(B11*B51+B26*B50)</f>
        <v>-0.6327527721750907</v>
      </c>
      <c r="C85" s="166">
        <f>C25+(5/0.017)*(C11*C51+C26*C50)</f>
        <v>0.21235226325521178</v>
      </c>
      <c r="D85" s="166">
        <f>D25+(5/0.017)*(D11*D51+D26*D50)</f>
        <v>0.2536608558786817</v>
      </c>
      <c r="E85" s="166">
        <f>E25+(5/0.017)*(E11*E51+E26*E50)</f>
        <v>0.1452308871894731</v>
      </c>
      <c r="F85" s="166">
        <f>F25+(5/0.017)*(F11*F51+F26*F50)</f>
        <v>-1.2374244826009662</v>
      </c>
    </row>
    <row r="86" spans="1:6" ht="12.75">
      <c r="A86" s="166" t="s">
        <v>177</v>
      </c>
      <c r="B86" s="166">
        <f>B26+(6/0.017)*(B12*B51+B27*B50)</f>
        <v>0.10885490832872718</v>
      </c>
      <c r="C86" s="166">
        <f>C26+(6/0.017)*(C12*C51+C27*C50)</f>
        <v>0.09721073971821288</v>
      </c>
      <c r="D86" s="166">
        <f>D26+(6/0.017)*(D12*D51+D27*D50)</f>
        <v>-0.11079560855892015</v>
      </c>
      <c r="E86" s="166">
        <f>E26+(6/0.017)*(E12*E51+E27*E50)</f>
        <v>-0.11141717522485704</v>
      </c>
      <c r="F86" s="166">
        <f>F26+(6/0.017)*(F12*F51+F27*F50)</f>
        <v>0.4606859344404137</v>
      </c>
    </row>
    <row r="87" spans="1:6" ht="12.75">
      <c r="A87" s="166" t="s">
        <v>178</v>
      </c>
      <c r="B87" s="166">
        <f>B27+(7/0.017)*(B13*B51+B28*B50)</f>
        <v>-0.14467695602783542</v>
      </c>
      <c r="C87" s="166">
        <f>C27+(7/0.017)*(C13*C51+C28*C50)</f>
        <v>-0.04370827260746965</v>
      </c>
      <c r="D87" s="166">
        <f>D27+(7/0.017)*(D13*D51+D28*D50)</f>
        <v>-0.019887561716936286</v>
      </c>
      <c r="E87" s="166">
        <f>E27+(7/0.017)*(E13*E51+E28*E50)</f>
        <v>0.013962036767290718</v>
      </c>
      <c r="F87" s="166">
        <f>F27+(7/0.017)*(F13*F51+F28*F50)</f>
        <v>0.5897241870890579</v>
      </c>
    </row>
    <row r="88" spans="1:6" ht="12.75">
      <c r="A88" s="166" t="s">
        <v>179</v>
      </c>
      <c r="B88" s="166">
        <f>B28+(8/0.017)*(B14*B51+B29*B50)</f>
        <v>0.06567471370364966</v>
      </c>
      <c r="C88" s="166">
        <f>C28+(8/0.017)*(C14*C51+C29*C50)</f>
        <v>-0.10904961045678904</v>
      </c>
      <c r="D88" s="166">
        <f>D28+(8/0.017)*(D14*D51+D29*D50)</f>
        <v>-0.2294098905550143</v>
      </c>
      <c r="E88" s="166">
        <f>E28+(8/0.017)*(E14*E51+E29*E50)</f>
        <v>-0.2523468775518232</v>
      </c>
      <c r="F88" s="166">
        <f>F28+(8/0.017)*(F14*F51+F29*F50)</f>
        <v>-0.47908056476858485</v>
      </c>
    </row>
    <row r="89" spans="1:6" ht="12.75">
      <c r="A89" s="166" t="s">
        <v>180</v>
      </c>
      <c r="B89" s="166">
        <f>B29+(9/0.017)*(B15*B51+B30*B50)</f>
        <v>0.005019139835589378</v>
      </c>
      <c r="C89" s="166">
        <f>C29+(9/0.017)*(C15*C51+C30*C50)</f>
        <v>0.006093182307348585</v>
      </c>
      <c r="D89" s="166">
        <f>D29+(9/0.017)*(D15*D51+D30*D50)</f>
        <v>-0.09685704014389818</v>
      </c>
      <c r="E89" s="166">
        <f>E29+(9/0.017)*(E15*E51+E30*E50)</f>
        <v>-0.056804926223018914</v>
      </c>
      <c r="F89" s="166">
        <f>F29+(9/0.017)*(F15*F51+F30*F50)</f>
        <v>-0.08277999608841087</v>
      </c>
    </row>
    <row r="90" spans="1:6" ht="12.75">
      <c r="A90" s="166" t="s">
        <v>181</v>
      </c>
      <c r="B90" s="166">
        <f>B30+(10/0.017)*(B16*B51+B31*B50)</f>
        <v>0.06675108425559123</v>
      </c>
      <c r="C90" s="166">
        <f>C30+(10/0.017)*(C16*C51+C31*C50)</f>
        <v>0.11403065547584944</v>
      </c>
      <c r="D90" s="166">
        <f>D30+(10/0.017)*(D16*D51+D31*D50)</f>
        <v>0.07165939488330902</v>
      </c>
      <c r="E90" s="166">
        <f>E30+(10/0.017)*(E16*E51+E31*E50)</f>
        <v>0.051112494994170844</v>
      </c>
      <c r="F90" s="166">
        <f>F30+(10/0.017)*(F16*F51+F31*F50)</f>
        <v>0.20371449994999996</v>
      </c>
    </row>
    <row r="91" spans="1:6" ht="12.75">
      <c r="A91" s="166" t="s">
        <v>182</v>
      </c>
      <c r="B91" s="166">
        <f>B31+(11/0.017)*(B17*B51+B32*B50)</f>
        <v>0.0021366924198846435</v>
      </c>
      <c r="C91" s="166">
        <f>C31+(11/0.017)*(C17*C51+C32*C50)</f>
        <v>-0.0115363236381847</v>
      </c>
      <c r="D91" s="166">
        <f>D31+(11/0.017)*(D17*D51+D32*D50)</f>
        <v>-0.026882702022098626</v>
      </c>
      <c r="E91" s="166">
        <f>E31+(11/0.017)*(E17*E51+E32*E50)</f>
        <v>-0.031042586364877684</v>
      </c>
      <c r="F91" s="166">
        <f>F31+(11/0.017)*(F17*F51+F32*F50)</f>
        <v>0.026070006917943783</v>
      </c>
    </row>
    <row r="92" spans="1:6" ht="12.75">
      <c r="A92" s="166" t="s">
        <v>183</v>
      </c>
      <c r="B92" s="166">
        <f>B32+(12/0.017)*(B18*B51+B33*B50)</f>
        <v>0.02462318171999163</v>
      </c>
      <c r="C92" s="166">
        <f>C32+(12/0.017)*(C18*C51+C33*C50)</f>
        <v>-0.011038108805896549</v>
      </c>
      <c r="D92" s="166">
        <f>D32+(12/0.017)*(D18*D51+D33*D50)</f>
        <v>-0.019690089561940582</v>
      </c>
      <c r="E92" s="166">
        <f>E32+(12/0.017)*(E18*E51+E33*E50)</f>
        <v>-0.02316653001198706</v>
      </c>
      <c r="F92" s="166">
        <f>F32+(12/0.017)*(F18*F51+F33*F50)</f>
        <v>-0.03057328752124639</v>
      </c>
    </row>
    <row r="93" spans="1:6" ht="12.75">
      <c r="A93" s="166" t="s">
        <v>184</v>
      </c>
      <c r="B93" s="166">
        <f>B33+(13/0.017)*(B19*B51+B34*B50)</f>
        <v>0.03692271194590943</v>
      </c>
      <c r="C93" s="166">
        <f>C33+(13/0.017)*(C19*C51+C34*C50)</f>
        <v>0.019712626405041792</v>
      </c>
      <c r="D93" s="166">
        <f>D33+(13/0.017)*(D19*D51+D34*D50)</f>
        <v>0.028167554581228674</v>
      </c>
      <c r="E93" s="166">
        <f>E33+(13/0.017)*(E19*E51+E34*E50)</f>
        <v>0.030167254724202355</v>
      </c>
      <c r="F93" s="166">
        <f>F33+(13/0.017)*(F19*F51+F34*F50)</f>
        <v>0.03126519874600063</v>
      </c>
    </row>
    <row r="94" spans="1:6" ht="12.75">
      <c r="A94" s="166" t="s">
        <v>185</v>
      </c>
      <c r="B94" s="166">
        <f>B34+(14/0.017)*(B20*B51+B35*B50)</f>
        <v>-0.003660072347549729</v>
      </c>
      <c r="C94" s="166">
        <f>C34+(14/0.017)*(C20*C51+C35*C50)</f>
        <v>0.014326561632753688</v>
      </c>
      <c r="D94" s="166">
        <f>D34+(14/0.017)*(D20*D51+D35*D50)</f>
        <v>0.02664377693710294</v>
      </c>
      <c r="E94" s="166">
        <f>E34+(14/0.017)*(E20*E51+E35*E50)</f>
        <v>0.03531880828436787</v>
      </c>
      <c r="F94" s="166">
        <f>F34+(14/0.017)*(F20*F51+F35*F50)</f>
        <v>-0.005841337736533039</v>
      </c>
    </row>
    <row r="95" spans="1:6" ht="12.75">
      <c r="A95" s="166" t="s">
        <v>186</v>
      </c>
      <c r="B95" s="167">
        <f>B35</f>
        <v>-0.001140542</v>
      </c>
      <c r="C95" s="167">
        <f>C35</f>
        <v>-0.002328063</v>
      </c>
      <c r="D95" s="167">
        <f>D35</f>
        <v>-0.0008628315</v>
      </c>
      <c r="E95" s="167">
        <f>E35</f>
        <v>-0.0004933223</v>
      </c>
      <c r="F95" s="167">
        <f>F35</f>
        <v>0.003731555</v>
      </c>
    </row>
    <row r="98" ht="12.75">
      <c r="A98" s="166" t="s">
        <v>154</v>
      </c>
    </row>
    <row r="100" spans="2:11" ht="12.75">
      <c r="B100" s="166" t="s">
        <v>85</v>
      </c>
      <c r="C100" s="166" t="s">
        <v>86</v>
      </c>
      <c r="D100" s="166" t="s">
        <v>87</v>
      </c>
      <c r="E100" s="166" t="s">
        <v>88</v>
      </c>
      <c r="F100" s="166" t="s">
        <v>89</v>
      </c>
      <c r="G100" s="166" t="s">
        <v>156</v>
      </c>
      <c r="H100" s="166" t="s">
        <v>157</v>
      </c>
      <c r="I100" s="166" t="s">
        <v>152</v>
      </c>
      <c r="K100" s="166" t="s">
        <v>187</v>
      </c>
    </row>
    <row r="101" spans="1:9" ht="12.75">
      <c r="A101" s="166" t="s">
        <v>155</v>
      </c>
      <c r="B101" s="166">
        <f>B61*10000/B62</f>
        <v>0</v>
      </c>
      <c r="C101" s="166">
        <f>C61*10000/C62</f>
        <v>0</v>
      </c>
      <c r="D101" s="166">
        <f>D61*10000/D62</f>
        <v>0</v>
      </c>
      <c r="E101" s="166">
        <f>E61*10000/E62</f>
        <v>0</v>
      </c>
      <c r="F101" s="166">
        <f>F61*10000/F62</f>
        <v>0</v>
      </c>
      <c r="G101" s="166">
        <f>AVERAGE(C101:E101)</f>
        <v>0</v>
      </c>
      <c r="H101" s="166">
        <f>STDEV(C101:E101)</f>
        <v>0</v>
      </c>
      <c r="I101" s="166">
        <f>(B101*B4+C101*C4+D101*D4+E101*E4+F101*F4)/SUM(B4:F4)</f>
        <v>0</v>
      </c>
    </row>
    <row r="102" spans="1:9" ht="12.75">
      <c r="A102" s="166" t="s">
        <v>158</v>
      </c>
      <c r="B102" s="166">
        <f>B62*10000/B62</f>
        <v>10000</v>
      </c>
      <c r="C102" s="166">
        <f>C62*10000/C62</f>
        <v>10000</v>
      </c>
      <c r="D102" s="166">
        <f>D62*10000/D62</f>
        <v>10000</v>
      </c>
      <c r="E102" s="166">
        <f>E62*10000/E62</f>
        <v>10000</v>
      </c>
      <c r="F102" s="166">
        <f>F62*10000/F62</f>
        <v>10000</v>
      </c>
      <c r="G102" s="166">
        <f>AVERAGE(C102:E102)</f>
        <v>10000</v>
      </c>
      <c r="H102" s="166">
        <f>STDEV(C102:E102)</f>
        <v>0</v>
      </c>
      <c r="I102" s="166">
        <f>(B102*B4+C102*C4+D102*D4+E102*E4+F102*F4)/SUM(B4:F4)</f>
        <v>10000</v>
      </c>
    </row>
    <row r="103" spans="1:11" ht="12.75">
      <c r="A103" s="166" t="s">
        <v>159</v>
      </c>
      <c r="B103" s="166">
        <f>B63*10000/B62</f>
        <v>1.0374480269393025</v>
      </c>
      <c r="C103" s="166">
        <f>C63*10000/C62</f>
        <v>0.9322496503192998</v>
      </c>
      <c r="D103" s="166">
        <f>D63*10000/D62</f>
        <v>0.4530336393743878</v>
      </c>
      <c r="E103" s="166">
        <f>E63*10000/E62</f>
        <v>-0.2703707545451508</v>
      </c>
      <c r="F103" s="166">
        <f>F63*10000/F62</f>
        <v>0.27415021705966497</v>
      </c>
      <c r="G103" s="166">
        <f>AVERAGE(C103:E103)</f>
        <v>0.3716375117161789</v>
      </c>
      <c r="H103" s="166">
        <f>STDEV(C103:E103)</f>
        <v>0.6054279120980444</v>
      </c>
      <c r="I103" s="166">
        <f>(B103*B4+C103*C4+D103*D4+E103*E4+F103*F4)/SUM(B4:F4)</f>
        <v>0.454465163707707</v>
      </c>
      <c r="K103" s="166">
        <f>(LN(H103)+LN(H123))/2-LN(K114*K115^3)</f>
        <v>-4.92345705140243</v>
      </c>
    </row>
    <row r="104" spans="1:11" ht="12.75">
      <c r="A104" s="166" t="s">
        <v>160</v>
      </c>
      <c r="B104" s="166">
        <f>B64*10000/B62</f>
        <v>-0.3975676867338598</v>
      </c>
      <c r="C104" s="166">
        <f>C64*10000/C62</f>
        <v>0.04842698614458294</v>
      </c>
      <c r="D104" s="166">
        <f>D64*10000/D62</f>
        <v>-0.1246584930206605</v>
      </c>
      <c r="E104" s="166">
        <f>E64*10000/E62</f>
        <v>-0.04258044642488168</v>
      </c>
      <c r="F104" s="166">
        <f>F64*10000/F62</f>
        <v>-2.07333775631279</v>
      </c>
      <c r="G104" s="166">
        <f>AVERAGE(C104:E104)</f>
        <v>-0.039603984433653074</v>
      </c>
      <c r="H104" s="166">
        <f>STDEV(C104:E104)</f>
        <v>0.08658111958709244</v>
      </c>
      <c r="I104" s="166">
        <f>(B104*B4+C104*C4+D104*D4+E104*E4+F104*F4)/SUM(B4:F4)</f>
        <v>-0.36299338637625217</v>
      </c>
      <c r="K104" s="166">
        <f>(LN(H104)+LN(H124))/2-LN(K114*K115^4)</f>
        <v>-4.869130394757497</v>
      </c>
    </row>
    <row r="105" spans="1:11" ht="12.75">
      <c r="A105" s="166" t="s">
        <v>161</v>
      </c>
      <c r="B105" s="166">
        <f>B65*10000/B62</f>
        <v>-0.32694408661717117</v>
      </c>
      <c r="C105" s="166">
        <f>C65*10000/C62</f>
        <v>0.08098114373432566</v>
      </c>
      <c r="D105" s="166">
        <f>D65*10000/D62</f>
        <v>0.13779156619494737</v>
      </c>
      <c r="E105" s="166">
        <f>E65*10000/E62</f>
        <v>0.05074244958144309</v>
      </c>
      <c r="F105" s="166">
        <f>F65*10000/F62</f>
        <v>-1.2194355290973549</v>
      </c>
      <c r="G105" s="166">
        <f>AVERAGE(C105:E105)</f>
        <v>0.08983838650357205</v>
      </c>
      <c r="H105" s="166">
        <f>STDEV(C105:E105)</f>
        <v>0.0441953078720229</v>
      </c>
      <c r="I105" s="166">
        <f>(B105*B4+C105*C4+D105*D4+E105*E4+F105*F4)/SUM(B4:F4)</f>
        <v>-0.1452316255474142</v>
      </c>
      <c r="K105" s="166">
        <f>(LN(H105)+LN(H125))/2-LN(K114*K115^5)</f>
        <v>-5.708213859043214</v>
      </c>
    </row>
    <row r="106" spans="1:11" ht="12.75">
      <c r="A106" s="166" t="s">
        <v>162</v>
      </c>
      <c r="B106" s="166">
        <f>B66*10000/B62</f>
        <v>3.2978931901276396</v>
      </c>
      <c r="C106" s="166">
        <f>C66*10000/C62</f>
        <v>2.807593707498322</v>
      </c>
      <c r="D106" s="166">
        <f>D66*10000/D62</f>
        <v>3.0382896772373083</v>
      </c>
      <c r="E106" s="166">
        <f>E66*10000/E62</f>
        <v>1.9556947927306223</v>
      </c>
      <c r="F106" s="166">
        <f>F66*10000/F62</f>
        <v>13.797914884776361</v>
      </c>
      <c r="G106" s="166">
        <f>AVERAGE(C106:E106)</f>
        <v>2.6005260591554173</v>
      </c>
      <c r="H106" s="166">
        <f>STDEV(C106:E106)</f>
        <v>0.5702286201452063</v>
      </c>
      <c r="I106" s="166">
        <f>(B106*B4+C106*C4+D106*D4+E106*E4+F106*F4)/SUM(B4:F4)</f>
        <v>4.197120643254</v>
      </c>
      <c r="K106" s="166">
        <f>(LN(H106)+LN(H126))/2-LN(K114*K115^6)</f>
        <v>-3.4444692727645148</v>
      </c>
    </row>
    <row r="107" spans="1:11" ht="12.75">
      <c r="A107" s="166" t="s">
        <v>163</v>
      </c>
      <c r="B107" s="166">
        <f>B67*10000/B62</f>
        <v>-0.0454944119573708</v>
      </c>
      <c r="C107" s="166">
        <f>C67*10000/C62</f>
        <v>0.09594244806877858</v>
      </c>
      <c r="D107" s="166">
        <f>D67*10000/D62</f>
        <v>0.2757002963291243</v>
      </c>
      <c r="E107" s="166">
        <f>E67*10000/E62</f>
        <v>0.09104362968269396</v>
      </c>
      <c r="F107" s="166">
        <f>F67*10000/F62</f>
        <v>0.019962843943013144</v>
      </c>
      <c r="G107" s="166">
        <f>AVERAGE(C107:E107)</f>
        <v>0.15422879136019896</v>
      </c>
      <c r="H107" s="166">
        <f>STDEV(C107:E107)</f>
        <v>0.10522592121220273</v>
      </c>
      <c r="I107" s="166">
        <f>(B107*B4+C107*C4+D107*D4+E107*E4+F107*F4)/SUM(B4:F4)</f>
        <v>0.10747233661374794</v>
      </c>
      <c r="K107" s="166">
        <f>(LN(H107)+LN(H127))/2-LN(K114*K115^7)</f>
        <v>-4.409694559664646</v>
      </c>
    </row>
    <row r="108" spans="1:9" ht="12.75">
      <c r="A108" s="166" t="s">
        <v>164</v>
      </c>
      <c r="B108" s="166">
        <f>B68*10000/B62</f>
        <v>-0.07287027506221364</v>
      </c>
      <c r="C108" s="166">
        <f>C68*10000/C62</f>
        <v>-0.002068899510100916</v>
      </c>
      <c r="D108" s="166">
        <f>D68*10000/D62</f>
        <v>-0.18681586926622734</v>
      </c>
      <c r="E108" s="166">
        <f>E68*10000/E62</f>
        <v>-0.17306884042841136</v>
      </c>
      <c r="F108" s="166">
        <f>F68*10000/F62</f>
        <v>-0.22252202172552757</v>
      </c>
      <c r="G108" s="166">
        <f>AVERAGE(C108:E108)</f>
        <v>-0.12065120306824655</v>
      </c>
      <c r="H108" s="166">
        <f>STDEV(C108:E108)</f>
        <v>0.10292505641647268</v>
      </c>
      <c r="I108" s="166">
        <f>(B108*B4+C108*C4+D108*D4+E108*E4+F108*F4)/SUM(B4:F4)</f>
        <v>-0.12739519970781804</v>
      </c>
    </row>
    <row r="109" spans="1:9" ht="12.75">
      <c r="A109" s="166" t="s">
        <v>165</v>
      </c>
      <c r="B109" s="166">
        <f>B69*10000/B62</f>
        <v>-0.020204991411516503</v>
      </c>
      <c r="C109" s="166">
        <f>C69*10000/C62</f>
        <v>0.11575906420406304</v>
      </c>
      <c r="D109" s="166">
        <f>D69*10000/D62</f>
        <v>0.07372484005730527</v>
      </c>
      <c r="E109" s="166">
        <f>E69*10000/E62</f>
        <v>0.022137843585086296</v>
      </c>
      <c r="F109" s="166">
        <f>F69*10000/F62</f>
        <v>0.056233305787127284</v>
      </c>
      <c r="G109" s="166">
        <f>AVERAGE(C109:E109)</f>
        <v>0.07054058261548486</v>
      </c>
      <c r="H109" s="166">
        <f>STDEV(C109:E109)</f>
        <v>0.04689176749855589</v>
      </c>
      <c r="I109" s="166">
        <f>(B109*B4+C109*C4+D109*D4+E109*E4+F109*F4)/SUM(B4:F4)</f>
        <v>0.0555229797654933</v>
      </c>
    </row>
    <row r="110" spans="1:11" ht="12.75">
      <c r="A110" s="166" t="s">
        <v>166</v>
      </c>
      <c r="B110" s="166">
        <f>B70*10000/B62</f>
        <v>-0.2729446827936436</v>
      </c>
      <c r="C110" s="166">
        <f>C70*10000/C62</f>
        <v>-0.012934376866078897</v>
      </c>
      <c r="D110" s="166">
        <f>D70*10000/D62</f>
        <v>0.10280320680955035</v>
      </c>
      <c r="E110" s="166">
        <f>E70*10000/E62</f>
        <v>0.10557469404625859</v>
      </c>
      <c r="F110" s="166">
        <f>F70*10000/F62</f>
        <v>-0.3282457083126182</v>
      </c>
      <c r="G110" s="166">
        <f>AVERAGE(C110:E110)</f>
        <v>0.06514784132991001</v>
      </c>
      <c r="H110" s="166">
        <f>STDEV(C110:E110)</f>
        <v>0.06763538189572324</v>
      </c>
      <c r="I110" s="166">
        <f>(B110*B4+C110*C4+D110*D4+E110*E4+F110*F4)/SUM(B4:F4)</f>
        <v>-0.03617054629197133</v>
      </c>
      <c r="K110" s="166">
        <f>EXP(AVERAGE(K103:K107))</f>
        <v>0.009362967224865796</v>
      </c>
    </row>
    <row r="111" spans="1:9" ht="12.75">
      <c r="A111" s="166" t="s">
        <v>167</v>
      </c>
      <c r="B111" s="166">
        <f>B71*10000/B62</f>
        <v>-0.014543292260858692</v>
      </c>
      <c r="C111" s="166">
        <f>C71*10000/C62</f>
        <v>-0.025946042192624492</v>
      </c>
      <c r="D111" s="166">
        <f>D71*10000/D62</f>
        <v>0.0018810551654723845</v>
      </c>
      <c r="E111" s="166">
        <f>E71*10000/E62</f>
        <v>0.014502941325611666</v>
      </c>
      <c r="F111" s="166">
        <f>F71*10000/F62</f>
        <v>-0.029422198757608032</v>
      </c>
      <c r="G111" s="166">
        <f>AVERAGE(C111:E111)</f>
        <v>-0.0031873485671801466</v>
      </c>
      <c r="H111" s="166">
        <f>STDEV(C111:E111)</f>
        <v>0.02069532807694794</v>
      </c>
      <c r="I111" s="166">
        <f>(B111*B4+C111*C4+D111*D4+E111*E4+F111*F4)/SUM(B4:F4)</f>
        <v>-0.008324600144451366</v>
      </c>
    </row>
    <row r="112" spans="1:9" ht="12.75">
      <c r="A112" s="166" t="s">
        <v>168</v>
      </c>
      <c r="B112" s="166">
        <f>B72*10000/B62</f>
        <v>-0.0011441172641924549</v>
      </c>
      <c r="C112" s="166">
        <f>C72*10000/C62</f>
        <v>-0.0001192154534091456</v>
      </c>
      <c r="D112" s="166">
        <f>D72*10000/D62</f>
        <v>0.008159411609139279</v>
      </c>
      <c r="E112" s="166">
        <f>E72*10000/E62</f>
        <v>-0.0005940802022500397</v>
      </c>
      <c r="F112" s="166">
        <f>F72*10000/F62</f>
        <v>-0.0050991239109206945</v>
      </c>
      <c r="G112" s="166">
        <f>AVERAGE(C112:E112)</f>
        <v>0.002482038651160031</v>
      </c>
      <c r="H112" s="166">
        <f>STDEV(C112:E112)</f>
        <v>0.004922478736411003</v>
      </c>
      <c r="I112" s="166">
        <f>(B112*B4+C112*C4+D112*D4+E112*E4+F112*F4)/SUM(B4:F4)</f>
        <v>0.0009457163175529006</v>
      </c>
    </row>
    <row r="113" spans="1:9" ht="12.75">
      <c r="A113" s="166" t="s">
        <v>169</v>
      </c>
      <c r="B113" s="166">
        <f>B73*10000/B62</f>
        <v>0.03309089005739564</v>
      </c>
      <c r="C113" s="166">
        <f>C73*10000/C62</f>
        <v>0.028328558076144893</v>
      </c>
      <c r="D113" s="166">
        <f>D73*10000/D62</f>
        <v>0.030847824762342903</v>
      </c>
      <c r="E113" s="166">
        <f>E73*10000/E62</f>
        <v>0.031083042059347598</v>
      </c>
      <c r="F113" s="166">
        <f>F73*10000/F62</f>
        <v>0.024456722732037132</v>
      </c>
      <c r="G113" s="166">
        <f>AVERAGE(C113:E113)</f>
        <v>0.03008647496594513</v>
      </c>
      <c r="H113" s="166">
        <f>STDEV(C113:E113)</f>
        <v>0.0015269366842754952</v>
      </c>
      <c r="I113" s="166">
        <f>(B113*B4+C113*C4+D113*D4+E113*E4+F113*F4)/SUM(B4:F4)</f>
        <v>0.029768082700468386</v>
      </c>
    </row>
    <row r="114" spans="1:11" ht="12.75">
      <c r="A114" s="166" t="s">
        <v>170</v>
      </c>
      <c r="B114" s="166">
        <f>B74*10000/B62</f>
        <v>-0.19472156133057336</v>
      </c>
      <c r="C114" s="166">
        <f>C74*10000/C62</f>
        <v>-0.17526125734167655</v>
      </c>
      <c r="D114" s="166">
        <f>D74*10000/D62</f>
        <v>-0.18976220282018372</v>
      </c>
      <c r="E114" s="166">
        <f>E74*10000/E62</f>
        <v>-0.18501006870084563</v>
      </c>
      <c r="F114" s="166">
        <f>F74*10000/F62</f>
        <v>-0.13111480143541066</v>
      </c>
      <c r="G114" s="166">
        <f>AVERAGE(C114:E114)</f>
        <v>-0.18334450962090196</v>
      </c>
      <c r="H114" s="166">
        <f>STDEV(C114:E114)</f>
        <v>0.0073925584359713255</v>
      </c>
      <c r="I114" s="166">
        <f>(B114*B4+C114*C4+D114*D4+E114*E4+F114*F4)/SUM(B4:F4)</f>
        <v>-0.17800840765706247</v>
      </c>
      <c r="J114" s="166" t="s">
        <v>188</v>
      </c>
      <c r="K114" s="166">
        <v>285</v>
      </c>
    </row>
    <row r="115" spans="1:11" ht="12.75">
      <c r="A115" s="166" t="s">
        <v>171</v>
      </c>
      <c r="B115" s="166">
        <f>B75*10000/B62</f>
        <v>0.0004290437779795164</v>
      </c>
      <c r="C115" s="166">
        <f>C75*10000/C62</f>
        <v>0.0009143826296203352</v>
      </c>
      <c r="D115" s="166">
        <f>D75*10000/D62</f>
        <v>-0.004615233324049779</v>
      </c>
      <c r="E115" s="166">
        <f>E75*10000/E62</f>
        <v>-0.0031805876433211606</v>
      </c>
      <c r="F115" s="166">
        <f>F75*10000/F62</f>
        <v>0.002997612462683623</v>
      </c>
      <c r="G115" s="166">
        <f>AVERAGE(C115:E115)</f>
        <v>-0.0022938127792502014</v>
      </c>
      <c r="H115" s="166">
        <f>STDEV(C115:E115)</f>
        <v>0.0028694843427751636</v>
      </c>
      <c r="I115" s="166">
        <f>(B115*B4+C115*C4+D115*D4+E115*E4+F115*F4)/SUM(B4:F4)</f>
        <v>-0.0011945833926664353</v>
      </c>
      <c r="J115" s="166" t="s">
        <v>189</v>
      </c>
      <c r="K115" s="166">
        <v>0.5536</v>
      </c>
    </row>
    <row r="118" ht="12.75">
      <c r="A118" s="166" t="s">
        <v>154</v>
      </c>
    </row>
    <row r="120" spans="2:9" ht="12.75">
      <c r="B120" s="166" t="s">
        <v>85</v>
      </c>
      <c r="C120" s="166" t="s">
        <v>86</v>
      </c>
      <c r="D120" s="166" t="s">
        <v>87</v>
      </c>
      <c r="E120" s="166" t="s">
        <v>88</v>
      </c>
      <c r="F120" s="166" t="s">
        <v>89</v>
      </c>
      <c r="G120" s="166" t="s">
        <v>156</v>
      </c>
      <c r="H120" s="166" t="s">
        <v>157</v>
      </c>
      <c r="I120" s="166" t="s">
        <v>152</v>
      </c>
    </row>
    <row r="121" spans="1:9" ht="12.75">
      <c r="A121" s="166" t="s">
        <v>172</v>
      </c>
      <c r="B121" s="166">
        <f>B81*10000/B62</f>
        <v>0</v>
      </c>
      <c r="C121" s="166">
        <f>C81*10000/C62</f>
        <v>0</v>
      </c>
      <c r="D121" s="166">
        <f>D81*10000/D62</f>
        <v>0</v>
      </c>
      <c r="E121" s="166">
        <f>E81*10000/E62</f>
        <v>0</v>
      </c>
      <c r="F121" s="166">
        <f>F81*10000/F62</f>
        <v>0</v>
      </c>
      <c r="G121" s="166">
        <f>AVERAGE(C121:E121)</f>
        <v>0</v>
      </c>
      <c r="H121" s="166">
        <f>STDEV(C121:E121)</f>
        <v>0</v>
      </c>
      <c r="I121" s="166">
        <f>(B121*B4+C121*C4+D121*D4+E121*E4+F121*F4)/SUM(B4:F4)</f>
        <v>0</v>
      </c>
    </row>
    <row r="122" spans="1:9" ht="12.75">
      <c r="A122" s="166" t="s">
        <v>173</v>
      </c>
      <c r="B122" s="166">
        <f>B82*10000/B62</f>
        <v>148.12207343290626</v>
      </c>
      <c r="C122" s="166">
        <f>C82*10000/C62</f>
        <v>65.79188605028557</v>
      </c>
      <c r="D122" s="166">
        <f>D82*10000/D62</f>
        <v>-5.988595641491066</v>
      </c>
      <c r="E122" s="166">
        <f>E82*10000/E62</f>
        <v>-65.94095793673294</v>
      </c>
      <c r="F122" s="166">
        <f>F82*10000/F62</f>
        <v>-148.08265300750196</v>
      </c>
      <c r="G122" s="166">
        <f>AVERAGE(C122:E122)</f>
        <v>-2.04588917597948</v>
      </c>
      <c r="H122" s="166">
        <f>STDEV(C122:E122)</f>
        <v>65.95486522563692</v>
      </c>
      <c r="I122" s="166">
        <f>(B122*B4+C122*C4+D122*D4+E122*E4+F122*F4)/SUM(B4:F4)</f>
        <v>0.08336255758243447</v>
      </c>
    </row>
    <row r="123" spans="1:9" ht="12.75">
      <c r="A123" s="166" t="s">
        <v>174</v>
      </c>
      <c r="B123" s="166">
        <f>B83*10000/B62</f>
        <v>0.709890626093584</v>
      </c>
      <c r="C123" s="166">
        <f>C83*10000/C62</f>
        <v>0.27247152385552786</v>
      </c>
      <c r="D123" s="166">
        <f>D83*10000/D62</f>
        <v>0.6664145389145534</v>
      </c>
      <c r="E123" s="166">
        <f>E83*10000/E62</f>
        <v>0.3752869442044515</v>
      </c>
      <c r="F123" s="166">
        <f>F83*10000/F62</f>
        <v>7.905627314721569</v>
      </c>
      <c r="G123" s="166">
        <f>AVERAGE(C123:E123)</f>
        <v>0.43805766899151094</v>
      </c>
      <c r="H123" s="166">
        <f>STDEV(C123:E123)</f>
        <v>0.20433525808378852</v>
      </c>
      <c r="I123" s="166">
        <f>(B123*B4+C123*C4+D123*D4+E123*E4+F123*F4)/SUM(B4:F4)</f>
        <v>1.4750636416334946</v>
      </c>
    </row>
    <row r="124" spans="1:9" ht="12.75">
      <c r="A124" s="166" t="s">
        <v>175</v>
      </c>
      <c r="B124" s="166">
        <f>B84*10000/B62</f>
        <v>0.2779737814791183</v>
      </c>
      <c r="C124" s="166">
        <f>C84*10000/C62</f>
        <v>-1.6217414995592436</v>
      </c>
      <c r="D124" s="166">
        <f>D84*10000/D62</f>
        <v>-2.340870318151187</v>
      </c>
      <c r="E124" s="166">
        <f>E84*10000/E62</f>
        <v>-2.5531809476343823</v>
      </c>
      <c r="F124" s="166">
        <f>F84*10000/F62</f>
        <v>-4.071040977400187</v>
      </c>
      <c r="G124" s="166">
        <f>AVERAGE(C124:E124)</f>
        <v>-2.171930921781604</v>
      </c>
      <c r="H124" s="166">
        <f>STDEV(C124:E124)</f>
        <v>0.4881600670803783</v>
      </c>
      <c r="I124" s="166">
        <f>(B124*B4+C124*C4+D124*D4+E124*E4+F124*F4)/SUM(B4:F4)</f>
        <v>-2.0724056222044105</v>
      </c>
    </row>
    <row r="125" spans="1:9" ht="12.75">
      <c r="A125" s="166" t="s">
        <v>176</v>
      </c>
      <c r="B125" s="166">
        <f>B85*10000/B62</f>
        <v>-0.6327525922196147</v>
      </c>
      <c r="C125" s="166">
        <f>C85*10000/C62</f>
        <v>0.21235213079279044</v>
      </c>
      <c r="D125" s="166">
        <f>D85*10000/D62</f>
        <v>0.25366081872734514</v>
      </c>
      <c r="E125" s="166">
        <f>E85*10000/E62</f>
        <v>0.14523091656458623</v>
      </c>
      <c r="F125" s="166">
        <f>F85*10000/F62</f>
        <v>-1.2374370578267717</v>
      </c>
      <c r="G125" s="166">
        <f>AVERAGE(C125:E125)</f>
        <v>0.20374795536157395</v>
      </c>
      <c r="H125" s="166">
        <f>STDEV(C125:E125)</f>
        <v>0.05472462696898656</v>
      </c>
      <c r="I125" s="166">
        <f>(B125*B4+C125*C4+D125*D4+E125*E4+F125*F4)/SUM(B4:F4)</f>
        <v>-0.10950129507180685</v>
      </c>
    </row>
    <row r="126" spans="1:9" ht="12.75">
      <c r="A126" s="166" t="s">
        <v>177</v>
      </c>
      <c r="B126" s="166">
        <f>B86*10000/B62</f>
        <v>0.10885487737029015</v>
      </c>
      <c r="C126" s="166">
        <f>C86*10000/C62</f>
        <v>0.09721067907949037</v>
      </c>
      <c r="D126" s="166">
        <f>D86*10000/D62</f>
        <v>-0.11079559233172209</v>
      </c>
      <c r="E126" s="166">
        <f>E86*10000/E62</f>
        <v>-0.11141719776064256</v>
      </c>
      <c r="F126" s="166">
        <f>F86*10000/F62</f>
        <v>0.46069061612380735</v>
      </c>
      <c r="G126" s="166">
        <f>AVERAGE(C126:E126)</f>
        <v>-0.041667370337624764</v>
      </c>
      <c r="H126" s="166">
        <f>STDEV(C126:E126)</f>
        <v>0.12027232040562917</v>
      </c>
      <c r="I126" s="166">
        <f>(B126*B4+C126*C4+D126*D4+E126*E4+F126*F4)/SUM(B4:F4)</f>
        <v>0.04713830354500202</v>
      </c>
    </row>
    <row r="127" spans="1:9" ht="12.75">
      <c r="A127" s="166" t="s">
        <v>178</v>
      </c>
      <c r="B127" s="166">
        <f>B87*10000/B62</f>
        <v>-0.14467691488157478</v>
      </c>
      <c r="C127" s="166">
        <f>C87*10000/C62</f>
        <v>-0.04370824534285031</v>
      </c>
      <c r="D127" s="166">
        <f>D87*10000/D62</f>
        <v>-0.019887558804190856</v>
      </c>
      <c r="E127" s="166">
        <f>E87*10000/E62</f>
        <v>0.013962039591320903</v>
      </c>
      <c r="F127" s="166">
        <f>F87*10000/F62</f>
        <v>0.5897301801132142</v>
      </c>
      <c r="G127" s="166">
        <f>AVERAGE(C127:E127)</f>
        <v>-0.016544588185240086</v>
      </c>
      <c r="H127" s="166">
        <f>STDEV(C127:E127)</f>
        <v>0.02898011439791948</v>
      </c>
      <c r="I127" s="166">
        <f>(B127*B4+C127*C4+D127*D4+E127*E4+F127*F4)/SUM(B4:F4)</f>
        <v>0.04598825333972438</v>
      </c>
    </row>
    <row r="128" spans="1:9" ht="12.75">
      <c r="A128" s="166" t="s">
        <v>179</v>
      </c>
      <c r="B128" s="166">
        <f>B88*10000/B62</f>
        <v>0.06567469502570009</v>
      </c>
      <c r="C128" s="166">
        <f>C88*10000/C62</f>
        <v>-0.10904954243314179</v>
      </c>
      <c r="D128" s="166">
        <f>D88*10000/D62</f>
        <v>-0.2294098569554901</v>
      </c>
      <c r="E128" s="166">
        <f>E88*10000/E62</f>
        <v>-0.25234692859274305</v>
      </c>
      <c r="F128" s="166">
        <f>F88*10000/F62</f>
        <v>-0.47908543338591525</v>
      </c>
      <c r="G128" s="166">
        <f>AVERAGE(C128:E128)</f>
        <v>-0.1969354426604583</v>
      </c>
      <c r="H128" s="166">
        <f>STDEV(C128:E128)</f>
        <v>0.07697061717238277</v>
      </c>
      <c r="I128" s="166">
        <f>(B128*B4+C128*C4+D128*D4+E128*E4+F128*F4)/SUM(B4:F4)</f>
        <v>-0.19677321769003114</v>
      </c>
    </row>
    <row r="129" spans="1:9" ht="12.75">
      <c r="A129" s="166" t="s">
        <v>180</v>
      </c>
      <c r="B129" s="166">
        <f>B89*10000/B62</f>
        <v>0.0050191384081413465</v>
      </c>
      <c r="C129" s="166">
        <f>C89*10000/C62</f>
        <v>0.006093178506505261</v>
      </c>
      <c r="D129" s="166">
        <f>D89*10000/D62</f>
        <v>-0.09685702595815207</v>
      </c>
      <c r="E129" s="166">
        <f>E89*10000/E62</f>
        <v>-0.05680493771266251</v>
      </c>
      <c r="F129" s="166">
        <f>F89*10000/F62</f>
        <v>-0.08278083733339806</v>
      </c>
      <c r="G129" s="166">
        <f>AVERAGE(C129:E129)</f>
        <v>-0.049189595054769775</v>
      </c>
      <c r="H129" s="166">
        <f>STDEV(C129:E129)</f>
        <v>0.05189586912921421</v>
      </c>
      <c r="I129" s="166">
        <f>(B129*B4+C129*C4+D129*D4+E129*E4+F129*F4)/SUM(B4:F4)</f>
        <v>-0.045866386116653966</v>
      </c>
    </row>
    <row r="130" spans="1:9" ht="12.75">
      <c r="A130" s="166" t="s">
        <v>181</v>
      </c>
      <c r="B130" s="166">
        <f>B90*10000/B62</f>
        <v>0.06675106527152087</v>
      </c>
      <c r="C130" s="166">
        <f>C90*10000/C62</f>
        <v>0.1140305843450948</v>
      </c>
      <c r="D130" s="166">
        <f>D90*10000/D62</f>
        <v>0.0716593843880267</v>
      </c>
      <c r="E130" s="166">
        <f>E90*10000/E62</f>
        <v>0.05111250533243532</v>
      </c>
      <c r="F130" s="166">
        <f>F90*10000/F62</f>
        <v>0.2037165701820608</v>
      </c>
      <c r="G130" s="166">
        <f>AVERAGE(C130:E130)</f>
        <v>0.07893415802185227</v>
      </c>
      <c r="H130" s="166">
        <f>STDEV(C130:E130)</f>
        <v>0.032083686122831453</v>
      </c>
      <c r="I130" s="166">
        <f>(B130*B4+C130*C4+D130*D4+E130*E4+F130*F4)/SUM(B4:F4)</f>
        <v>0.09383964820861347</v>
      </c>
    </row>
    <row r="131" spans="1:9" ht="12.75">
      <c r="A131" s="166" t="s">
        <v>182</v>
      </c>
      <c r="B131" s="166">
        <f>B91*10000/B62</f>
        <v>0.002136691812207335</v>
      </c>
      <c r="C131" s="166">
        <f>C91*10000/C62</f>
        <v>-0.011536316441984672</v>
      </c>
      <c r="D131" s="166">
        <f>D91*10000/D62</f>
        <v>-0.026882698084840322</v>
      </c>
      <c r="E131" s="166">
        <f>E91*10000/E62</f>
        <v>-0.03104259264370379</v>
      </c>
      <c r="F131" s="166">
        <f>F91*10000/F62</f>
        <v>0.026070271852271783</v>
      </c>
      <c r="G131" s="166">
        <f>AVERAGE(C131:E131)</f>
        <v>-0.023153869056842927</v>
      </c>
      <c r="H131" s="166">
        <f>STDEV(C131:E131)</f>
        <v>0.010273841893589049</v>
      </c>
      <c r="I131" s="166">
        <f>(B131*B4+C131*C4+D131*D4+E131*E4+F131*F4)/SUM(B4:F4)</f>
        <v>-0.01293139227707965</v>
      </c>
    </row>
    <row r="132" spans="1:9" ht="12.75">
      <c r="A132" s="166" t="s">
        <v>183</v>
      </c>
      <c r="B132" s="166">
        <f>B92*10000/B62</f>
        <v>0.02462317471713588</v>
      </c>
      <c r="C132" s="166">
        <f>C92*10000/C62</f>
        <v>-0.01103810192047608</v>
      </c>
      <c r="D132" s="166">
        <f>D92*10000/D62</f>
        <v>-0.01969008667811705</v>
      </c>
      <c r="E132" s="166">
        <f>E92*10000/E62</f>
        <v>-0.02316653469776329</v>
      </c>
      <c r="F132" s="166">
        <f>F92*10000/F62</f>
        <v>-0.03057359821979778</v>
      </c>
      <c r="G132" s="166">
        <f>AVERAGE(C132:E132)</f>
        <v>-0.017964907765452138</v>
      </c>
      <c r="H132" s="166">
        <f>STDEV(C132:E132)</f>
        <v>0.006245550585722736</v>
      </c>
      <c r="I132" s="166">
        <f>(B132*B4+C132*C4+D132*D4+E132*E4+F132*F4)/SUM(B4:F4)</f>
        <v>-0.013507818826138182</v>
      </c>
    </row>
    <row r="133" spans="1:9" ht="12.75">
      <c r="A133" s="166" t="s">
        <v>184</v>
      </c>
      <c r="B133" s="166">
        <f>B93*10000/B62</f>
        <v>0.03692270144505586</v>
      </c>
      <c r="C133" s="166">
        <f>C93*10000/C62</f>
        <v>0.019712614108576547</v>
      </c>
      <c r="D133" s="166">
        <f>D93*10000/D62</f>
        <v>0.028167550455790013</v>
      </c>
      <c r="E133" s="166">
        <f>E93*10000/E62</f>
        <v>0.030167260825979578</v>
      </c>
      <c r="F133" s="166">
        <f>F93*10000/F62</f>
        <v>0.03126551647604365</v>
      </c>
      <c r="G133" s="166">
        <f>AVERAGE(C133:E133)</f>
        <v>0.02601580846344871</v>
      </c>
      <c r="H133" s="166">
        <f>STDEV(C133:E133)</f>
        <v>0.005549540944765627</v>
      </c>
      <c r="I133" s="166">
        <f>(B133*B4+C133*C4+D133*D4+E133*E4+F133*F4)/SUM(B4:F4)</f>
        <v>0.028292269414443225</v>
      </c>
    </row>
    <row r="134" spans="1:9" ht="12.75">
      <c r="A134" s="166" t="s">
        <v>185</v>
      </c>
      <c r="B134" s="166">
        <f>B94*10000/B62</f>
        <v>-0.003660071306621754</v>
      </c>
      <c r="C134" s="166">
        <f>C94*10000/C62</f>
        <v>0.014326552696041574</v>
      </c>
      <c r="D134" s="166">
        <f>D94*10000/D62</f>
        <v>0.02664377303483776</v>
      </c>
      <c r="E134" s="166">
        <f>E94*10000/E62</f>
        <v>0.03531881542812364</v>
      </c>
      <c r="F134" s="166">
        <f>F94*10000/F62</f>
        <v>-0.005841397098653376</v>
      </c>
      <c r="G134" s="166">
        <f>AVERAGE(C134:E134)</f>
        <v>0.025429713719667655</v>
      </c>
      <c r="H134" s="166">
        <f>STDEV(C134:E134)</f>
        <v>0.01054866004138696</v>
      </c>
      <c r="I134" s="166">
        <f>(B134*B4+C134*C4+D134*D4+E134*E4+F134*F4)/SUM(B4:F4)</f>
        <v>0.017058287315400194</v>
      </c>
    </row>
    <row r="135" spans="1:9" ht="12.75">
      <c r="A135" s="166" t="s">
        <v>186</v>
      </c>
      <c r="B135" s="166">
        <f>B95*10000/B62</f>
        <v>-0.0011405416756287959</v>
      </c>
      <c r="C135" s="166">
        <f>C95*10000/C62</f>
        <v>-0.002328061547786318</v>
      </c>
      <c r="D135" s="166">
        <f>D95*10000/D62</f>
        <v>-0.0008628313736291282</v>
      </c>
      <c r="E135" s="166">
        <f>E95*10000/E62</f>
        <v>-0.0004933223997817933</v>
      </c>
      <c r="F135" s="166">
        <f>F95*10000/F62</f>
        <v>0.0037315929216246253</v>
      </c>
      <c r="G135" s="166">
        <f>AVERAGE(C135:E135)</f>
        <v>-0.001228071773732413</v>
      </c>
      <c r="H135" s="166">
        <f>STDEV(C135:E135)</f>
        <v>0.0009703696964074044</v>
      </c>
      <c r="I135" s="166">
        <f>(B135*B4+C135*C4+D135*D4+E135*E4+F135*F4)/SUM(B4:F4)</f>
        <v>-0.0005524746605999411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2003-11-17T07:01:42Z</cp:lastPrinted>
  <dcterms:created xsi:type="dcterms:W3CDTF">1999-06-17T15:15:05Z</dcterms:created>
  <dcterms:modified xsi:type="dcterms:W3CDTF">2005-10-04T10:08:28Z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-1710049696</vt:i4>
  </property>
  <property fmtid="{D5CDD505-2E9C-101B-9397-08002B2CF9AE}" pid="3" name="_EmailSubject">
    <vt:lpwstr>Introducing ap131 in the database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PreviousAdHocReviewCycleID">
    <vt:i4>1421584721</vt:i4>
  </property>
  <property fmtid="{D5CDD505-2E9C-101B-9397-08002B2CF9AE}" pid="7" name="_ReviewingToolsShownOnce">
    <vt:lpwstr/>
  </property>
</Properties>
</file>