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33_pos1ap2" sheetId="2" r:id="rId2"/>
    <sheet name="HCMQAP133_pos2ap2" sheetId="3" r:id="rId3"/>
    <sheet name="HCMQAP133_pos3ap2" sheetId="4" r:id="rId4"/>
    <sheet name="HCMQAP133_pos4ap2" sheetId="5" r:id="rId5"/>
    <sheet name="HCMQAP133_pos5ap2" sheetId="6" r:id="rId6"/>
    <sheet name="Lmag_hcmqap" sheetId="7" r:id="rId7"/>
    <sheet name="Result_HCMQAP" sheetId="8" r:id="rId8"/>
  </sheets>
  <definedNames>
    <definedName name="_xlnm.Print_Area" localSheetId="1">'HCMQAP133_pos1ap2'!$A$1:$N$28</definedName>
    <definedName name="_xlnm.Print_Area" localSheetId="2">'HCMQAP133_pos2ap2'!$A$1:$N$28</definedName>
    <definedName name="_xlnm.Print_Area" localSheetId="3">'HCMQAP133_pos3ap2'!$A$1:$N$28</definedName>
    <definedName name="_xlnm.Print_Area" localSheetId="4">'HCMQAP133_pos4ap2'!$A$1:$N$28</definedName>
    <definedName name="_xlnm.Print_Area" localSheetId="5">'HCMQAP133_pos5ap2'!$A$1:$N$28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<sst xmlns="http://schemas.openxmlformats.org/spreadsheetml/2006/main" count="510" uniqueCount="189">
  <si>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</si>
  <si>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</si>
  <si>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</si>
  <si>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</si>
  <si>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</si>
  <si>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</si>
  <si>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</si>
  <si>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</si>
  <si>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</si>
  <si>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</si>
  <si>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</si>
  <si>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</si>
  <si>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</si>
  <si>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</si>
  <si>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</si>
  <si>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hcmqap133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</si>
  <si>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</si>
  <si>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</si>
  <si>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</si>
  <si>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</si>
  <si>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</si>
  <si>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</si>
  <si>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</si>
  <si>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</si>
  <si>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</si>
  <si>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</si>
  <si>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</si>
  <si>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</si>
  <si>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</si>
  <si>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</si>
  <si>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</si>
  <si>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</si>
  <si>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</si>
  <si>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</si>
  <si>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</si>
  <si>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</si>
  <si>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</si>
  <si>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</si>
  <si>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</si>
  <si>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</si>
  <si>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</si>
  <si>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</si>
  <si>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</si>
  <si>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</si>
  <si>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</si>
  <si>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</si>
  <si>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</si>
  <si>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</si>
  <si>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</si>
  <si>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</si>
  <si>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</si>
  <si>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</si>
  <si>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</si>
  <si>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</si>
  <si>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</si>
  <si>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</si>
  <si>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</si>
  <si>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</si>
  <si>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</si>
  <si>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</si>
  <si>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</si>
  <si>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</si>
  <si>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</si>
  <si>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</si>
  <si>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</si>
  <si>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</si>
  <si>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</si>
  <si>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</si>
  <si>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HCMQAP133_pos1ap2</t>
  </si>
  <si>
    <t>20/11/2003</t>
  </si>
  <si>
    <t>±12.5</t>
  </si>
  <si>
    <t>THCMQAP133_pos1ap2.xls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</si>
  <si>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</si>
  <si>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HCMQAP133_pos2ap2</t>
  </si>
  <si>
    <t>THCMQAP133_pos2ap2.xls</t>
  </si>
  <si>
    <t>HCMQAP133_pos3ap2</t>
  </si>
  <si>
    <t>THCMQAP133_pos3ap2.xls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</si>
  <si>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</si>
  <si>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HCMQAP133_pos4ap2</t>
  </si>
  <si>
    <t>THCMQAP133_pos4ap2.xls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</si>
  <si>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-2.086 mT)</t>
    </r>
  </si>
  <si>
    <t>HCMQAP133_pos5ap2</t>
  </si>
  <si>
    <t>THCMQAP133_pos5ap2.xls</t>
  </si>
  <si>
    <t>Sommaire : Valeurs intégrales calculées avec les fichiers: HCMQAP133_pos1ap2+HCMQAP133_pos2ap2+HCMQAP133_pos3ap2+HCMQAP133_pos4ap2+HCMQAP133_pos5ap2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</si>
  <si>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</si>
  <si>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</si>
  <si>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</si>
  <si>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</si>
  <si>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</si>
  <si>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</si>
  <si>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</si>
  <si>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</si>
  <si>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</si>
  <si>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</si>
  <si>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</si>
  <si>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</si>
  <si>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</si>
  <si>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</si>
  <si>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</si>
  <si>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</si>
  <si>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</si>
  <si>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</si>
  <si>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</si>
  <si>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</si>
  <si>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</si>
  <si>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</si>
  <si>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</si>
  <si>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</si>
  <si>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</si>
  <si>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</si>
  <si>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</si>
  <si>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</si>
  <si>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</si>
  <si>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</si>
  <si>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</si>
  <si>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</si>
  <si>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</si>
  <si>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</si>
  <si>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</si>
  <si>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</si>
  <si>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</si>
  <si>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</si>
  <si>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</si>
  <si>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</si>
  <si>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</si>
  <si>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</si>
  <si>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</si>
  <si>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=-3.756</t>
    </r>
  </si>
  <si>
    <t>Gradient (T/m)</t>
  </si>
  <si>
    <t xml:space="preserve"> Thu 20/11/2003       15:45:15</t>
  </si>
  <si>
    <t>LISSNER</t>
  </si>
  <si>
    <t>HCMQAP133</t>
  </si>
  <si>
    <t>Aperture2</t>
  </si>
  <si>
    <t>Position</t>
  </si>
  <si>
    <t>Integrales</t>
  </si>
  <si>
    <t>Cn (T)</t>
  </si>
  <si>
    <t>Angle (Horiz,Cn)</t>
  </si>
  <si>
    <t>b1</t>
  </si>
  <si>
    <t>b2</t>
  </si>
  <si>
    <t>b10!</t>
  </si>
  <si>
    <t>a1</t>
  </si>
  <si>
    <t>a2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</si>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</sst>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3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274716"/>
        <c:axId val="44928125"/>
      </c:lineChart>
      <c:catAx>
        <c:axId val="422747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4928125"/>
        <c:crosses val="autoZero"/>
        <c:auto val="1"/>
        <c:lblOffset val="100"/>
        <c:noMultiLvlLbl val="0"/>
      </c:catAx>
      <c:valAx>
        <c:axId val="4492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22747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2663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2663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75</v>
      </c>
      <c r="H4" s="25">
        <v>2663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2663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2663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3.30625079E-05</v>
      </c>
      <c r="L2" s="55">
        <v>6.427663460723036E-08</v>
      </c>
      <c r="M2" s="55">
        <v>7.349874E-05</v>
      </c>
      <c r="N2" s="56">
        <v>1.7511355107252834E-07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-3.18374921E-05</v>
      </c>
      <c r="L3" s="55">
        <v>1.2879707923996116E-07</v>
      </c>
      <c r="M3" s="55">
        <v>1.3183884E-05</v>
      </c>
      <c r="N3" s="56">
        <v>1.409542277974441E-07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-0.002253515742089399</v>
      </c>
      <c r="L4" s="55">
        <v>7.493220302875444E-06</v>
      </c>
      <c r="M4" s="55">
        <v>4.7064421093405634E-08</v>
      </c>
      <c r="N4" s="56">
        <v>-1.6625561000000002</v>
      </c>
    </row>
    <row r="5" spans="1:14" ht="15" customHeight="1" thickBot="1">
      <c r="A5" t="s">
        <v>18</v>
      </c>
      <c r="B5" s="59">
        <v>37945.63482638889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2663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0.03555798403</v>
      </c>
      <c r="E8" s="78">
        <v>0.010461205138008672</v>
      </c>
      <c r="F8" s="78">
        <v>-0.5788442500000001</v>
      </c>
      <c r="G8" s="78">
        <v>0.01839849928181598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0.31596524000000004</v>
      </c>
      <c r="E9" s="80">
        <v>0.015876124861293694</v>
      </c>
      <c r="F9" s="80">
        <v>1.5422809000000002</v>
      </c>
      <c r="G9" s="80">
        <v>0.01258107472912352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0.30318858</v>
      </c>
      <c r="E10" s="80">
        <v>0.013406979479556306</v>
      </c>
      <c r="F10" s="80">
        <v>0.9556421900000001</v>
      </c>
      <c r="G10" s="80">
        <v>0.007929228557653427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3.4750600000000005</v>
      </c>
      <c r="E11" s="78">
        <v>0.003690646650150214</v>
      </c>
      <c r="F11" s="78">
        <v>-0.77080624</v>
      </c>
      <c r="G11" s="78">
        <v>0.01043318190742245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0.17661164000000001</v>
      </c>
      <c r="E12" s="80">
        <v>0.0028141531408918765</v>
      </c>
      <c r="F12" s="80">
        <v>-0.0671401392</v>
      </c>
      <c r="G12" s="80">
        <v>0.008165223045644264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21.273804</v>
      </c>
      <c r="D13" s="83">
        <v>0.12475842399999999</v>
      </c>
      <c r="E13" s="80">
        <v>0.004780596872729271</v>
      </c>
      <c r="F13" s="80">
        <v>0.05373222500000001</v>
      </c>
      <c r="G13" s="80">
        <v>0.004625137933081523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0.055215215799999995</v>
      </c>
      <c r="E14" s="80">
        <v>0.0037241332771584795</v>
      </c>
      <c r="F14" s="80">
        <v>0.04336613</v>
      </c>
      <c r="G14" s="80">
        <v>0.002448108375634052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-0.30151333999999996</v>
      </c>
      <c r="E15" s="78">
        <v>0.0022704682608205447</v>
      </c>
      <c r="F15" s="78">
        <v>-0.028732594</v>
      </c>
      <c r="G15" s="78">
        <v>0.004208689240050161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12.516</v>
      </c>
      <c r="D16" s="83">
        <v>-0.003653010399999999</v>
      </c>
      <c r="E16" s="80">
        <v>0.0015067711705336825</v>
      </c>
      <c r="F16" s="80">
        <v>-0.02222250307</v>
      </c>
      <c r="G16" s="80">
        <v>0.0022605223545535437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-0.2199999988079071</v>
      </c>
      <c r="D17" s="83">
        <v>-0.0068714184999999995</v>
      </c>
      <c r="E17" s="80">
        <v>0.002268961445686198</v>
      </c>
      <c r="F17" s="80">
        <v>0.011560516900000001</v>
      </c>
      <c r="G17" s="80">
        <v>0.00209225181258551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83.9229965209961</v>
      </c>
      <c r="D18" s="83">
        <v>0.024852771</v>
      </c>
      <c r="E18" s="80">
        <v>0.0018462199066021498</v>
      </c>
      <c r="F18" s="80">
        <v>0.048347973</v>
      </c>
      <c r="G18" s="80">
        <v>0.002119930303228411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-0.4740000069141388</v>
      </c>
      <c r="D19" s="86">
        <v>-0.19289334</v>
      </c>
      <c r="E19" s="80">
        <v>0.0014479752841109526</v>
      </c>
      <c r="F19" s="80">
        <v>0.00133015458</v>
      </c>
      <c r="G19" s="80">
        <v>0.0007596007112219192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0.2512649</v>
      </c>
      <c r="D20" s="88">
        <v>-0.002746179294</v>
      </c>
      <c r="E20" s="89">
        <v>0.001154975293673752</v>
      </c>
      <c r="F20" s="89">
        <v>-0.00013787032000000003</v>
      </c>
      <c r="G20" s="89">
        <v>0.0007409074698727861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0.5536220999999999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-0.095257528194322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-2.2535282000000003</v>
      </c>
      <c r="I25" s="101" t="s">
        <v>49</v>
      </c>
      <c r="J25" s="102"/>
      <c r="K25" s="101"/>
      <c r="L25" s="104">
        <v>3.559520229359982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0.5799353722496502</v>
      </c>
      <c r="I26" s="106" t="s">
        <v>53</v>
      </c>
      <c r="J26" s="107"/>
      <c r="K26" s="106"/>
      <c r="L26" s="109">
        <v>0.3028792765375743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HCMQAP133_pos1ap2res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3.5150861E-05</v>
      </c>
      <c r="L2" s="55">
        <v>1.5206584093461243E-07</v>
      </c>
      <c r="M2" s="55">
        <v>5.7051276E-05</v>
      </c>
      <c r="N2" s="56">
        <v>1.6510328514033594E-07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-2.9481633000000003E-05</v>
      </c>
      <c r="L3" s="55">
        <v>1.6633829296624094E-07</v>
      </c>
      <c r="M3" s="55">
        <v>1.2234842000000002E-05</v>
      </c>
      <c r="N3" s="56">
        <v>1.5202672632143066E-07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-0.0037574990219578835</v>
      </c>
      <c r="L4" s="55">
        <v>-6.868734500195153E-06</v>
      </c>
      <c r="M4" s="55">
        <v>3.570662694690775E-08</v>
      </c>
      <c r="N4" s="56">
        <v>0.9140024800000001</v>
      </c>
    </row>
    <row r="5" spans="1:14" ht="15" customHeight="1" thickBot="1">
      <c r="A5" t="s">
        <v>18</v>
      </c>
      <c r="B5" s="59">
        <v>37945.639375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2663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-0.46372222999999996</v>
      </c>
      <c r="E8" s="78">
        <v>0.010181921173071394</v>
      </c>
      <c r="F8" s="78">
        <v>-0.102010289</v>
      </c>
      <c r="G8" s="78">
        <v>0.019102820299808688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0.7432491</v>
      </c>
      <c r="E9" s="80">
        <v>0.011699108686860629</v>
      </c>
      <c r="F9" s="80">
        <v>1.5513639000000001</v>
      </c>
      <c r="G9" s="80">
        <v>0.016582841244475687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0.53358843</v>
      </c>
      <c r="E10" s="80">
        <v>0.006160733167291866</v>
      </c>
      <c r="F10" s="80">
        <v>-0.020238002</v>
      </c>
      <c r="G10" s="80">
        <v>0.004702902307374243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3.4168931000000002</v>
      </c>
      <c r="E11" s="78">
        <v>0.003596297282171052</v>
      </c>
      <c r="F11" s="78">
        <v>0.116216166</v>
      </c>
      <c r="G11" s="78">
        <v>0.004070522020261753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0.121086714</v>
      </c>
      <c r="E12" s="80">
        <v>0.003986963480768678</v>
      </c>
      <c r="F12" s="80">
        <v>0.29577208</v>
      </c>
      <c r="G12" s="80">
        <v>0.0024775764393068556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21.23108</v>
      </c>
      <c r="D13" s="83">
        <v>0.091624167</v>
      </c>
      <c r="E13" s="80">
        <v>0.004179281174788875</v>
      </c>
      <c r="F13" s="80">
        <v>0.30260213</v>
      </c>
      <c r="G13" s="80">
        <v>0.002405944010488141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0.025230765999999998</v>
      </c>
      <c r="E14" s="80">
        <v>0.0037842129385070376</v>
      </c>
      <c r="F14" s="80">
        <v>-0.058818906000000004</v>
      </c>
      <c r="G14" s="80">
        <v>0.004335113284517831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0.022329454000000006</v>
      </c>
      <c r="E15" s="78">
        <v>0.001841863498917796</v>
      </c>
      <c r="F15" s="78">
        <v>0.12359433</v>
      </c>
      <c r="G15" s="78">
        <v>0.0040618466656930086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12.516</v>
      </c>
      <c r="D16" s="83">
        <v>0.012566987999999998</v>
      </c>
      <c r="E16" s="80">
        <v>0.0016376283333550152</v>
      </c>
      <c r="F16" s="80">
        <v>0.01238716607</v>
      </c>
      <c r="G16" s="80">
        <v>0.0027119615385743914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0.4790000021457672</v>
      </c>
      <c r="D17" s="83">
        <v>0.0068180266400000005</v>
      </c>
      <c r="E17" s="80">
        <v>0.0007994679788156685</v>
      </c>
      <c r="F17" s="80">
        <v>0.0272035156</v>
      </c>
      <c r="G17" s="80">
        <v>0.0016135982600950266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1.0169999599456787</v>
      </c>
      <c r="D18" s="83">
        <v>0.014377940799999999</v>
      </c>
      <c r="E18" s="80">
        <v>0.0011339120085342277</v>
      </c>
      <c r="F18" s="80">
        <v>0.031726779999999996</v>
      </c>
      <c r="G18" s="80">
        <v>0.00045679211445683916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0.41200000047683716</v>
      </c>
      <c r="D19" s="86">
        <v>-0.18381611999999997</v>
      </c>
      <c r="E19" s="80">
        <v>0.0005538673023452038</v>
      </c>
      <c r="F19" s="80">
        <v>0.023761032999999997</v>
      </c>
      <c r="G19" s="80">
        <v>0.0008097218032176858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0.15855959999999997</v>
      </c>
      <c r="D20" s="88">
        <v>-0.001481405104</v>
      </c>
      <c r="E20" s="89">
        <v>0.0005620023079826147</v>
      </c>
      <c r="F20" s="89">
        <v>-0.0042585704</v>
      </c>
      <c r="G20" s="89">
        <v>0.0012728731934181987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0.2584037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0.05236852880229438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-3.7575052999999996</v>
      </c>
      <c r="I25" s="101" t="s">
        <v>49</v>
      </c>
      <c r="J25" s="102"/>
      <c r="K25" s="101"/>
      <c r="L25" s="104">
        <v>3.418868914431694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0.4748098626377051</v>
      </c>
      <c r="I26" s="106" t="s">
        <v>53</v>
      </c>
      <c r="J26" s="107"/>
      <c r="K26" s="106"/>
      <c r="L26" s="109">
        <v>0.12559523448000331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HCMQAP133_pos2ap2res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5.573851700000001E-05</v>
      </c>
      <c r="L2" s="55">
        <v>7.313659990201915E-08</v>
      </c>
      <c r="M2" s="55">
        <v>6.7837159E-05</v>
      </c>
      <c r="N2" s="56">
        <v>2.7466378169255156E-07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-2.8636782999999997E-05</v>
      </c>
      <c r="L3" s="55">
        <v>1.2535159004225997E-07</v>
      </c>
      <c r="M3" s="55">
        <v>1.1006659E-05</v>
      </c>
      <c r="N3" s="56">
        <v>1.0086845995658148E-07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-0.003757687928174467</v>
      </c>
      <c r="L4" s="55">
        <v>-3.874790656507324E-05</v>
      </c>
      <c r="M4" s="55">
        <v>3.2453919240646777E-08</v>
      </c>
      <c r="N4" s="56">
        <v>5.1556348</v>
      </c>
    </row>
    <row r="5" spans="1:14" ht="15" customHeight="1" thickBot="1">
      <c r="A5" t="s">
        <v>18</v>
      </c>
      <c r="B5" s="59">
        <v>37945.64381944444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2663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-2.1653881999999998</v>
      </c>
      <c r="E8" s="78">
        <v>0.003916846724194425</v>
      </c>
      <c r="F8" s="78">
        <v>-0.50983561</v>
      </c>
      <c r="G8" s="78">
        <v>0.012454262453691774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-0.052868324</v>
      </c>
      <c r="E9" s="80">
        <v>0.010304513240150345</v>
      </c>
      <c r="F9" s="80">
        <v>-0.395312</v>
      </c>
      <c r="G9" s="80">
        <v>0.014677899995672712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0.64236573</v>
      </c>
      <c r="E10" s="80">
        <v>0.004542959426800354</v>
      </c>
      <c r="F10" s="80">
        <v>0.43264518</v>
      </c>
      <c r="G10" s="80">
        <v>0.0062383178816583715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2.9855238999999996</v>
      </c>
      <c r="E11" s="78">
        <v>0.004120835405721079</v>
      </c>
      <c r="F11" s="78">
        <v>-0.16449724000000002</v>
      </c>
      <c r="G11" s="78">
        <v>0.005308990835874598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0.030140473</v>
      </c>
      <c r="E12" s="80">
        <v>0.0032094043281746102</v>
      </c>
      <c r="F12" s="80">
        <v>0.059345310000000005</v>
      </c>
      <c r="G12" s="80">
        <v>0.004490679227890834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21.212769</v>
      </c>
      <c r="D13" s="83">
        <v>0.027526182399999998</v>
      </c>
      <c r="E13" s="80">
        <v>0.0033685261792097045</v>
      </c>
      <c r="F13" s="80">
        <v>-0.023281589000000002</v>
      </c>
      <c r="G13" s="80">
        <v>0.004608423471040174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-0.0177727321</v>
      </c>
      <c r="E14" s="80">
        <v>0.003190992861763349</v>
      </c>
      <c r="F14" s="80">
        <v>0.055631633</v>
      </c>
      <c r="G14" s="80">
        <v>0.002757516626382555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0.053981816</v>
      </c>
      <c r="E15" s="78">
        <v>0.0015758195927875044</v>
      </c>
      <c r="F15" s="78">
        <v>0.12554121999999998</v>
      </c>
      <c r="G15" s="78">
        <v>0.0012906133726267276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12.516</v>
      </c>
      <c r="D16" s="83">
        <v>0.023897103</v>
      </c>
      <c r="E16" s="80">
        <v>0.0011604663578346816</v>
      </c>
      <c r="F16" s="80">
        <v>0.016774132200000003</v>
      </c>
      <c r="G16" s="80">
        <v>0.0009804507249809846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-0.3449999988079071</v>
      </c>
      <c r="D17" s="83">
        <v>0.0002881253000000001</v>
      </c>
      <c r="E17" s="80">
        <v>0.0013593438069362952</v>
      </c>
      <c r="F17" s="80">
        <v>-0.009016384999999998</v>
      </c>
      <c r="G17" s="80">
        <v>0.0006467128219233258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21.871000289916992</v>
      </c>
      <c r="D18" s="83">
        <v>0.024285457</v>
      </c>
      <c r="E18" s="80">
        <v>0.0007694719130260448</v>
      </c>
      <c r="F18" s="80">
        <v>0.029014179</v>
      </c>
      <c r="G18" s="80">
        <v>0.0011585932571328964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-0.3880000114440918</v>
      </c>
      <c r="D19" s="86">
        <v>-0.18716896</v>
      </c>
      <c r="E19" s="80">
        <v>0.0006165983006751151</v>
      </c>
      <c r="F19" s="80">
        <v>0.026025367</v>
      </c>
      <c r="G19" s="80">
        <v>0.0013239755597351669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0.24897339999999998</v>
      </c>
      <c r="D20" s="88">
        <v>-0.00115671467</v>
      </c>
      <c r="E20" s="89">
        <v>0.0004577608067248786</v>
      </c>
      <c r="F20" s="89">
        <v>0.0009616774</v>
      </c>
      <c r="G20" s="89">
        <v>0.0010472037894268791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0.3094643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0.29539636426140903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-3.7578877000000004</v>
      </c>
      <c r="I25" s="101" t="s">
        <v>49</v>
      </c>
      <c r="J25" s="102"/>
      <c r="K25" s="101"/>
      <c r="L25" s="104">
        <v>2.990052223530356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2.224598481956533</v>
      </c>
      <c r="I26" s="106" t="s">
        <v>53</v>
      </c>
      <c r="J26" s="107"/>
      <c r="K26" s="106"/>
      <c r="L26" s="109">
        <v>0.1366551659387462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HCMQAP133_pos3ap2res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6.729481000000001E-05</v>
      </c>
      <c r="L2" s="55">
        <v>9.421558750588839E-08</v>
      </c>
      <c r="M2" s="55">
        <v>0.00011234122999999999</v>
      </c>
      <c r="N2" s="56">
        <v>2.2755179322718682E-07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-2.9626884E-05</v>
      </c>
      <c r="L3" s="55">
        <v>3.712075233918841E-08</v>
      </c>
      <c r="M3" s="55">
        <v>1.059511E-05</v>
      </c>
      <c r="N3" s="56">
        <v>1.530069913434862E-07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-0.0037526780810411132</v>
      </c>
      <c r="L4" s="55">
        <v>-7.017718263955519E-05</v>
      </c>
      <c r="M4" s="55">
        <v>7.411990844706501E-08</v>
      </c>
      <c r="N4" s="56">
        <v>9.349190400000001</v>
      </c>
    </row>
    <row r="5" spans="1:14" ht="15" customHeight="1" thickBot="1">
      <c r="A5" t="s">
        <v>18</v>
      </c>
      <c r="B5" s="59">
        <v>37945.648368055554</v>
      </c>
      <c r="D5" s="60"/>
      <c r="E5" s="61" t="s">
        <v>77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2663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-0.64613043</v>
      </c>
      <c r="E8" s="78">
        <v>0.011248160959757803</v>
      </c>
      <c r="F8" s="78">
        <v>-0.01759947613</v>
      </c>
      <c r="G8" s="78">
        <v>0.01284262279673794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0.163266008</v>
      </c>
      <c r="E9" s="80">
        <v>0.005372229075425718</v>
      </c>
      <c r="F9" s="80">
        <v>-0.5599144299999999</v>
      </c>
      <c r="G9" s="80">
        <v>0.010827190585910921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0.1179819543</v>
      </c>
      <c r="E10" s="80">
        <v>0.006132072927861794</v>
      </c>
      <c r="F10" s="80">
        <v>0.7163524600000001</v>
      </c>
      <c r="G10" s="80">
        <v>0.0048442572848977124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3.5879508</v>
      </c>
      <c r="E11" s="78">
        <v>0.005886346766799259</v>
      </c>
      <c r="F11" s="78">
        <v>-0.014739743160000002</v>
      </c>
      <c r="G11" s="78">
        <v>0.005196138315807934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0.17800027000000002</v>
      </c>
      <c r="E12" s="80">
        <v>0.0033920571735455247</v>
      </c>
      <c r="F12" s="80">
        <v>-0.17364046</v>
      </c>
      <c r="G12" s="80">
        <v>0.005432456381822148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21.206666</v>
      </c>
      <c r="D13" s="83">
        <v>0.20437027</v>
      </c>
      <c r="E13" s="80">
        <v>0.0037713484675374344</v>
      </c>
      <c r="F13" s="80">
        <v>-0.14834320399999998</v>
      </c>
      <c r="G13" s="80">
        <v>0.002488458531050089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0.00605197748</v>
      </c>
      <c r="E14" s="80">
        <v>0.0008456308126419338</v>
      </c>
      <c r="F14" s="80">
        <v>0.0031545943</v>
      </c>
      <c r="G14" s="80">
        <v>0.0016173468592240068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-0.014752354199999998</v>
      </c>
      <c r="E15" s="78">
        <v>0.0013781217004883047</v>
      </c>
      <c r="F15" s="78">
        <v>0.101259625</v>
      </c>
      <c r="G15" s="78">
        <v>0.0018394621277969291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12.516</v>
      </c>
      <c r="D16" s="83">
        <v>0.0077043246</v>
      </c>
      <c r="E16" s="80">
        <v>0.0017124763247330836</v>
      </c>
      <c r="F16" s="80">
        <v>-0.0022406832799999996</v>
      </c>
      <c r="G16" s="80">
        <v>0.0032718153336426183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0.3610000014305115</v>
      </c>
      <c r="D17" s="83">
        <v>-0.00436537491</v>
      </c>
      <c r="E17" s="80">
        <v>0.0010629292167790025</v>
      </c>
      <c r="F17" s="80">
        <v>-0.013707281600000001</v>
      </c>
      <c r="G17" s="80">
        <v>0.00234571236899939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0.030460431</v>
      </c>
      <c r="E18" s="80">
        <v>0.0010483851002537922</v>
      </c>
      <c r="F18" s="80">
        <v>0.040827214</v>
      </c>
      <c r="G18" s="80">
        <v>0.0015713879046956706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0.31700000166893005</v>
      </c>
      <c r="D19" s="86">
        <v>-0.17552280000000003</v>
      </c>
      <c r="E19" s="80">
        <v>0.0010452987836004138</v>
      </c>
      <c r="F19" s="80">
        <v>0.024458952</v>
      </c>
      <c r="G19" s="80">
        <v>0.0004782025967160363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0.2952301</v>
      </c>
      <c r="D20" s="88">
        <v>-0.00248897391</v>
      </c>
      <c r="E20" s="89">
        <v>0.0005371769548532662</v>
      </c>
      <c r="F20" s="89">
        <v>0.0047185091</v>
      </c>
      <c r="G20" s="89">
        <v>0.0006317435939344698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0.5144372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0.5356696042449843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-3.7533342</v>
      </c>
      <c r="I25" s="101" t="s">
        <v>49</v>
      </c>
      <c r="J25" s="102"/>
      <c r="K25" s="101"/>
      <c r="L25" s="104">
        <v>3.587981076211114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0.6463700752139098</v>
      </c>
      <c r="I26" s="106" t="s">
        <v>53</v>
      </c>
      <c r="J26" s="107"/>
      <c r="K26" s="106"/>
      <c r="L26" s="109">
        <v>0.10232860601797956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HCMQAP133_pos4ap2res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2.87643772E-05</v>
      </c>
      <c r="L2" s="55">
        <v>1.3853225460450455E-07</v>
      </c>
      <c r="M2" s="55">
        <v>7.0641868E-05</v>
      </c>
      <c r="N2" s="56">
        <v>8.467933134172817E-08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-3.2130038799999996E-05</v>
      </c>
      <c r="L3" s="55">
        <v>8.67286422494597E-08</v>
      </c>
      <c r="M3" s="55">
        <v>1.0380994000000001E-05</v>
      </c>
      <c r="N3" s="56">
        <v>1.1317308621759104E-07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-0.002085447608275818</v>
      </c>
      <c r="L4" s="55">
        <v>-5.402233986519803E-05</v>
      </c>
      <c r="M4" s="55">
        <v>4.650118189744646E-08</v>
      </c>
      <c r="N4" s="56">
        <v>12.949321000000001</v>
      </c>
    </row>
    <row r="5" spans="1:14" ht="15" customHeight="1" thickBot="1">
      <c r="A5" t="s">
        <v>18</v>
      </c>
      <c r="B5" s="59">
        <v>37945.65289351852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2663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-1.05034108</v>
      </c>
      <c r="E8" s="78">
        <v>0.02249379059693246</v>
      </c>
      <c r="F8" s="114">
        <v>8.821361999999999</v>
      </c>
      <c r="G8" s="78">
        <v>0.012416434605537577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-0.52617586</v>
      </c>
      <c r="E9" s="80">
        <v>0.003885058430112609</v>
      </c>
      <c r="F9" s="80">
        <v>0.12987863900000002</v>
      </c>
      <c r="G9" s="80">
        <v>0.018234095084362772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-0.89730653</v>
      </c>
      <c r="E10" s="80">
        <v>0.007874616398307306</v>
      </c>
      <c r="F10" s="80">
        <v>-0.11721216999999999</v>
      </c>
      <c r="G10" s="80">
        <v>0.007864219510708113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14.270217000000002</v>
      </c>
      <c r="E11" s="78">
        <v>0.010773785588606094</v>
      </c>
      <c r="F11" s="78">
        <v>0.47179029000000006</v>
      </c>
      <c r="G11" s="78">
        <v>0.007501587630587108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-0.11745591699999999</v>
      </c>
      <c r="E12" s="80">
        <v>0.010952757545963247</v>
      </c>
      <c r="F12" s="80">
        <v>0.26939126</v>
      </c>
      <c r="G12" s="80">
        <v>0.00435989389520113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21.228028</v>
      </c>
      <c r="D13" s="83">
        <v>0.009866392</v>
      </c>
      <c r="E13" s="80">
        <v>0.009484890730633433</v>
      </c>
      <c r="F13" s="80">
        <v>-0.106231886</v>
      </c>
      <c r="G13" s="80">
        <v>0.002924561112248554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0.137050141</v>
      </c>
      <c r="E14" s="80">
        <v>0.004879843365214364</v>
      </c>
      <c r="F14" s="80">
        <v>0.042991143999999995</v>
      </c>
      <c r="G14" s="80">
        <v>0.0035625298584144494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-0.32024776</v>
      </c>
      <c r="E15" s="78">
        <v>0.001647536539324532</v>
      </c>
      <c r="F15" s="78">
        <v>0.1912456</v>
      </c>
      <c r="G15" s="78">
        <v>0.0036228513252682774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12.516</v>
      </c>
      <c r="D16" s="83">
        <v>-0.05094043299999999</v>
      </c>
      <c r="E16" s="80">
        <v>0.003141315529351753</v>
      </c>
      <c r="F16" s="80">
        <v>0.022099644</v>
      </c>
      <c r="G16" s="80">
        <v>0.002424342696401234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-0.1679999977350235</v>
      </c>
      <c r="D17" s="83">
        <v>-0.0258887432</v>
      </c>
      <c r="E17" s="80">
        <v>0.0022754856341952357</v>
      </c>
      <c r="F17" s="80">
        <v>-0.025505953200000004</v>
      </c>
      <c r="G17" s="80">
        <v>0.002243054615568888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30.009000778198242</v>
      </c>
      <c r="D18" s="83">
        <v>0.009572198799999999</v>
      </c>
      <c r="E18" s="80">
        <v>0.003549390275329731</v>
      </c>
      <c r="F18" s="80">
        <v>0.023226625</v>
      </c>
      <c r="G18" s="80">
        <v>0.0018150706630596703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-0.21799999475479126</v>
      </c>
      <c r="D19" s="83">
        <v>-0.13290233</v>
      </c>
      <c r="E19" s="80">
        <v>0.0008911465819905761</v>
      </c>
      <c r="F19" s="80">
        <v>-0.019130979</v>
      </c>
      <c r="G19" s="80">
        <v>0.0017856139469924848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0.2193975</v>
      </c>
      <c r="D20" s="88">
        <v>-0.0040023069</v>
      </c>
      <c r="E20" s="89">
        <v>0.0013289132490623468</v>
      </c>
      <c r="F20" s="89">
        <v>0.0052655396999999994</v>
      </c>
      <c r="G20" s="89">
        <v>0.0014834909631653537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0.581539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0.7419420675517812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-2.0861472</v>
      </c>
      <c r="I25" s="101" t="s">
        <v>49</v>
      </c>
      <c r="J25" s="102"/>
      <c r="K25" s="101"/>
      <c r="L25" s="104">
        <v>14.278013843137543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8.883672884532588</v>
      </c>
      <c r="I26" s="106" t="s">
        <v>53</v>
      </c>
      <c r="J26" s="107"/>
      <c r="K26" s="106"/>
      <c r="L26" s="109">
        <v>0.3730060419140387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HCMQAP133_pos5ap2res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120</v>
      </c>
      <c r="B1" s="130" t="s">
        <v>68</v>
      </c>
      <c r="C1" s="120" t="s">
        <v>73</v>
      </c>
      <c r="D1" s="120" t="s">
        <v>75</v>
      </c>
      <c r="E1" s="120" t="s">
        <v>78</v>
      </c>
      <c r="F1" s="127" t="s">
        <v>81</v>
      </c>
      <c r="G1" s="160" t="s">
        <v>121</v>
      </c>
    </row>
    <row r="2" spans="1:7" ht="13.5" thickBot="1">
      <c r="A2" s="139" t="s">
        <v>90</v>
      </c>
      <c r="B2" s="131">
        <v>-2.2535282000000003</v>
      </c>
      <c r="C2" s="122">
        <v>-3.7575052999999996</v>
      </c>
      <c r="D2" s="122">
        <v>-3.7578877000000004</v>
      </c>
      <c r="E2" s="122">
        <v>-3.7533342</v>
      </c>
      <c r="F2" s="128">
        <v>-2.0861472</v>
      </c>
      <c r="G2" s="161">
        <v>3.1160771492649144</v>
      </c>
    </row>
    <row r="3" spans="1:7" ht="14.25" thickBot="1" thickTop="1">
      <c r="A3" s="147" t="s">
        <v>89</v>
      </c>
      <c r="B3" s="148" t="s">
        <v>84</v>
      </c>
      <c r="C3" s="149" t="s">
        <v>85</v>
      </c>
      <c r="D3" s="149" t="s">
        <v>86</v>
      </c>
      <c r="E3" s="149" t="s">
        <v>87</v>
      </c>
      <c r="F3" s="150" t="s">
        <v>88</v>
      </c>
      <c r="G3" s="156" t="s">
        <v>122</v>
      </c>
    </row>
    <row r="4" spans="1:7" ht="12.75">
      <c r="A4" s="144" t="s">
        <v>91</v>
      </c>
      <c r="B4" s="145">
        <v>0.03555798403</v>
      </c>
      <c r="C4" s="146">
        <v>-0.46372222999999996</v>
      </c>
      <c r="D4" s="146">
        <v>-2.1653881999999998</v>
      </c>
      <c r="E4" s="146">
        <v>-0.64613043</v>
      </c>
      <c r="F4" s="151">
        <v>-1.05034108</v>
      </c>
      <c r="G4" s="157">
        <v>-0.92359887253151</v>
      </c>
    </row>
    <row r="5" spans="1:7" ht="12.75">
      <c r="A5" s="139" t="s">
        <v>93</v>
      </c>
      <c r="B5" s="133">
        <v>0.31596524000000004</v>
      </c>
      <c r="C5" s="117">
        <v>0.7432491</v>
      </c>
      <c r="D5" s="117">
        <v>-0.052868324</v>
      </c>
      <c r="E5" s="117">
        <v>0.163266008</v>
      </c>
      <c r="F5" s="152">
        <v>-0.52617586</v>
      </c>
      <c r="G5" s="158">
        <v>0.18075119237557752</v>
      </c>
    </row>
    <row r="6" spans="1:7" ht="12.75">
      <c r="A6" s="139" t="s">
        <v>95</v>
      </c>
      <c r="B6" s="133">
        <v>0.30318858</v>
      </c>
      <c r="C6" s="117">
        <v>0.53358843</v>
      </c>
      <c r="D6" s="117">
        <v>0.64236573</v>
      </c>
      <c r="E6" s="117">
        <v>0.1179819543</v>
      </c>
      <c r="F6" s="152">
        <v>-0.89730653</v>
      </c>
      <c r="G6" s="158">
        <v>0.23532554467271155</v>
      </c>
    </row>
    <row r="7" spans="1:7" ht="12.75">
      <c r="A7" s="139" t="s">
        <v>97</v>
      </c>
      <c r="B7" s="132">
        <v>3.4750600000000005</v>
      </c>
      <c r="C7" s="116">
        <v>3.4168931000000002</v>
      </c>
      <c r="D7" s="116">
        <v>2.9855238999999996</v>
      </c>
      <c r="E7" s="116">
        <v>3.5879508</v>
      </c>
      <c r="F7" s="153">
        <v>14.270217000000002</v>
      </c>
      <c r="G7" s="158">
        <v>4.813173826310786</v>
      </c>
    </row>
    <row r="8" spans="1:7" ht="12.75">
      <c r="A8" s="139" t="s">
        <v>99</v>
      </c>
      <c r="B8" s="133">
        <v>0.17661164000000001</v>
      </c>
      <c r="C8" s="117">
        <v>0.121086714</v>
      </c>
      <c r="D8" s="117">
        <v>0.030140473</v>
      </c>
      <c r="E8" s="117">
        <v>0.17800027000000002</v>
      </c>
      <c r="F8" s="152">
        <v>-0.11745591699999999</v>
      </c>
      <c r="G8" s="158">
        <v>0.08901051554045422</v>
      </c>
    </row>
    <row r="9" spans="1:7" ht="12.75">
      <c r="A9" s="139" t="s">
        <v>101</v>
      </c>
      <c r="B9" s="133">
        <v>0.12475842399999999</v>
      </c>
      <c r="C9" s="117">
        <v>0.091624167</v>
      </c>
      <c r="D9" s="117">
        <v>0.027526182399999998</v>
      </c>
      <c r="E9" s="117">
        <v>0.20437027</v>
      </c>
      <c r="F9" s="152">
        <v>0.009866392</v>
      </c>
      <c r="G9" s="158">
        <v>0.09716035207537477</v>
      </c>
    </row>
    <row r="10" spans="1:7" ht="12.75">
      <c r="A10" s="139" t="s">
        <v>103</v>
      </c>
      <c r="B10" s="133">
        <v>0.055215215799999995</v>
      </c>
      <c r="C10" s="117">
        <v>0.025230765999999998</v>
      </c>
      <c r="D10" s="117">
        <v>-0.0177727321</v>
      </c>
      <c r="E10" s="117">
        <v>0.00605197748</v>
      </c>
      <c r="F10" s="152">
        <v>0.137050141</v>
      </c>
      <c r="G10" s="158">
        <v>0.029539711735045146</v>
      </c>
    </row>
    <row r="11" spans="1:7" ht="12.75">
      <c r="A11" s="139" t="s">
        <v>105</v>
      </c>
      <c r="B11" s="132">
        <v>-0.30151333999999996</v>
      </c>
      <c r="C11" s="116">
        <v>0.022329454000000006</v>
      </c>
      <c r="D11" s="116">
        <v>0.053981816</v>
      </c>
      <c r="E11" s="116">
        <v>-0.014752354199999998</v>
      </c>
      <c r="F11" s="154">
        <v>-0.32024776</v>
      </c>
      <c r="G11" s="158">
        <v>-0.07151037055032552</v>
      </c>
    </row>
    <row r="12" spans="1:7" ht="12.75">
      <c r="A12" s="139" t="s">
        <v>107</v>
      </c>
      <c r="B12" s="133">
        <v>-0.003653010399999999</v>
      </c>
      <c r="C12" s="117">
        <v>0.012566987999999998</v>
      </c>
      <c r="D12" s="117">
        <v>0.023897103</v>
      </c>
      <c r="E12" s="117">
        <v>0.0077043246</v>
      </c>
      <c r="F12" s="152">
        <v>-0.05094043299999999</v>
      </c>
      <c r="G12" s="158">
        <v>0.00329557457932434</v>
      </c>
    </row>
    <row r="13" spans="1:7" ht="12.75">
      <c r="A13" s="139" t="s">
        <v>109</v>
      </c>
      <c r="B13" s="133">
        <v>-0.0068714184999999995</v>
      </c>
      <c r="C13" s="117">
        <v>0.0068180266400000005</v>
      </c>
      <c r="D13" s="117">
        <v>0.0002881253000000001</v>
      </c>
      <c r="E13" s="117">
        <v>-0.00436537491</v>
      </c>
      <c r="F13" s="152">
        <v>-0.0258887432</v>
      </c>
      <c r="G13" s="158">
        <v>-0.003791282375763787</v>
      </c>
    </row>
    <row r="14" spans="1:7" ht="12.75">
      <c r="A14" s="139" t="s">
        <v>111</v>
      </c>
      <c r="B14" s="133">
        <v>0.024852771</v>
      </c>
      <c r="C14" s="117">
        <v>0.014377940799999999</v>
      </c>
      <c r="D14" s="117">
        <v>0.024285457</v>
      </c>
      <c r="E14" s="117">
        <v>0.030460431</v>
      </c>
      <c r="F14" s="152">
        <v>0.009572198799999999</v>
      </c>
      <c r="G14" s="158">
        <v>0.021500651344578396</v>
      </c>
    </row>
    <row r="15" spans="1:7" ht="12.75">
      <c r="A15" s="139" t="s">
        <v>113</v>
      </c>
      <c r="B15" s="134">
        <v>-0.19289334</v>
      </c>
      <c r="C15" s="119">
        <v>-0.18381611999999997</v>
      </c>
      <c r="D15" s="119">
        <v>-0.18716896</v>
      </c>
      <c r="E15" s="119">
        <v>-0.17552280000000003</v>
      </c>
      <c r="F15" s="152">
        <v>-0.13290233</v>
      </c>
      <c r="G15" s="158">
        <v>-0.17713472554431367</v>
      </c>
    </row>
    <row r="16" spans="1:7" ht="12.75">
      <c r="A16" s="139" t="s">
        <v>115</v>
      </c>
      <c r="B16" s="133">
        <v>-0.002746179294</v>
      </c>
      <c r="C16" s="117">
        <v>-0.001481405104</v>
      </c>
      <c r="D16" s="117">
        <v>-0.00115671467</v>
      </c>
      <c r="E16" s="117">
        <v>-0.00248897391</v>
      </c>
      <c r="F16" s="152">
        <v>-0.0040023069</v>
      </c>
      <c r="G16" s="158">
        <v>-0.0021650605087609096</v>
      </c>
    </row>
    <row r="17" spans="1:7" ht="12.75">
      <c r="A17" s="139" t="s">
        <v>92</v>
      </c>
      <c r="B17" s="132">
        <v>-0.5788442500000001</v>
      </c>
      <c r="C17" s="116">
        <v>-0.102010289</v>
      </c>
      <c r="D17" s="116">
        <v>-0.50983561</v>
      </c>
      <c r="E17" s="116">
        <v>-0.01759947613</v>
      </c>
      <c r="F17" s="153">
        <v>8.821361999999999</v>
      </c>
      <c r="G17" s="158">
        <v>0.9439115768726843</v>
      </c>
    </row>
    <row r="18" spans="1:7" ht="12.75">
      <c r="A18" s="139" t="s">
        <v>94</v>
      </c>
      <c r="B18" s="133">
        <v>1.5422809000000002</v>
      </c>
      <c r="C18" s="117">
        <v>1.5513639000000001</v>
      </c>
      <c r="D18" s="117">
        <v>-0.395312</v>
      </c>
      <c r="E18" s="117">
        <v>-0.5599144299999999</v>
      </c>
      <c r="F18" s="152">
        <v>0.12987863900000002</v>
      </c>
      <c r="G18" s="158">
        <v>0.38368394305672293</v>
      </c>
    </row>
    <row r="19" spans="1:7" ht="12.75">
      <c r="A19" s="139" t="s">
        <v>96</v>
      </c>
      <c r="B19" s="133">
        <v>0.9556421900000001</v>
      </c>
      <c r="C19" s="117">
        <v>-0.020238002</v>
      </c>
      <c r="D19" s="117">
        <v>0.43264518</v>
      </c>
      <c r="E19" s="117">
        <v>0.7163524600000001</v>
      </c>
      <c r="F19" s="152">
        <v>-0.11721216999999999</v>
      </c>
      <c r="G19" s="158">
        <v>0.3938610970994138</v>
      </c>
    </row>
    <row r="20" spans="1:7" ht="12.75">
      <c r="A20" s="139" t="s">
        <v>98</v>
      </c>
      <c r="B20" s="132">
        <v>-0.77080624</v>
      </c>
      <c r="C20" s="116">
        <v>0.116216166</v>
      </c>
      <c r="D20" s="116">
        <v>-0.16449724000000002</v>
      </c>
      <c r="E20" s="116">
        <v>-0.014739743160000002</v>
      </c>
      <c r="F20" s="154">
        <v>0.47179029000000006</v>
      </c>
      <c r="G20" s="158">
        <v>-0.06340252162615234</v>
      </c>
    </row>
    <row r="21" spans="1:7" ht="12.75">
      <c r="A21" s="139" t="s">
        <v>100</v>
      </c>
      <c r="B21" s="133">
        <v>-0.0671401392</v>
      </c>
      <c r="C21" s="117">
        <v>0.29577208</v>
      </c>
      <c r="D21" s="117">
        <v>0.059345310000000005</v>
      </c>
      <c r="E21" s="117">
        <v>-0.17364046</v>
      </c>
      <c r="F21" s="152">
        <v>0.26939126</v>
      </c>
      <c r="G21" s="158">
        <v>0.07004785469759253</v>
      </c>
    </row>
    <row r="22" spans="1:7" ht="12.75">
      <c r="A22" s="139" t="s">
        <v>102</v>
      </c>
      <c r="B22" s="133">
        <v>0.05373222500000001</v>
      </c>
      <c r="C22" s="117">
        <v>0.30260213</v>
      </c>
      <c r="D22" s="117">
        <v>-0.023281589000000002</v>
      </c>
      <c r="E22" s="117">
        <v>-0.14834320399999998</v>
      </c>
      <c r="F22" s="152">
        <v>-0.106231886</v>
      </c>
      <c r="G22" s="158">
        <v>0.02512938910049533</v>
      </c>
    </row>
    <row r="23" spans="1:7" ht="12.75">
      <c r="A23" s="139" t="s">
        <v>104</v>
      </c>
      <c r="B23" s="133">
        <v>0.04336613</v>
      </c>
      <c r="C23" s="117">
        <v>-0.058818906000000004</v>
      </c>
      <c r="D23" s="117">
        <v>0.055631633</v>
      </c>
      <c r="E23" s="117">
        <v>0.0031545943</v>
      </c>
      <c r="F23" s="152">
        <v>0.042991143999999995</v>
      </c>
      <c r="G23" s="158">
        <v>0.011999817110047521</v>
      </c>
    </row>
    <row r="24" spans="1:7" ht="12.75">
      <c r="A24" s="139" t="s">
        <v>106</v>
      </c>
      <c r="B24" s="132">
        <v>-0.028732594</v>
      </c>
      <c r="C24" s="116">
        <v>0.12359433</v>
      </c>
      <c r="D24" s="116">
        <v>0.12554121999999998</v>
      </c>
      <c r="E24" s="116">
        <v>0.101259625</v>
      </c>
      <c r="F24" s="154">
        <v>0.1912456</v>
      </c>
      <c r="G24" s="158">
        <v>0.10574138651522144</v>
      </c>
    </row>
    <row r="25" spans="1:7" ht="12.75">
      <c r="A25" s="139" t="s">
        <v>108</v>
      </c>
      <c r="B25" s="133">
        <v>-0.02222250307</v>
      </c>
      <c r="C25" s="117">
        <v>0.01238716607</v>
      </c>
      <c r="D25" s="117">
        <v>0.016774132200000003</v>
      </c>
      <c r="E25" s="117">
        <v>-0.0022406832799999996</v>
      </c>
      <c r="F25" s="152">
        <v>0.022099644</v>
      </c>
      <c r="G25" s="158">
        <v>0.0062270425517555635</v>
      </c>
    </row>
    <row r="26" spans="1:7" ht="12.75">
      <c r="A26" s="139" t="s">
        <v>110</v>
      </c>
      <c r="B26" s="133">
        <v>0.011560516900000001</v>
      </c>
      <c r="C26" s="117">
        <v>0.0272035156</v>
      </c>
      <c r="D26" s="117">
        <v>-0.009016384999999998</v>
      </c>
      <c r="E26" s="117">
        <v>-0.013707281600000001</v>
      </c>
      <c r="F26" s="152">
        <v>-0.025505953200000004</v>
      </c>
      <c r="G26" s="158">
        <v>-0.0006580070579052744</v>
      </c>
    </row>
    <row r="27" spans="1:7" ht="12.75">
      <c r="A27" s="139" t="s">
        <v>112</v>
      </c>
      <c r="B27" s="133">
        <v>0.048347973</v>
      </c>
      <c r="C27" s="117">
        <v>0.031726779999999996</v>
      </c>
      <c r="D27" s="117">
        <v>0.029014179</v>
      </c>
      <c r="E27" s="117">
        <v>0.040827214</v>
      </c>
      <c r="F27" s="152">
        <v>0.023226625</v>
      </c>
      <c r="G27" s="158">
        <v>0.034525725795033615</v>
      </c>
    </row>
    <row r="28" spans="1:7" ht="12.75">
      <c r="A28" s="139" t="s">
        <v>114</v>
      </c>
      <c r="B28" s="133">
        <v>0.00133015458</v>
      </c>
      <c r="C28" s="117">
        <v>0.023761032999999997</v>
      </c>
      <c r="D28" s="117">
        <v>0.026025367</v>
      </c>
      <c r="E28" s="117">
        <v>0.024458952</v>
      </c>
      <c r="F28" s="152">
        <v>-0.019130979</v>
      </c>
      <c r="G28" s="158">
        <v>0.015502722718614366</v>
      </c>
    </row>
    <row r="29" spans="1:7" ht="13.5" thickBot="1">
      <c r="A29" s="140" t="s">
        <v>116</v>
      </c>
      <c r="B29" s="135">
        <v>-0.00013787032000000003</v>
      </c>
      <c r="C29" s="118">
        <v>-0.0042585704</v>
      </c>
      <c r="D29" s="118">
        <v>0.0009616774</v>
      </c>
      <c r="E29" s="118">
        <v>0.0047185091</v>
      </c>
      <c r="F29" s="155">
        <v>0.0052655396999999994</v>
      </c>
      <c r="G29" s="159">
        <v>0.0010248590493191722</v>
      </c>
    </row>
    <row r="30" spans="1:7" ht="13.5" thickTop="1">
      <c r="A30" s="141" t="s">
        <v>117</v>
      </c>
      <c r="B30" s="136">
        <v>-0.095257528194322</v>
      </c>
      <c r="C30" s="125">
        <v>0.05236852880229438</v>
      </c>
      <c r="D30" s="125">
        <v>0.29539636426140903</v>
      </c>
      <c r="E30" s="125">
        <v>0.5356696042449843</v>
      </c>
      <c r="F30" s="121">
        <v>0.7419420675517812</v>
      </c>
      <c r="G30" s="160" t="s">
        <v>128</v>
      </c>
    </row>
    <row r="31" spans="1:7" ht="13.5" thickBot="1">
      <c r="A31" s="142" t="s">
        <v>118</v>
      </c>
      <c r="B31" s="131">
        <v>21.273804</v>
      </c>
      <c r="C31" s="122">
        <v>21.23108</v>
      </c>
      <c r="D31" s="122">
        <v>21.212769</v>
      </c>
      <c r="E31" s="122">
        <v>21.206666</v>
      </c>
      <c r="F31" s="123">
        <v>21.228028</v>
      </c>
      <c r="G31" s="162">
        <v>-209.82</v>
      </c>
    </row>
    <row r="32" spans="1:7" ht="15.75" thickBot="1" thickTop="1">
      <c r="A32" s="143" t="s">
        <v>119</v>
      </c>
      <c r="B32" s="137">
        <v>-0.34700000286102295</v>
      </c>
      <c r="C32" s="126">
        <v>0.4455000013113022</v>
      </c>
      <c r="D32" s="126">
        <v>-0.36650000512599945</v>
      </c>
      <c r="E32" s="126">
        <v>0.33900000154972076</v>
      </c>
      <c r="F32" s="124">
        <v>-0.19299999624490738</v>
      </c>
      <c r="G32" s="129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0.5" style="163" bestFit="1" customWidth="1"/>
    <col min="2" max="2" width="14.83203125" style="163" bestFit="1" customWidth="1"/>
    <col min="3" max="3" width="15.33203125" style="163" bestFit="1" customWidth="1"/>
    <col min="4" max="4" width="16" style="163" bestFit="1" customWidth="1"/>
    <col min="5" max="5" width="22.16015625" style="163" bestFit="1" customWidth="1"/>
    <col min="6" max="7" width="15.33203125" style="163" bestFit="1" customWidth="1"/>
    <col min="8" max="8" width="14.16015625" style="163" bestFit="1" customWidth="1"/>
    <col min="9" max="9" width="14.83203125" style="163" bestFit="1" customWidth="1"/>
    <col min="10" max="10" width="6.33203125" style="163" bestFit="1" customWidth="1"/>
    <col min="11" max="11" width="15" style="163" bestFit="1" customWidth="1"/>
    <col min="12" max="16384" width="10.66015625" style="163" customWidth="1"/>
  </cols>
  <sheetData>
    <row r="1" spans="1:5" ht="12.75">
      <c r="A1" s="163" t="s">
        <v>129</v>
      </c>
      <c r="B1" s="163" t="s">
        <v>130</v>
      </c>
      <c r="C1" s="163" t="s">
        <v>131</v>
      </c>
      <c r="D1" s="163" t="s">
        <v>132</v>
      </c>
      <c r="E1" s="163" t="s">
        <v>28</v>
      </c>
    </row>
    <row r="3" spans="1:7" ht="12.75">
      <c r="A3" s="163" t="s">
        <v>133</v>
      </c>
      <c r="B3" s="163" t="s">
        <v>84</v>
      </c>
      <c r="C3" s="163" t="s">
        <v>85</v>
      </c>
      <c r="D3" s="163" t="s">
        <v>86</v>
      </c>
      <c r="E3" s="163" t="s">
        <v>87</v>
      </c>
      <c r="F3" s="163" t="s">
        <v>88</v>
      </c>
      <c r="G3" s="163" t="s">
        <v>134</v>
      </c>
    </row>
    <row r="4" spans="1:7" ht="12.75">
      <c r="A4" s="163" t="s">
        <v>135</v>
      </c>
      <c r="B4" s="163">
        <f>0.002251*1.0033</f>
        <v>0.0022584283000000004</v>
      </c>
      <c r="C4" s="163">
        <f>0.003753*1.0033</f>
        <v>0.0037653849</v>
      </c>
      <c r="D4" s="163">
        <f>0.003753*1.0033</f>
        <v>0.0037653849</v>
      </c>
      <c r="E4" s="163">
        <f>0.003748*1.0033</f>
        <v>0.0037603684</v>
      </c>
      <c r="F4" s="163">
        <f>0.002083*1.0033</f>
        <v>0.0020898739</v>
      </c>
      <c r="G4" s="163">
        <f>0.011689*1.0033</f>
        <v>0.0117275737</v>
      </c>
    </row>
    <row r="5" spans="1:7" ht="12.75">
      <c r="A5" s="163" t="s">
        <v>136</v>
      </c>
      <c r="B5" s="163">
        <v>7.005143</v>
      </c>
      <c r="C5" s="163">
        <v>4.541167</v>
      </c>
      <c r="D5" s="163">
        <v>-0.413822</v>
      </c>
      <c r="E5" s="163">
        <v>-3.829215</v>
      </c>
      <c r="F5" s="163">
        <v>-8.109024</v>
      </c>
      <c r="G5" s="163">
        <v>5.166249</v>
      </c>
    </row>
    <row r="6" spans="1:7" ht="12.75">
      <c r="A6" s="163" t="s">
        <v>137</v>
      </c>
      <c r="B6" s="164">
        <v>-8.732653</v>
      </c>
      <c r="C6" s="164">
        <v>44.74213</v>
      </c>
      <c r="D6" s="164">
        <v>-7.575487</v>
      </c>
      <c r="E6" s="164">
        <v>-36.07846</v>
      </c>
      <c r="F6" s="164">
        <v>7.397309</v>
      </c>
      <c r="G6" s="164">
        <v>-0.0007214841</v>
      </c>
    </row>
    <row r="7" spans="1:7" ht="12.75">
      <c r="A7" s="163" t="s">
        <v>138</v>
      </c>
      <c r="B7" s="164">
        <v>10000</v>
      </c>
      <c r="C7" s="164">
        <v>10000</v>
      </c>
      <c r="D7" s="164">
        <v>10000</v>
      </c>
      <c r="E7" s="164">
        <v>10000</v>
      </c>
      <c r="F7" s="164">
        <v>10000</v>
      </c>
      <c r="G7" s="164">
        <v>10000</v>
      </c>
    </row>
    <row r="8" spans="1:7" ht="12.75">
      <c r="A8" s="163" t="s">
        <v>91</v>
      </c>
      <c r="B8" s="164">
        <v>0.08113379</v>
      </c>
      <c r="C8" s="164">
        <v>-0.496683</v>
      </c>
      <c r="D8" s="164">
        <v>-2.158814</v>
      </c>
      <c r="E8" s="164">
        <v>-0.6586476</v>
      </c>
      <c r="F8" s="164">
        <v>-0.8346236</v>
      </c>
      <c r="G8" s="164">
        <v>-0.8975647</v>
      </c>
    </row>
    <row r="9" spans="1:7" ht="12.75">
      <c r="A9" s="163" t="s">
        <v>93</v>
      </c>
      <c r="B9" s="164">
        <v>0.2967397</v>
      </c>
      <c r="C9" s="164">
        <v>0.7213184</v>
      </c>
      <c r="D9" s="164">
        <v>-0.068581</v>
      </c>
      <c r="E9" s="164">
        <v>0.1671706</v>
      </c>
      <c r="F9" s="164">
        <v>-0.5700496</v>
      </c>
      <c r="G9" s="164">
        <v>0.1640021</v>
      </c>
    </row>
    <row r="10" spans="1:7" ht="12.75">
      <c r="A10" s="163" t="s">
        <v>95</v>
      </c>
      <c r="B10" s="164">
        <v>0.2296076</v>
      </c>
      <c r="C10" s="164">
        <v>0.6013562</v>
      </c>
      <c r="D10" s="164">
        <v>0.6374851</v>
      </c>
      <c r="E10" s="164">
        <v>0.0658574</v>
      </c>
      <c r="F10" s="164">
        <v>-0.8448634</v>
      </c>
      <c r="G10" s="164">
        <v>0.2343433</v>
      </c>
    </row>
    <row r="11" spans="1:7" ht="12.75">
      <c r="A11" s="163" t="s">
        <v>97</v>
      </c>
      <c r="B11" s="164">
        <v>3.498576</v>
      </c>
      <c r="C11" s="164">
        <v>3.397202</v>
      </c>
      <c r="D11" s="164">
        <v>2.982042</v>
      </c>
      <c r="E11" s="164">
        <v>3.575969</v>
      </c>
      <c r="F11" s="164">
        <v>14.29171</v>
      </c>
      <c r="G11" s="164">
        <v>4.810779</v>
      </c>
    </row>
    <row r="12" spans="1:7" ht="12.75">
      <c r="A12" s="163" t="s">
        <v>99</v>
      </c>
      <c r="B12" s="164">
        <v>0.1751364</v>
      </c>
      <c r="C12" s="164">
        <v>0.09121931</v>
      </c>
      <c r="D12" s="164">
        <v>0.0282876</v>
      </c>
      <c r="E12" s="164">
        <v>0.1590332</v>
      </c>
      <c r="F12" s="164">
        <v>-0.1168387</v>
      </c>
      <c r="G12" s="164">
        <v>0.07668589</v>
      </c>
    </row>
    <row r="13" spans="1:7" ht="12.75">
      <c r="A13" s="163" t="s">
        <v>101</v>
      </c>
      <c r="B13" s="164">
        <v>0.1288999</v>
      </c>
      <c r="C13" s="164">
        <v>0.08540487</v>
      </c>
      <c r="D13" s="164">
        <v>0.02443328</v>
      </c>
      <c r="E13" s="164">
        <v>0.1994823</v>
      </c>
      <c r="F13" s="164">
        <v>0.009707043</v>
      </c>
      <c r="G13" s="164">
        <v>0.09432059</v>
      </c>
    </row>
    <row r="14" spans="1:7" ht="12.75">
      <c r="A14" s="163" t="s">
        <v>103</v>
      </c>
      <c r="B14" s="164">
        <v>0.05405264</v>
      </c>
      <c r="C14" s="164">
        <v>0.01873126</v>
      </c>
      <c r="D14" s="164">
        <v>-0.02419389</v>
      </c>
      <c r="E14" s="164">
        <v>0.01260288</v>
      </c>
      <c r="F14" s="164">
        <v>0.1588769</v>
      </c>
      <c r="G14" s="164">
        <v>0.03075066</v>
      </c>
    </row>
    <row r="15" spans="1:7" ht="12.75">
      <c r="A15" s="163" t="s">
        <v>139</v>
      </c>
      <c r="B15" s="164">
        <v>-0.3014748</v>
      </c>
      <c r="C15" s="164">
        <v>0.01527638</v>
      </c>
      <c r="D15" s="164">
        <v>0.05298075</v>
      </c>
      <c r="E15" s="164">
        <v>-0.01101898</v>
      </c>
      <c r="F15" s="164">
        <v>-0.3012884</v>
      </c>
      <c r="G15" s="164">
        <v>-0.07000422</v>
      </c>
    </row>
    <row r="16" spans="1:7" ht="12.75">
      <c r="A16" s="163" t="s">
        <v>107</v>
      </c>
      <c r="B16" s="164">
        <v>-0.001977664</v>
      </c>
      <c r="C16" s="164">
        <v>0.009519936</v>
      </c>
      <c r="D16" s="164">
        <v>0.025055</v>
      </c>
      <c r="E16" s="164">
        <v>0.00720921</v>
      </c>
      <c r="F16" s="164">
        <v>-0.05240482</v>
      </c>
      <c r="G16" s="164">
        <v>0.002769322</v>
      </c>
    </row>
    <row r="17" spans="1:7" ht="12.75">
      <c r="A17" s="163" t="s">
        <v>109</v>
      </c>
      <c r="B17" s="164">
        <v>-0.001789585</v>
      </c>
      <c r="C17" s="164">
        <v>0.00291719</v>
      </c>
      <c r="D17" s="164">
        <v>-0.001557515</v>
      </c>
      <c r="E17" s="164">
        <v>-0.003245563</v>
      </c>
      <c r="F17" s="164">
        <v>-0.02437753</v>
      </c>
      <c r="G17" s="164">
        <v>-0.003969304</v>
      </c>
    </row>
    <row r="18" spans="1:7" ht="12.75">
      <c r="A18" s="163" t="s">
        <v>111</v>
      </c>
      <c r="B18" s="164">
        <v>0.02072986</v>
      </c>
      <c r="C18" s="164">
        <v>0.00864623</v>
      </c>
      <c r="D18" s="164">
        <v>0.02435995</v>
      </c>
      <c r="E18" s="164">
        <v>0.03580465</v>
      </c>
      <c r="F18" s="164">
        <v>0.01155697</v>
      </c>
      <c r="G18" s="164">
        <v>0.02109428</v>
      </c>
    </row>
    <row r="19" spans="1:7" ht="12.75">
      <c r="A19" s="163" t="s">
        <v>113</v>
      </c>
      <c r="B19" s="164">
        <v>-0.1921396</v>
      </c>
      <c r="C19" s="164">
        <v>-0.1849468</v>
      </c>
      <c r="D19" s="164">
        <v>-0.1870269</v>
      </c>
      <c r="E19" s="164">
        <v>-0.1739571</v>
      </c>
      <c r="F19" s="164">
        <v>-0.134207</v>
      </c>
      <c r="G19" s="164">
        <v>-0.1770626</v>
      </c>
    </row>
    <row r="20" spans="1:7" ht="12.75">
      <c r="A20" s="163" t="s">
        <v>115</v>
      </c>
      <c r="B20" s="164">
        <v>-0.002714012</v>
      </c>
      <c r="C20" s="164">
        <v>-0.001186775</v>
      </c>
      <c r="D20" s="164">
        <v>-0.001147556</v>
      </c>
      <c r="E20" s="164">
        <v>-0.002214442</v>
      </c>
      <c r="F20" s="164">
        <v>-0.003336754</v>
      </c>
      <c r="G20" s="164">
        <v>-0.001932262</v>
      </c>
    </row>
    <row r="21" spans="1:7" ht="12.75">
      <c r="A21" s="163" t="s">
        <v>140</v>
      </c>
      <c r="B21" s="164">
        <v>-79.92427</v>
      </c>
      <c r="C21" s="164">
        <v>93.99901</v>
      </c>
      <c r="D21" s="164">
        <v>63.74014</v>
      </c>
      <c r="E21" s="164">
        <v>-56.29819</v>
      </c>
      <c r="F21" s="164">
        <v>-96.53147</v>
      </c>
      <c r="G21" s="164">
        <v>-0.0009888563</v>
      </c>
    </row>
    <row r="22" spans="1:7" ht="12.75">
      <c r="A22" s="163" t="s">
        <v>141</v>
      </c>
      <c r="B22" s="164">
        <v>140.112</v>
      </c>
      <c r="C22" s="164">
        <v>90.82583</v>
      </c>
      <c r="D22" s="164">
        <v>-8.276448</v>
      </c>
      <c r="E22" s="164">
        <v>-76.5858</v>
      </c>
      <c r="F22" s="164">
        <v>-162.1947</v>
      </c>
      <c r="G22" s="164">
        <v>0</v>
      </c>
    </row>
    <row r="23" spans="1:7" ht="12.75">
      <c r="A23" s="163" t="s">
        <v>92</v>
      </c>
      <c r="B23" s="164">
        <v>-0.5805142</v>
      </c>
      <c r="C23" s="164">
        <v>-0.06153647</v>
      </c>
      <c r="D23" s="164">
        <v>-0.5023912</v>
      </c>
      <c r="E23" s="164">
        <v>-0.001629091</v>
      </c>
      <c r="F23" s="164">
        <v>8.868774</v>
      </c>
      <c r="G23" s="164">
        <v>0.9652195</v>
      </c>
    </row>
    <row r="24" spans="1:7" ht="12.75">
      <c r="A24" s="163" t="s">
        <v>94</v>
      </c>
      <c r="B24" s="164">
        <v>1.549777</v>
      </c>
      <c r="C24" s="164">
        <v>1.588939</v>
      </c>
      <c r="D24" s="164">
        <v>-0.3787588</v>
      </c>
      <c r="E24" s="164">
        <v>-0.5727854</v>
      </c>
      <c r="F24" s="164">
        <v>0.202572</v>
      </c>
      <c r="G24" s="164">
        <v>0.4044122</v>
      </c>
    </row>
    <row r="25" spans="1:7" ht="12.75">
      <c r="A25" s="163" t="s">
        <v>96</v>
      </c>
      <c r="B25" s="164">
        <v>0.8260981</v>
      </c>
      <c r="C25" s="164">
        <v>0.1544359</v>
      </c>
      <c r="D25" s="164">
        <v>0.525749</v>
      </c>
      <c r="E25" s="164">
        <v>0.6134187</v>
      </c>
      <c r="F25" s="164">
        <v>-0.7728518</v>
      </c>
      <c r="G25" s="164">
        <v>0.3272614</v>
      </c>
    </row>
    <row r="26" spans="1:7" ht="12.75">
      <c r="A26" s="163" t="s">
        <v>98</v>
      </c>
      <c r="B26" s="164">
        <v>-0.6354702</v>
      </c>
      <c r="C26" s="164">
        <v>0.2217303</v>
      </c>
      <c r="D26" s="164">
        <v>-0.1723038</v>
      </c>
      <c r="E26" s="164">
        <v>-0.09986485</v>
      </c>
      <c r="F26" s="164">
        <v>-0.2191443</v>
      </c>
      <c r="G26" s="164">
        <v>-0.1331671</v>
      </c>
    </row>
    <row r="27" spans="1:7" ht="12.75">
      <c r="A27" s="163" t="s">
        <v>100</v>
      </c>
      <c r="B27" s="164">
        <v>-0.07358169</v>
      </c>
      <c r="C27" s="164">
        <v>0.309158</v>
      </c>
      <c r="D27" s="164">
        <v>0.05499612</v>
      </c>
      <c r="E27" s="164">
        <v>-0.1877765</v>
      </c>
      <c r="F27" s="164">
        <v>0.268543</v>
      </c>
      <c r="G27" s="164">
        <v>0.06777779</v>
      </c>
    </row>
    <row r="28" spans="1:7" ht="12.75">
      <c r="A28" s="163" t="s">
        <v>102</v>
      </c>
      <c r="B28" s="164">
        <v>0.0576083</v>
      </c>
      <c r="C28" s="164">
        <v>0.3063392</v>
      </c>
      <c r="D28" s="164">
        <v>-0.02417715</v>
      </c>
      <c r="E28" s="164">
        <v>-0.1541507</v>
      </c>
      <c r="F28" s="164">
        <v>-0.1188242</v>
      </c>
      <c r="G28" s="164">
        <v>0.02329627</v>
      </c>
    </row>
    <row r="29" spans="1:7" ht="12.75">
      <c r="A29" s="163" t="s">
        <v>104</v>
      </c>
      <c r="B29" s="164">
        <v>0.06961742</v>
      </c>
      <c r="C29" s="164">
        <v>-0.05122496</v>
      </c>
      <c r="D29" s="164">
        <v>0.05805089</v>
      </c>
      <c r="E29" s="164">
        <v>0.0003189767</v>
      </c>
      <c r="F29" s="164">
        <v>0.06036898</v>
      </c>
      <c r="G29" s="164">
        <v>0.01984025</v>
      </c>
    </row>
    <row r="30" spans="1:7" ht="12.75">
      <c r="A30" s="163" t="s">
        <v>106</v>
      </c>
      <c r="B30" s="164">
        <v>-0.05141091</v>
      </c>
      <c r="C30" s="164">
        <v>0.1255467</v>
      </c>
      <c r="D30" s="164">
        <v>0.1261234</v>
      </c>
      <c r="E30" s="164">
        <v>0.1007034</v>
      </c>
      <c r="F30" s="164">
        <v>0.2197184</v>
      </c>
      <c r="G30" s="164">
        <v>0.1067482</v>
      </c>
    </row>
    <row r="31" spans="1:7" ht="12.75">
      <c r="A31" s="163" t="s">
        <v>108</v>
      </c>
      <c r="B31" s="164">
        <v>-0.0187595</v>
      </c>
      <c r="C31" s="164">
        <v>0.01716636</v>
      </c>
      <c r="D31" s="164">
        <v>0.01906324</v>
      </c>
      <c r="E31" s="164">
        <v>0.0005341865</v>
      </c>
      <c r="F31" s="164">
        <v>0.03188182</v>
      </c>
      <c r="G31" s="164">
        <v>0.01040321</v>
      </c>
    </row>
    <row r="32" spans="1:7" ht="12.75">
      <c r="A32" s="163" t="s">
        <v>110</v>
      </c>
      <c r="B32" s="164">
        <v>0.009093959</v>
      </c>
      <c r="C32" s="164">
        <v>0.03044505</v>
      </c>
      <c r="D32" s="164">
        <v>-0.007194165</v>
      </c>
      <c r="E32" s="164">
        <v>-0.01745763</v>
      </c>
      <c r="F32" s="164">
        <v>-0.02321518</v>
      </c>
      <c r="G32" s="164">
        <v>-0.0003902571</v>
      </c>
    </row>
    <row r="33" spans="1:7" ht="12.75">
      <c r="A33" s="163" t="s">
        <v>112</v>
      </c>
      <c r="B33" s="164">
        <v>0.05657001</v>
      </c>
      <c r="C33" s="164">
        <v>0.02573499</v>
      </c>
      <c r="D33" s="164">
        <v>0.02399637</v>
      </c>
      <c r="E33" s="164">
        <v>0.04273702</v>
      </c>
      <c r="F33" s="164">
        <v>0.02730618</v>
      </c>
      <c r="G33" s="164">
        <v>0.03406655</v>
      </c>
    </row>
    <row r="34" spans="1:7" ht="12.75">
      <c r="A34" s="163" t="s">
        <v>114</v>
      </c>
      <c r="B34" s="164">
        <v>-0.01754922</v>
      </c>
      <c r="C34" s="164">
        <v>0.0120148</v>
      </c>
      <c r="D34" s="164">
        <v>0.02710292</v>
      </c>
      <c r="E34" s="164">
        <v>0.03383014</v>
      </c>
      <c r="F34" s="164">
        <v>-0.003942811</v>
      </c>
      <c r="G34" s="164">
        <v>0.01449393</v>
      </c>
    </row>
    <row r="35" spans="1:7" ht="12.75">
      <c r="A35" s="163" t="s">
        <v>116</v>
      </c>
      <c r="B35" s="164">
        <v>-0.000425686</v>
      </c>
      <c r="C35" s="164">
        <v>-0.004349651</v>
      </c>
      <c r="D35" s="164">
        <v>0.0009691155</v>
      </c>
      <c r="E35" s="164">
        <v>0.004853828</v>
      </c>
      <c r="F35" s="164">
        <v>0.005713019</v>
      </c>
      <c r="G35" s="164">
        <v>0.001055427</v>
      </c>
    </row>
    <row r="36" spans="1:6" ht="12.75">
      <c r="A36" s="163" t="s">
        <v>142</v>
      </c>
      <c r="B36" s="164">
        <v>21.22803</v>
      </c>
      <c r="C36" s="164">
        <v>21.22498</v>
      </c>
      <c r="D36" s="164">
        <v>21.23413</v>
      </c>
      <c r="E36" s="164">
        <v>21.23718</v>
      </c>
      <c r="F36" s="164">
        <v>21.24939</v>
      </c>
    </row>
    <row r="37" spans="1:6" ht="12.75">
      <c r="A37" s="163" t="s">
        <v>143</v>
      </c>
      <c r="B37" s="164">
        <v>-0.1902262</v>
      </c>
      <c r="C37" s="164">
        <v>-0.1846314</v>
      </c>
      <c r="D37" s="164">
        <v>-0.1805623</v>
      </c>
      <c r="E37" s="164">
        <v>-0.1790365</v>
      </c>
      <c r="F37" s="164">
        <v>-0.1749675</v>
      </c>
    </row>
    <row r="38" spans="1:7" ht="12.75">
      <c r="A38" s="163" t="s">
        <v>144</v>
      </c>
      <c r="B38" s="164">
        <v>1.674594E-05</v>
      </c>
      <c r="C38" s="164">
        <v>-7.75066E-05</v>
      </c>
      <c r="D38" s="164">
        <v>1.2968E-05</v>
      </c>
      <c r="E38" s="164">
        <v>6.059685E-05</v>
      </c>
      <c r="F38" s="164">
        <v>-1.523309E-05</v>
      </c>
      <c r="G38" s="164">
        <v>0.0002353264</v>
      </c>
    </row>
    <row r="39" spans="1:7" ht="12.75">
      <c r="A39" s="163" t="s">
        <v>145</v>
      </c>
      <c r="B39" s="164">
        <v>0.0001356366</v>
      </c>
      <c r="C39" s="164">
        <v>-0.0001590944</v>
      </c>
      <c r="D39" s="164">
        <v>-0.0001083475</v>
      </c>
      <c r="E39" s="164">
        <v>9.617101E-05</v>
      </c>
      <c r="F39" s="164">
        <v>0.0001638564</v>
      </c>
      <c r="G39" s="164">
        <v>0.0004178477</v>
      </c>
    </row>
    <row r="40" spans="2:5" ht="12.75">
      <c r="B40" s="163" t="s">
        <v>146</v>
      </c>
      <c r="C40" s="163">
        <v>-0.003751</v>
      </c>
      <c r="D40" s="163" t="s">
        <v>147</v>
      </c>
      <c r="E40" s="163">
        <v>3.116077</v>
      </c>
    </row>
    <row r="42" ht="12.75">
      <c r="A42" s="163" t="s">
        <v>148</v>
      </c>
    </row>
    <row r="50" spans="1:7" ht="12.75">
      <c r="A50" s="163" t="s">
        <v>149</v>
      </c>
      <c r="B50" s="163">
        <f>-0.017/(B7*B7+B22*B22)*(B21*B22+B6*B7)</f>
        <v>1.6745942025835708E-05</v>
      </c>
      <c r="C50" s="163">
        <f>-0.017/(C7*C7+C22*C22)*(C21*C22+C6*C7)</f>
        <v>-7.750660870040796E-05</v>
      </c>
      <c r="D50" s="163">
        <f>-0.017/(D7*D7+D22*D22)*(D21*D22+D6*D7)</f>
        <v>1.2968001149190049E-05</v>
      </c>
      <c r="E50" s="163">
        <f>-0.017/(E7*E7+E22*E22)*(E21*E22+E6*E7)</f>
        <v>6.059684863532476E-05</v>
      </c>
      <c r="F50" s="163">
        <f>-0.017/(F7*F7+F22*F22)*(F21*F22+F6*F7)</f>
        <v>-1.5233089691632783E-05</v>
      </c>
      <c r="G50" s="163">
        <f>(B50*B$4+C50*C$4+D50*D$4+E50*E$4+F50*F$4)/SUM(B$4:F$4)</f>
        <v>-5.858234399562832E-07</v>
      </c>
    </row>
    <row r="51" spans="1:7" ht="12.75">
      <c r="A51" s="163" t="s">
        <v>150</v>
      </c>
      <c r="B51" s="163">
        <f>-0.017/(B7*B7+B22*B22)*(B21*B7-B6*B22)</f>
        <v>0.00013563662825708762</v>
      </c>
      <c r="C51" s="163">
        <f>-0.017/(C7*C7+C22*C22)*(C21*C7-C6*C22)</f>
        <v>-0.00015909435679343004</v>
      </c>
      <c r="D51" s="163">
        <f>-0.017/(D7*D7+D22*D22)*(D21*D7-D6*D22)</f>
        <v>-0.0001083475051012825</v>
      </c>
      <c r="E51" s="163">
        <f>-0.017/(E7*E7+E22*E22)*(E21*E7-E6*E22)</f>
        <v>9.617100881302152E-05</v>
      </c>
      <c r="F51" s="163">
        <f>-0.017/(F7*F7+F22*F22)*(F21*F7-F6*F22)</f>
        <v>0.00016385642635873926</v>
      </c>
      <c r="G51" s="163">
        <f>(B51*B$4+C51*C$4+D51*D$4+E51*E$4+F51*F$4)/SUM(B$4:F$4)</f>
        <v>2.1623169439997364E-07</v>
      </c>
    </row>
    <row r="58" ht="12.75">
      <c r="A58" s="163" t="s">
        <v>152</v>
      </c>
    </row>
    <row r="60" spans="2:6" ht="12.75">
      <c r="B60" s="163" t="s">
        <v>84</v>
      </c>
      <c r="C60" s="163" t="s">
        <v>85</v>
      </c>
      <c r="D60" s="163" t="s">
        <v>86</v>
      </c>
      <c r="E60" s="163" t="s">
        <v>87</v>
      </c>
      <c r="F60" s="163" t="s">
        <v>88</v>
      </c>
    </row>
    <row r="61" spans="1:6" ht="12.75">
      <c r="A61" s="163" t="s">
        <v>154</v>
      </c>
      <c r="B61" s="163">
        <f>B6+(1/0.017)*(B7*B50-B22*B51)</f>
        <v>0</v>
      </c>
      <c r="C61" s="163">
        <f>C6+(1/0.017)*(C7*C50-C22*C51)</f>
        <v>0</v>
      </c>
      <c r="D61" s="163">
        <f>D6+(1/0.017)*(D7*D50-D22*D51)</f>
        <v>0</v>
      </c>
      <c r="E61" s="163">
        <f>E6+(1/0.017)*(E7*E50-E22*E51)</f>
        <v>0</v>
      </c>
      <c r="F61" s="163">
        <f>F6+(1/0.017)*(F7*F50-F22*F51)</f>
        <v>0</v>
      </c>
    </row>
    <row r="62" spans="1:6" ht="12.75">
      <c r="A62" s="163" t="s">
        <v>157</v>
      </c>
      <c r="B62" s="163">
        <f>B7+(2/0.017)*(B8*B50-B23*B51)</f>
        <v>10000.009423253</v>
      </c>
      <c r="C62" s="163">
        <f>C7+(2/0.017)*(C8*C50-C23*C51)</f>
        <v>10000.00337718939</v>
      </c>
      <c r="D62" s="163">
        <f>D7+(2/0.017)*(D8*D50-D23*D51)</f>
        <v>9999.99030254876</v>
      </c>
      <c r="E62" s="163">
        <f>E7+(2/0.017)*(E8*E50-E23*E51)</f>
        <v>9999.995322906165</v>
      </c>
      <c r="F62" s="163">
        <f>F7+(2/0.017)*(F8*F50-F23*F51)</f>
        <v>9999.830530386156</v>
      </c>
    </row>
    <row r="63" spans="1:6" ht="12.75">
      <c r="A63" s="163" t="s">
        <v>158</v>
      </c>
      <c r="B63" s="163">
        <f>B8+(3/0.017)*(B9*B50-B24*B51)</f>
        <v>0.04491543570280813</v>
      </c>
      <c r="C63" s="163">
        <f>C8+(3/0.017)*(C9*C50-C24*C51)</f>
        <v>-0.4619387143743897</v>
      </c>
      <c r="D63" s="163">
        <f>D8+(3/0.017)*(D9*D50-D24*D51)</f>
        <v>-2.166212869912112</v>
      </c>
      <c r="E63" s="163">
        <f>E8+(3/0.017)*(E9*E50-E24*E51)</f>
        <v>-0.6471390068301447</v>
      </c>
      <c r="F63" s="163">
        <f>F8+(3/0.017)*(F9*F50-F24*F51)</f>
        <v>-0.8389487365849758</v>
      </c>
    </row>
    <row r="64" spans="1:6" ht="12.75">
      <c r="A64" s="163" t="s">
        <v>159</v>
      </c>
      <c r="B64" s="163">
        <f>B9+(4/0.017)*(B10*B50-B25*B51)</f>
        <v>0.27127989639169525</v>
      </c>
      <c r="C64" s="163">
        <f>C9+(4/0.017)*(C10*C50-C25*C51)</f>
        <v>0.7161327059984354</v>
      </c>
      <c r="D64" s="163">
        <f>D9+(4/0.017)*(D10*D50-D25*D51)</f>
        <v>-0.05323264706614454</v>
      </c>
      <c r="E64" s="163">
        <f>E9+(4/0.017)*(E10*E50-E25*E51)</f>
        <v>0.15422887192836326</v>
      </c>
      <c r="F64" s="163">
        <f>F9+(4/0.017)*(F10*F50-F25*F51)</f>
        <v>-0.5372245143524008</v>
      </c>
    </row>
    <row r="65" spans="1:6" ht="12.75">
      <c r="A65" s="163" t="s">
        <v>160</v>
      </c>
      <c r="B65" s="163">
        <f>B10+(5/0.017)*(B11*B50-B26*B51)</f>
        <v>0.2721899488690698</v>
      </c>
      <c r="C65" s="163">
        <f>C10+(5/0.017)*(C11*C50-C26*C51)</f>
        <v>0.5342886804029032</v>
      </c>
      <c r="D65" s="163">
        <f>D10+(5/0.017)*(D11*D50-D26*D51)</f>
        <v>0.6433681697745478</v>
      </c>
      <c r="E65" s="163">
        <f>E10+(5/0.017)*(E11*E50-E26*E51)</f>
        <v>0.13241521046678667</v>
      </c>
      <c r="F65" s="163">
        <f>F10+(5/0.017)*(F11*F50-F26*F51)</f>
        <v>-0.8983336054182112</v>
      </c>
    </row>
    <row r="66" spans="1:6" ht="12.75">
      <c r="A66" s="163" t="s">
        <v>161</v>
      </c>
      <c r="B66" s="163">
        <f>B11+(6/0.017)*(B12*B50-B27*B51)</f>
        <v>3.503133598706143</v>
      </c>
      <c r="C66" s="163">
        <f>C11+(6/0.017)*(C12*C50-C27*C51)</f>
        <v>3.4120661860440418</v>
      </c>
      <c r="D66" s="163">
        <f>D11+(6/0.017)*(D12*D50-D27*D51)</f>
        <v>2.984274538595844</v>
      </c>
      <c r="E66" s="163">
        <f>E11+(6/0.017)*(E12*E50-E27*E51)</f>
        <v>3.5857439057122718</v>
      </c>
      <c r="F66" s="163">
        <f>F11+(6/0.017)*(F12*F50-F27*F51)</f>
        <v>14.276807876973965</v>
      </c>
    </row>
    <row r="67" spans="1:6" ht="12.75">
      <c r="A67" s="163" t="s">
        <v>162</v>
      </c>
      <c r="B67" s="163">
        <f>B12+(7/0.017)*(B13*B50-B28*B51)</f>
        <v>0.17280776957449367</v>
      </c>
      <c r="C67" s="163">
        <f>C12+(7/0.017)*(C13*C50-C28*C51)</f>
        <v>0.10856176723593547</v>
      </c>
      <c r="D67" s="163">
        <f>D12+(7/0.017)*(D13*D50-D28*D51)</f>
        <v>0.027339436378889005</v>
      </c>
      <c r="E67" s="163">
        <f>E12+(7/0.017)*(E13*E50-E28*E51)</f>
        <v>0.17011495232160703</v>
      </c>
      <c r="F67" s="163">
        <f>F12+(7/0.017)*(F13*F50-F28*F51)</f>
        <v>-0.10888248331518025</v>
      </c>
    </row>
    <row r="68" spans="1:6" ht="12.75">
      <c r="A68" s="163" t="s">
        <v>163</v>
      </c>
      <c r="B68" s="163">
        <f>B13+(8/0.017)*(B14*B50-B29*B51)</f>
        <v>0.12488224835718864</v>
      </c>
      <c r="C68" s="163">
        <f>C13+(8/0.017)*(C14*C50-C29*C51)</f>
        <v>0.08088656482246832</v>
      </c>
      <c r="D68" s="163">
        <f>D13+(8/0.017)*(D14*D50-D29*D51)</f>
        <v>0.027245478920981465</v>
      </c>
      <c r="E68" s="163">
        <f>E13+(8/0.017)*(E14*E50-E29*E51)</f>
        <v>0.19982724988268344</v>
      </c>
      <c r="F68" s="163">
        <f>F13+(8/0.017)*(F14*F50-F29*F51)</f>
        <v>0.003913145873717282</v>
      </c>
    </row>
    <row r="69" spans="1:6" ht="12.75">
      <c r="A69" s="163" t="s">
        <v>164</v>
      </c>
      <c r="B69" s="163">
        <f>B14+(9/0.017)*(B15*B50-B30*B51)</f>
        <v>0.05507161098145903</v>
      </c>
      <c r="C69" s="163">
        <f>C14+(9/0.017)*(C15*C50-C30*C51)</f>
        <v>0.028678775276068873</v>
      </c>
      <c r="D69" s="163">
        <f>D14+(9/0.017)*(D15*D50-D30*D51)</f>
        <v>-0.016595661096118566</v>
      </c>
      <c r="E69" s="163">
        <f>E14+(9/0.017)*(E15*E50-E30*E51)</f>
        <v>0.007122164277135758</v>
      </c>
      <c r="F69" s="163">
        <f>F14+(9/0.017)*(F15*F50-F30*F51)</f>
        <v>0.1422466372069939</v>
      </c>
    </row>
    <row r="70" spans="1:6" ht="12.75">
      <c r="A70" s="163" t="s">
        <v>165</v>
      </c>
      <c r="B70" s="163">
        <f>B15+(10/0.017)*(B16*B50-B31*B51)</f>
        <v>-0.2999975308934716</v>
      </c>
      <c r="C70" s="163">
        <f>C15+(10/0.017)*(C16*C50-C31*C51)</f>
        <v>0.016448858263693848</v>
      </c>
      <c r="D70" s="163">
        <f>D15+(10/0.017)*(D16*D50-D31*D51)</f>
        <v>0.054386848683494075</v>
      </c>
      <c r="E70" s="163">
        <f>E15+(10/0.017)*(E16*E50-E31*E51)</f>
        <v>-0.010792225792617075</v>
      </c>
      <c r="F70" s="163">
        <f>F15+(10/0.017)*(F16*F50-F31*F51)</f>
        <v>-0.3038917845692228</v>
      </c>
    </row>
    <row r="71" spans="1:6" ht="12.75">
      <c r="A71" s="163" t="s">
        <v>166</v>
      </c>
      <c r="B71" s="163">
        <f>B16+(11/0.017)*(B17*B50-B32*B51)</f>
        <v>-0.002795185438365501</v>
      </c>
      <c r="C71" s="163">
        <f>C16+(11/0.017)*(C17*C50-C32*C51)</f>
        <v>0.012507752210473518</v>
      </c>
      <c r="D71" s="163">
        <f>D16+(11/0.017)*(D17*D50-D32*D51)</f>
        <v>0.02453756796830498</v>
      </c>
      <c r="E71" s="163">
        <f>E16+(11/0.017)*(E17*E50-E32*E51)</f>
        <v>0.008168310999182802</v>
      </c>
      <c r="F71" s="163">
        <f>F16+(11/0.017)*(F17*F50-F32*F51)</f>
        <v>-0.04970315430216007</v>
      </c>
    </row>
    <row r="72" spans="1:6" ht="12.75">
      <c r="A72" s="163" t="s">
        <v>167</v>
      </c>
      <c r="B72" s="163">
        <f>B17+(12/0.017)*(B18*B50-B33*B51)</f>
        <v>-0.006960755152780732</v>
      </c>
      <c r="C72" s="163">
        <f>C17+(12/0.017)*(C18*C50-C33*C51)</f>
        <v>0.00533423826997056</v>
      </c>
      <c r="D72" s="163">
        <f>D17+(12/0.017)*(D18*D50-D33*D51)</f>
        <v>0.0005007297157045701</v>
      </c>
      <c r="E72" s="163">
        <f>E17+(12/0.017)*(E18*E50-E33*E51)</f>
        <v>-0.004615266555697527</v>
      </c>
      <c r="F72" s="163">
        <f>F17+(12/0.017)*(F18*F50-F33*F51)</f>
        <v>-0.02766012395262258</v>
      </c>
    </row>
    <row r="73" spans="1:6" ht="12.75">
      <c r="A73" s="163" t="s">
        <v>168</v>
      </c>
      <c r="B73" s="163">
        <f>B18+(13/0.017)*(B19*B50-B34*B51)</f>
        <v>0.020089616444080565</v>
      </c>
      <c r="C73" s="163">
        <f>C18+(13/0.017)*(C19*C50-C34*C51)</f>
        <v>0.021069707633407413</v>
      </c>
      <c r="D73" s="163">
        <f>D18+(13/0.017)*(D19*D50-D34*D51)</f>
        <v>0.02475084371851721</v>
      </c>
      <c r="E73" s="163">
        <f>E18+(13/0.017)*(E19*E50-E34*E51)</f>
        <v>0.02525573825013321</v>
      </c>
      <c r="F73" s="163">
        <f>F18+(13/0.017)*(F19*F50-F34*F51)</f>
        <v>0.013614366967686326</v>
      </c>
    </row>
    <row r="74" spans="1:6" ht="12.75">
      <c r="A74" s="163" t="s">
        <v>169</v>
      </c>
      <c r="B74" s="163">
        <f>B19+(14/0.017)*(B20*B50-B35*B51)</f>
        <v>-0.19212947888436613</v>
      </c>
      <c r="C74" s="163">
        <f>C19+(14/0.017)*(C20*C50-C35*C51)</f>
        <v>-0.18544093578330156</v>
      </c>
      <c r="D74" s="163">
        <f>D19+(14/0.017)*(D20*D50-D35*D51)</f>
        <v>-0.1869526837443091</v>
      </c>
      <c r="E74" s="163">
        <f>E19+(14/0.017)*(E20*E50-E35*E51)</f>
        <v>-0.1744520294346299</v>
      </c>
      <c r="F74" s="163">
        <f>F19+(14/0.017)*(F20*F50-F35*F51)</f>
        <v>-0.13493605889749302</v>
      </c>
    </row>
    <row r="75" spans="1:6" ht="12.75">
      <c r="A75" s="163" t="s">
        <v>170</v>
      </c>
      <c r="B75" s="164">
        <f>B20</f>
        <v>-0.002714012</v>
      </c>
      <c r="C75" s="164">
        <f>C20</f>
        <v>-0.001186775</v>
      </c>
      <c r="D75" s="164">
        <f>D20</f>
        <v>-0.001147556</v>
      </c>
      <c r="E75" s="164">
        <f>E20</f>
        <v>-0.002214442</v>
      </c>
      <c r="F75" s="164">
        <f>F20</f>
        <v>-0.003336754</v>
      </c>
    </row>
    <row r="78" ht="12.75">
      <c r="A78" s="163" t="s">
        <v>152</v>
      </c>
    </row>
    <row r="80" spans="2:6" ht="12.75">
      <c r="B80" s="163" t="s">
        <v>84</v>
      </c>
      <c r="C80" s="163" t="s">
        <v>85</v>
      </c>
      <c r="D80" s="163" t="s">
        <v>86</v>
      </c>
      <c r="E80" s="163" t="s">
        <v>87</v>
      </c>
      <c r="F80" s="163" t="s">
        <v>88</v>
      </c>
    </row>
    <row r="81" spans="1:6" ht="12.75">
      <c r="A81" s="163" t="s">
        <v>171</v>
      </c>
      <c r="B81" s="163">
        <f>B21+(1/0.017)*(B7*B51+B22*B50)</f>
        <v>0</v>
      </c>
      <c r="C81" s="163">
        <f>C21+(1/0.017)*(C7*C51+C22*C50)</f>
        <v>0</v>
      </c>
      <c r="D81" s="163">
        <f>D21+(1/0.017)*(D7*D51+D22*D50)</f>
        <v>0</v>
      </c>
      <c r="E81" s="163">
        <f>E21+(1/0.017)*(E7*E51+E22*E50)</f>
        <v>0</v>
      </c>
      <c r="F81" s="163">
        <f>F21+(1/0.017)*(F7*F51+F22*F50)</f>
        <v>0</v>
      </c>
    </row>
    <row r="82" spans="1:6" ht="12.75">
      <c r="A82" s="163" t="s">
        <v>172</v>
      </c>
      <c r="B82" s="163">
        <f>B22+(2/0.017)*(B8*B51+B23*B50)</f>
        <v>140.11215099489115</v>
      </c>
      <c r="C82" s="163">
        <f>C22+(2/0.017)*(C8*C51+C23*C50)</f>
        <v>90.83568752300192</v>
      </c>
      <c r="D82" s="163">
        <f>D22+(2/0.017)*(D8*D51+D23*D50)</f>
        <v>-8.249696576327203</v>
      </c>
      <c r="E82" s="163">
        <f>E22+(2/0.017)*(E8*E51+E23*E50)</f>
        <v>-76.59326370846178</v>
      </c>
      <c r="F82" s="163">
        <f>F22+(2/0.017)*(F8*F51+F23*F50)</f>
        <v>-162.22668320826443</v>
      </c>
    </row>
    <row r="83" spans="1:6" ht="12.75">
      <c r="A83" s="163" t="s">
        <v>173</v>
      </c>
      <c r="B83" s="163">
        <f>B23+(3/0.017)*(B9*B51+B24*B50)</f>
        <v>-0.5688316267930011</v>
      </c>
      <c r="C83" s="163">
        <f>C23+(3/0.017)*(C9*C51+C24*C50)</f>
        <v>-0.10352075709642652</v>
      </c>
      <c r="D83" s="163">
        <f>D23+(3/0.017)*(D9*D51+D24*D50)</f>
        <v>-0.5019466995834674</v>
      </c>
      <c r="E83" s="163">
        <f>E23+(3/0.017)*(E9*E51+E24*E50)</f>
        <v>-0.004917095400902209</v>
      </c>
      <c r="F83" s="163">
        <f>F23+(3/0.017)*(F9*F51+F24*F50)</f>
        <v>8.851745984515016</v>
      </c>
    </row>
    <row r="84" spans="1:6" ht="12.75">
      <c r="A84" s="163" t="s">
        <v>174</v>
      </c>
      <c r="B84" s="163">
        <f>B24+(4/0.017)*(B10*B51+B25*B50)</f>
        <v>1.560359821547401</v>
      </c>
      <c r="C84" s="163">
        <f>C24+(4/0.017)*(C10*C51+C25*C50)</f>
        <v>1.5636114280674502</v>
      </c>
      <c r="D84" s="163">
        <f>D24+(4/0.017)*(D10*D51+D25*D50)</f>
        <v>-0.39340633093836613</v>
      </c>
      <c r="E84" s="163">
        <f>E24+(4/0.017)*(E10*E51+E25*E50)</f>
        <v>-0.5625489734800517</v>
      </c>
      <c r="F84" s="163">
        <f>F24+(4/0.017)*(F10*F51+F25*F50)</f>
        <v>0.17276885254175195</v>
      </c>
    </row>
    <row r="85" spans="1:6" ht="12.75">
      <c r="A85" s="163" t="s">
        <v>175</v>
      </c>
      <c r="B85" s="163">
        <f>B25+(5/0.017)*(B11*B51+B26*B50)</f>
        <v>0.9625373662390653</v>
      </c>
      <c r="C85" s="163">
        <f>C25+(5/0.017)*(C11*C51+C26*C50)</f>
        <v>-0.00958210902543477</v>
      </c>
      <c r="D85" s="163">
        <f>D25+(5/0.017)*(D11*D51+D26*D50)</f>
        <v>0.4300633392106917</v>
      </c>
      <c r="E85" s="163">
        <f>E25+(5/0.017)*(E11*E51+E26*E50)</f>
        <v>0.7127872444160742</v>
      </c>
      <c r="F85" s="163">
        <f>F25+(5/0.017)*(F11*F51+F26*F50)</f>
        <v>-0.08310863178448002</v>
      </c>
    </row>
    <row r="86" spans="1:6" ht="12.75">
      <c r="A86" s="163" t="s">
        <v>176</v>
      </c>
      <c r="B86" s="163">
        <f>B26+(6/0.017)*(B12*B51+B27*B50)</f>
        <v>-0.6275210060942888</v>
      </c>
      <c r="C86" s="163">
        <f>C26+(6/0.017)*(C12*C51+C27*C50)</f>
        <v>0.20815114744087368</v>
      </c>
      <c r="D86" s="163">
        <f>D26+(6/0.017)*(D12*D51+D27*D50)</f>
        <v>-0.1731338121663325</v>
      </c>
      <c r="E86" s="163">
        <f>E26+(6/0.017)*(E12*E51+E27*E50)</f>
        <v>-0.09848283148317931</v>
      </c>
      <c r="F86" s="163">
        <f>F26+(6/0.017)*(F12*F51+F27*F50)</f>
        <v>-0.22734506874616267</v>
      </c>
    </row>
    <row r="87" spans="1:6" ht="12.75">
      <c r="A87" s="163" t="s">
        <v>177</v>
      </c>
      <c r="B87" s="163">
        <f>B27+(7/0.017)*(B13*B51+B28*B50)</f>
        <v>-0.06598535050030713</v>
      </c>
      <c r="C87" s="163">
        <f>C27+(7/0.017)*(C13*C51+C28*C50)</f>
        <v>0.29378651661495836</v>
      </c>
      <c r="D87" s="163">
        <f>D27+(7/0.017)*(D13*D51+D28*D50)</f>
        <v>0.053776961195942566</v>
      </c>
      <c r="E87" s="163">
        <f>E27+(7/0.017)*(E13*E51+E28*E50)</f>
        <v>-0.1837233487191243</v>
      </c>
      <c r="F87" s="163">
        <f>F27+(7/0.017)*(F13*F51+F28*F50)</f>
        <v>0.2699432557357876</v>
      </c>
    </row>
    <row r="88" spans="1:6" ht="12.75">
      <c r="A88" s="163" t="s">
        <v>178</v>
      </c>
      <c r="B88" s="163">
        <f>B28+(8/0.017)*(B14*B51+B29*B50)</f>
        <v>0.06160704217284821</v>
      </c>
      <c r="C88" s="163">
        <f>C28+(8/0.017)*(C14*C51+C29*C50)</f>
        <v>0.306805193020604</v>
      </c>
      <c r="D88" s="163">
        <f>D28+(8/0.017)*(D14*D51+D29*D50)</f>
        <v>-0.02258931393956406</v>
      </c>
      <c r="E88" s="163">
        <f>E28+(8/0.017)*(E14*E51+E29*E50)</f>
        <v>-0.1535712361570082</v>
      </c>
      <c r="F88" s="163">
        <f>F28+(8/0.017)*(F14*F51+F29*F50)</f>
        <v>-0.1070061317750483</v>
      </c>
    </row>
    <row r="89" spans="1:6" ht="12.75">
      <c r="A89" s="163" t="s">
        <v>179</v>
      </c>
      <c r="B89" s="163">
        <f>B29+(9/0.017)*(B15*B51+B30*B50)</f>
        <v>0.047513446738028375</v>
      </c>
      <c r="C89" s="163">
        <f>C29+(9/0.017)*(C15*C51+C30*C50)</f>
        <v>-0.057663181365107986</v>
      </c>
      <c r="D89" s="163">
        <f>D29+(9/0.017)*(D15*D51+D30*D50)</f>
        <v>0.05587777981395323</v>
      </c>
      <c r="E89" s="163">
        <f>E29+(9/0.017)*(E15*E51+E30*E50)</f>
        <v>0.002988589663385206</v>
      </c>
      <c r="F89" s="163">
        <f>F29+(9/0.017)*(F15*F51+F30*F50)</f>
        <v>0.03246102261217648</v>
      </c>
    </row>
    <row r="90" spans="1:6" ht="12.75">
      <c r="A90" s="163" t="s">
        <v>180</v>
      </c>
      <c r="B90" s="163">
        <f>B30+(10/0.017)*(B16*B51+B31*B50)</f>
        <v>-0.05175349186836417</v>
      </c>
      <c r="C90" s="163">
        <f>C30+(10/0.017)*(C16*C51+C31*C50)</f>
        <v>0.12387312679884416</v>
      </c>
      <c r="D90" s="163">
        <f>D30+(10/0.017)*(D16*D51+D31*D50)</f>
        <v>0.12467196786936156</v>
      </c>
      <c r="E90" s="163">
        <f>E30+(10/0.017)*(E16*E51+E31*E50)</f>
        <v>0.10113027471584027</v>
      </c>
      <c r="F90" s="163">
        <f>F30+(10/0.017)*(F16*F51+F31*F50)</f>
        <v>0.21438162049837325</v>
      </c>
    </row>
    <row r="91" spans="1:6" ht="12.75">
      <c r="A91" s="163" t="s">
        <v>181</v>
      </c>
      <c r="B91" s="163">
        <f>B31+(11/0.017)*(B17*B51+B32*B50)</f>
        <v>-0.018818024118645967</v>
      </c>
      <c r="C91" s="163">
        <f>C31+(11/0.017)*(C17*C51+C32*C50)</f>
        <v>0.015339194618647387</v>
      </c>
      <c r="D91" s="163">
        <f>D31+(11/0.017)*(D17*D51+D32*D50)</f>
        <v>0.019112066362860232</v>
      </c>
      <c r="E91" s="163">
        <f>E31+(11/0.017)*(E17*E51+E32*E50)</f>
        <v>-0.0003522882491585254</v>
      </c>
      <c r="F91" s="163">
        <f>F31+(11/0.017)*(F17*F51+F32*F50)</f>
        <v>0.029526023745225814</v>
      </c>
    </row>
    <row r="92" spans="1:6" ht="12.75">
      <c r="A92" s="163" t="s">
        <v>182</v>
      </c>
      <c r="B92" s="163">
        <f>B32+(12/0.017)*(B18*B51+B33*B50)</f>
        <v>0.011747403533531119</v>
      </c>
      <c r="C92" s="163">
        <f>C32+(12/0.017)*(C18*C51+C33*C50)</f>
        <v>0.028066086564439787</v>
      </c>
      <c r="D92" s="163">
        <f>D32+(12/0.017)*(D18*D51+D33*D50)</f>
        <v>-0.008837568425756892</v>
      </c>
      <c r="E92" s="163">
        <f>E32+(12/0.017)*(E18*E51+E33*E50)</f>
        <v>-0.013198972558050352</v>
      </c>
      <c r="F92" s="163">
        <f>F32+(12/0.017)*(F18*F51+F33*F50)</f>
        <v>-0.022172079072005205</v>
      </c>
    </row>
    <row r="93" spans="1:6" ht="12.75">
      <c r="A93" s="163" t="s">
        <v>183</v>
      </c>
      <c r="B93" s="163">
        <f>B33+(13/0.017)*(B19*B51+B34*B50)</f>
        <v>0.03641615150870624</v>
      </c>
      <c r="C93" s="163">
        <f>C33+(13/0.017)*(C19*C51+C34*C50)</f>
        <v>0.047523575600133136</v>
      </c>
      <c r="D93" s="163">
        <f>D33+(13/0.017)*(D19*D51+D34*D50)</f>
        <v>0.03976106371140793</v>
      </c>
      <c r="E93" s="163">
        <f>E33+(13/0.017)*(E19*E51+E34*E50)</f>
        <v>0.03151142064612673</v>
      </c>
      <c r="F93" s="163">
        <f>F33+(13/0.017)*(F19*F51+F34*F50)</f>
        <v>0.01053570724450276</v>
      </c>
    </row>
    <row r="94" spans="1:6" ht="12.75">
      <c r="A94" s="163" t="s">
        <v>184</v>
      </c>
      <c r="B94" s="163">
        <f>B34+(14/0.017)*(B20*B51+B35*B50)</f>
        <v>-0.01785824772337005</v>
      </c>
      <c r="C94" s="163">
        <f>C34+(14/0.017)*(C20*C51+C35*C50)</f>
        <v>0.01244792368509024</v>
      </c>
      <c r="D94" s="163">
        <f>D34+(14/0.017)*(D20*D51+D35*D50)</f>
        <v>0.02721566308745552</v>
      </c>
      <c r="E94" s="163">
        <f>E34+(14/0.017)*(E20*E51+E35*E50)</f>
        <v>0.03389697893136939</v>
      </c>
      <c r="F94" s="163">
        <f>F34+(14/0.017)*(F20*F51+F35*F50)</f>
        <v>-0.0044647437786360725</v>
      </c>
    </row>
    <row r="95" spans="1:6" ht="12.75">
      <c r="A95" s="163" t="s">
        <v>185</v>
      </c>
      <c r="B95" s="164">
        <f>B35</f>
        <v>-0.000425686</v>
      </c>
      <c r="C95" s="164">
        <f>C35</f>
        <v>-0.004349651</v>
      </c>
      <c r="D95" s="164">
        <f>D35</f>
        <v>0.0009691155</v>
      </c>
      <c r="E95" s="164">
        <f>E35</f>
        <v>0.004853828</v>
      </c>
      <c r="F95" s="164">
        <f>F35</f>
        <v>0.005713019</v>
      </c>
    </row>
    <row r="98" ht="12.75">
      <c r="A98" s="163" t="s">
        <v>153</v>
      </c>
    </row>
    <row r="100" spans="2:11" ht="12.75">
      <c r="B100" s="163" t="s">
        <v>84</v>
      </c>
      <c r="C100" s="163" t="s">
        <v>85</v>
      </c>
      <c r="D100" s="163" t="s">
        <v>86</v>
      </c>
      <c r="E100" s="163" t="s">
        <v>87</v>
      </c>
      <c r="F100" s="163" t="s">
        <v>88</v>
      </c>
      <c r="G100" s="163" t="s">
        <v>155</v>
      </c>
      <c r="H100" s="163" t="s">
        <v>156</v>
      </c>
      <c r="I100" s="163" t="s">
        <v>151</v>
      </c>
      <c r="K100" s="163" t="s">
        <v>186</v>
      </c>
    </row>
    <row r="101" spans="1:9" ht="12.75">
      <c r="A101" s="163" t="s">
        <v>154</v>
      </c>
      <c r="B101" s="163">
        <f>B61*10000/B62</f>
        <v>0</v>
      </c>
      <c r="C101" s="163">
        <f>C61*10000/C62</f>
        <v>0</v>
      </c>
      <c r="D101" s="163">
        <f>D61*10000/D62</f>
        <v>0</v>
      </c>
      <c r="E101" s="163">
        <f>E61*10000/E62</f>
        <v>0</v>
      </c>
      <c r="F101" s="163">
        <f>F61*10000/F62</f>
        <v>0</v>
      </c>
      <c r="G101" s="163">
        <f>AVERAGE(C101:E101)</f>
        <v>0</v>
      </c>
      <c r="H101" s="163">
        <f>STDEV(C101:E101)</f>
        <v>0</v>
      </c>
      <c r="I101" s="163">
        <f>(B101*B4+C101*C4+D101*D4+E101*E4+F101*F4)/SUM(B4:F4)</f>
        <v>0</v>
      </c>
    </row>
    <row r="102" spans="1:9" ht="12.75">
      <c r="A102" s="163" t="s">
        <v>157</v>
      </c>
      <c r="B102" s="163">
        <f>B62*10000/B62</f>
        <v>10000</v>
      </c>
      <c r="C102" s="163">
        <f>C62*10000/C62</f>
        <v>10000</v>
      </c>
      <c r="D102" s="163">
        <f>D62*10000/D62</f>
        <v>10000</v>
      </c>
      <c r="E102" s="163">
        <f>E62*10000/E62</f>
        <v>10000</v>
      </c>
      <c r="F102" s="163">
        <f>F62*10000/F62</f>
        <v>10000</v>
      </c>
      <c r="G102" s="163">
        <f>AVERAGE(C102:E102)</f>
        <v>10000</v>
      </c>
      <c r="H102" s="163">
        <f>STDEV(C102:E102)</f>
        <v>0</v>
      </c>
      <c r="I102" s="163">
        <f>(B102*B4+C102*C4+D102*D4+E102*E4+F102*F4)/SUM(B4:F4)</f>
        <v>10000.000000000004</v>
      </c>
    </row>
    <row r="103" spans="1:11" ht="12.75">
      <c r="A103" s="163" t="s">
        <v>158</v>
      </c>
      <c r="B103" s="163">
        <f>B63*10000/B62</f>
        <v>0.044915393377896594</v>
      </c>
      <c r="C103" s="163">
        <f>C63*10000/C62</f>
        <v>-0.4619385583689899</v>
      </c>
      <c r="D103" s="163">
        <f>D63*10000/D62</f>
        <v>-2.166214970588517</v>
      </c>
      <c r="E103" s="163">
        <f>E63*10000/E62</f>
        <v>-0.6471393095032723</v>
      </c>
      <c r="F103" s="163">
        <f>F63*10000/F62</f>
        <v>-0.8389629544577679</v>
      </c>
      <c r="G103" s="163">
        <f>AVERAGE(C103:E103)</f>
        <v>-1.0917642794869264</v>
      </c>
      <c r="H103" s="163">
        <f>STDEV(C103:E103)</f>
        <v>0.9350978800434155</v>
      </c>
      <c r="I103" s="163">
        <f>(B103*B4+C103*C4+D103*D4+E103*E4+F103*F4)/SUM(B4:F4)</f>
        <v>-0.8939821407388808</v>
      </c>
      <c r="K103" s="163">
        <f>(LN(H103)+LN(H123))/2-LN(K114*K115^3)</f>
        <v>-4.579607477544718</v>
      </c>
    </row>
    <row r="104" spans="1:11" ht="12.75">
      <c r="A104" s="163" t="s">
        <v>159</v>
      </c>
      <c r="B104" s="163">
        <f>B64*10000/B62</f>
        <v>0.27127964075802646</v>
      </c>
      <c r="C104" s="163">
        <f>C64*10000/C62</f>
        <v>0.7161324641469393</v>
      </c>
      <c r="D104" s="163">
        <f>D64*10000/D62</f>
        <v>-0.053232698688294534</v>
      </c>
      <c r="E104" s="163">
        <f>E64*10000/E62</f>
        <v>0.1542289440626876</v>
      </c>
      <c r="F104" s="163">
        <f>F64*10000/F62</f>
        <v>-0.5372336188297935</v>
      </c>
      <c r="G104" s="163">
        <f>AVERAGE(C104:E104)</f>
        <v>0.2723762365071108</v>
      </c>
      <c r="H104" s="163">
        <f>STDEV(C104:E104)</f>
        <v>0.39805750273055085</v>
      </c>
      <c r="I104" s="163">
        <f>(B104*B4+C104*C4+D104*D4+E104*E4+F104*F4)/SUM(B4:F4)</f>
        <v>0.16406888282249837</v>
      </c>
      <c r="K104" s="163">
        <f>(LN(H104)+LN(H124))/2-LN(K114*K115^4)</f>
        <v>-3.664322299503978</v>
      </c>
    </row>
    <row r="105" spans="1:11" ht="12.75">
      <c r="A105" s="163" t="s">
        <v>160</v>
      </c>
      <c r="B105" s="163">
        <f>B65*10000/B62</f>
        <v>0.27218969237783625</v>
      </c>
      <c r="C105" s="163">
        <f>C65*10000/C62</f>
        <v>0.5342884999635579</v>
      </c>
      <c r="D105" s="163">
        <f>D65*10000/D62</f>
        <v>0.6433687936782985</v>
      </c>
      <c r="E105" s="163">
        <f>E65*10000/E62</f>
        <v>0.13241527239865208</v>
      </c>
      <c r="F105" s="163">
        <f>F65*10000/F62</f>
        <v>-0.8983488297011377</v>
      </c>
      <c r="G105" s="163">
        <f>AVERAGE(C105:E105)</f>
        <v>0.4366908553468361</v>
      </c>
      <c r="H105" s="163">
        <f>STDEV(C105:E105)</f>
        <v>0.269095429918582</v>
      </c>
      <c r="I105" s="163">
        <f>(B105*B4+C105*C4+D105*D4+E105*E4+F105*F4)/SUM(B4:F4)</f>
        <v>0.23463424745080025</v>
      </c>
      <c r="K105" s="163">
        <f>(LN(H105)+LN(H125))/2-LN(K114*K115^5)</f>
        <v>-3.85755023968332</v>
      </c>
    </row>
    <row r="106" spans="1:11" ht="12.75">
      <c r="A106" s="163" t="s">
        <v>161</v>
      </c>
      <c r="B106" s="163">
        <f>B66*10000/B62</f>
        <v>3.5031302976178345</v>
      </c>
      <c r="C106" s="163">
        <f>C66*10000/C62</f>
        <v>3.412065033725059</v>
      </c>
      <c r="D106" s="163">
        <f>D66*10000/D62</f>
        <v>2.984277432584333</v>
      </c>
      <c r="E106" s="163">
        <f>E66*10000/E62</f>
        <v>3.585745582799128</v>
      </c>
      <c r="F106" s="163">
        <f>F66*10000/F62</f>
        <v>14.277049829586112</v>
      </c>
      <c r="G106" s="163">
        <f>AVERAGE(C106:E106)</f>
        <v>3.327362683036173</v>
      </c>
      <c r="H106" s="163">
        <f>STDEV(C106:E106)</f>
        <v>0.3095510460164358</v>
      </c>
      <c r="I106" s="163">
        <f>(B106*B4+C106*C4+D106*D4+E106*E4+F106*F4)/SUM(B4:F4)</f>
        <v>4.815851219871433</v>
      </c>
      <c r="K106" s="163">
        <f>(LN(H106)+LN(H126))/2-LN(K114*K115^6)</f>
        <v>-3.4905172394100963</v>
      </c>
    </row>
    <row r="107" spans="1:11" ht="12.75">
      <c r="A107" s="163" t="s">
        <v>162</v>
      </c>
      <c r="B107" s="163">
        <f>B67*10000/B62</f>
        <v>0.17280760673351384</v>
      </c>
      <c r="C107" s="163">
        <f>C67*10000/C62</f>
        <v>0.10856173057258299</v>
      </c>
      <c r="D107" s="163">
        <f>D67*10000/D62</f>
        <v>0.027339462891199838</v>
      </c>
      <c r="E107" s="163">
        <f>E67*10000/E62</f>
        <v>0.17011503188600371</v>
      </c>
      <c r="F107" s="163">
        <f>F67*10000/F62</f>
        <v>-0.10888432857369196</v>
      </c>
      <c r="G107" s="163">
        <f>AVERAGE(C107:E107)</f>
        <v>0.10200540844992885</v>
      </c>
      <c r="H107" s="163">
        <f>STDEV(C107:E107)</f>
        <v>0.07161323058820558</v>
      </c>
      <c r="I107" s="163">
        <f>(B107*B4+C107*C4+D107*D4+E107*E4+F107*F4)/SUM(B4:F4)</f>
        <v>0.08402695566566964</v>
      </c>
      <c r="K107" s="163">
        <f>(LN(H107)+LN(H127))/2-LN(K114*K115^7)</f>
        <v>-3.54769330923924</v>
      </c>
    </row>
    <row r="108" spans="1:9" ht="12.75">
      <c r="A108" s="163" t="s">
        <v>163</v>
      </c>
      <c r="B108" s="163">
        <f>B68*10000/B62</f>
        <v>0.12488213067759739</v>
      </c>
      <c r="C108" s="163">
        <f>C68*10000/C62</f>
        <v>0.08088653750555269</v>
      </c>
      <c r="D108" s="163">
        <f>D68*10000/D62</f>
        <v>0.027245505342177418</v>
      </c>
      <c r="E108" s="163">
        <f>E68*10000/E62</f>
        <v>0.199827343343807</v>
      </c>
      <c r="F108" s="163">
        <f>F68*10000/F62</f>
        <v>0.003913212190773168</v>
      </c>
      <c r="G108" s="163">
        <f>AVERAGE(C108:E108)</f>
        <v>0.10265312873051237</v>
      </c>
      <c r="H108" s="163">
        <f>STDEV(C108:E108)</f>
        <v>0.08832587996828023</v>
      </c>
      <c r="I108" s="163">
        <f>(B108*B4+C108*C4+D108*D4+E108*E4+F108*F4)/SUM(B4:F4)</f>
        <v>0.0926374991537575</v>
      </c>
    </row>
    <row r="109" spans="1:9" ht="12.75">
      <c r="A109" s="163" t="s">
        <v>164</v>
      </c>
      <c r="B109" s="163">
        <f>B69*10000/B62</f>
        <v>0.055071559086135605</v>
      </c>
      <c r="C109" s="163">
        <f>C69*10000/C62</f>
        <v>0.028678765590706583</v>
      </c>
      <c r="D109" s="163">
        <f>D69*10000/D62</f>
        <v>-0.0165956771896956</v>
      </c>
      <c r="E109" s="163">
        <f>E69*10000/E62</f>
        <v>0.0071221676082403795</v>
      </c>
      <c r="F109" s="163">
        <f>F69*10000/F62</f>
        <v>0.14224904789611556</v>
      </c>
      <c r="G109" s="163">
        <f>AVERAGE(C109:E109)</f>
        <v>0.006401752003083788</v>
      </c>
      <c r="H109" s="163">
        <f>STDEV(C109:E109)</f>
        <v>0.022645817301481807</v>
      </c>
      <c r="I109" s="163">
        <f>(B109*B4+C109*C4+D109*D4+E109*E4+F109*F4)/SUM(B4:F4)</f>
        <v>0.031582791970437465</v>
      </c>
    </row>
    <row r="110" spans="1:11" ht="12.75">
      <c r="A110" s="163" t="s">
        <v>165</v>
      </c>
      <c r="B110" s="163">
        <f>B70*10000/B62</f>
        <v>-0.29999724819847473</v>
      </c>
      <c r="C110" s="163">
        <f>C70*10000/C62</f>
        <v>0.01644885270860476</v>
      </c>
      <c r="D110" s="163">
        <f>D70*10000/D62</f>
        <v>0.05438690142492654</v>
      </c>
      <c r="E110" s="163">
        <f>E70*10000/E62</f>
        <v>-0.010792230840244709</v>
      </c>
      <c r="F110" s="163">
        <f>F70*10000/F62</f>
        <v>-0.30389693469883994</v>
      </c>
      <c r="G110" s="163">
        <f>AVERAGE(C110:E110)</f>
        <v>0.020014507764428865</v>
      </c>
      <c r="H110" s="163">
        <f>STDEV(C110:E110)</f>
        <v>0.032735534861874714</v>
      </c>
      <c r="I110" s="163">
        <f>(B110*B4+C110*C4+D110*D4+E110*E4+F110*F4)/SUM(B4:F4)</f>
        <v>-0.06947099157034545</v>
      </c>
      <c r="K110" s="163">
        <f>EXP(AVERAGE(K103:K107))</f>
        <v>0.02175442458205629</v>
      </c>
    </row>
    <row r="111" spans="1:9" ht="12.75">
      <c r="A111" s="163" t="s">
        <v>166</v>
      </c>
      <c r="B111" s="163">
        <f>B71*10000/B62</f>
        <v>-0.0027951828043940264</v>
      </c>
      <c r="C111" s="163">
        <f>C71*10000/C62</f>
        <v>0.012507747986370138</v>
      </c>
      <c r="D111" s="163">
        <f>D71*10000/D62</f>
        <v>0.024537591763514947</v>
      </c>
      <c r="E111" s="163">
        <f>E71*10000/E62</f>
        <v>0.00816831481958029</v>
      </c>
      <c r="F111" s="163">
        <f>F71*10000/F62</f>
        <v>-0.04970399663387167</v>
      </c>
      <c r="G111" s="163">
        <f>AVERAGE(C111:E111)</f>
        <v>0.01507121818982179</v>
      </c>
      <c r="H111" s="163">
        <f>STDEV(C111:E111)</f>
        <v>0.008480379798676248</v>
      </c>
      <c r="I111" s="163">
        <f>(B111*B4+C111*C4+D111*D4+E111*E4+F111*F4)/SUM(B4:F4)</f>
        <v>0.0038376072968988972</v>
      </c>
    </row>
    <row r="112" spans="1:9" ht="12.75">
      <c r="A112" s="163" t="s">
        <v>167</v>
      </c>
      <c r="B112" s="163">
        <f>B72*10000/B62</f>
        <v>-0.006960748593491227</v>
      </c>
      <c r="C112" s="163">
        <f>C72*10000/C62</f>
        <v>0.0053342364684978785</v>
      </c>
      <c r="D112" s="163">
        <f>D72*10000/D62</f>
        <v>0.0005007302012852412</v>
      </c>
      <c r="E112" s="163">
        <f>E72*10000/E62</f>
        <v>-0.004615268714302012</v>
      </c>
      <c r="F112" s="163">
        <f>F72*10000/F62</f>
        <v>-0.0276605927156192</v>
      </c>
      <c r="G112" s="163">
        <f>AVERAGE(C112:E112)</f>
        <v>0.0004065659851603693</v>
      </c>
      <c r="H112" s="163">
        <f>STDEV(C112:E112)</f>
        <v>0.004975420939010013</v>
      </c>
      <c r="I112" s="163">
        <f>(B112*B4+C112*C4+D112*D4+E112*E4+F112*F4)/SUM(B4:F4)</f>
        <v>-0.004406277709782617</v>
      </c>
    </row>
    <row r="113" spans="1:9" ht="12.75">
      <c r="A113" s="163" t="s">
        <v>168</v>
      </c>
      <c r="B113" s="163">
        <f>B73*10000/B62</f>
        <v>0.020089597513144562</v>
      </c>
      <c r="C113" s="163">
        <f>C73*10000/C62</f>
        <v>0.021069700517770507</v>
      </c>
      <c r="D113" s="163">
        <f>D73*10000/D62</f>
        <v>0.024750867720550494</v>
      </c>
      <c r="E113" s="163">
        <f>E73*10000/E62</f>
        <v>0.0252557500624845</v>
      </c>
      <c r="F113" s="163">
        <f>F73*10000/F62</f>
        <v>0.013614597693747706</v>
      </c>
      <c r="G113" s="163">
        <f>AVERAGE(C113:E113)</f>
        <v>0.023692106100268503</v>
      </c>
      <c r="H113" s="163">
        <f>STDEV(C113:E113)</f>
        <v>0.002285056853589577</v>
      </c>
      <c r="I113" s="163">
        <f>(B113*B4+C113*C4+D113*D4+E113*E4+F113*F4)/SUM(B4:F4)</f>
        <v>0.021824739211622757</v>
      </c>
    </row>
    <row r="114" spans="1:11" ht="12.75">
      <c r="A114" s="163" t="s">
        <v>169</v>
      </c>
      <c r="B114" s="163">
        <f>B74*10000/B62</f>
        <v>-0.1921292978360679</v>
      </c>
      <c r="C114" s="163">
        <f>C74*10000/C62</f>
        <v>-0.18544087315640664</v>
      </c>
      <c r="D114" s="163">
        <f>D74*10000/D62</f>
        <v>-0.1869528650409384</v>
      </c>
      <c r="E114" s="163">
        <f>E74*10000/E62</f>
        <v>-0.1744521110275192</v>
      </c>
      <c r="F114" s="163">
        <f>F74*10000/F62</f>
        <v>-0.13493834569242674</v>
      </c>
      <c r="G114" s="163">
        <f>AVERAGE(C114:E114)</f>
        <v>-0.1822819497416214</v>
      </c>
      <c r="H114" s="163">
        <f>STDEV(C114:E114)</f>
        <v>0.006822852085555714</v>
      </c>
      <c r="I114" s="163">
        <f>(B114*B4+C114*C4+D114*D4+E114*E4+F114*F4)/SUM(B4:F4)</f>
        <v>-0.177380025345913</v>
      </c>
      <c r="J114" s="163" t="s">
        <v>187</v>
      </c>
      <c r="K114" s="163">
        <v>285</v>
      </c>
    </row>
    <row r="115" spans="1:11" ht="12.75">
      <c r="A115" s="163" t="s">
        <v>170</v>
      </c>
      <c r="B115" s="163">
        <f>B75*10000/B62</f>
        <v>-0.002714009442520238</v>
      </c>
      <c r="C115" s="163">
        <f>C75*10000/C62</f>
        <v>-0.0011867745992037413</v>
      </c>
      <c r="D115" s="163">
        <f>D75*10000/D62</f>
        <v>-0.0011475571128379148</v>
      </c>
      <c r="E115" s="163">
        <f>E75*10000/E62</f>
        <v>-0.002214443035715787</v>
      </c>
      <c r="F115" s="163">
        <f>F75*10000/F62</f>
        <v>-0.0033368105487995175</v>
      </c>
      <c r="G115" s="163">
        <f>AVERAGE(C115:E115)</f>
        <v>-0.001516258249252481</v>
      </c>
      <c r="H115" s="163">
        <f>STDEV(C115:E115)</f>
        <v>0.0006049636351433226</v>
      </c>
      <c r="I115" s="163">
        <f>(B115*B4+C115*C4+D115*D4+E115*E4+F115*F4)/SUM(B4:F4)</f>
        <v>-0.0019322742520796483</v>
      </c>
      <c r="J115" s="163" t="s">
        <v>188</v>
      </c>
      <c r="K115" s="163">
        <v>0.5536</v>
      </c>
    </row>
    <row r="118" ht="12.75">
      <c r="A118" s="163" t="s">
        <v>153</v>
      </c>
    </row>
    <row r="120" spans="2:9" ht="12.75">
      <c r="B120" s="163" t="s">
        <v>84</v>
      </c>
      <c r="C120" s="163" t="s">
        <v>85</v>
      </c>
      <c r="D120" s="163" t="s">
        <v>86</v>
      </c>
      <c r="E120" s="163" t="s">
        <v>87</v>
      </c>
      <c r="F120" s="163" t="s">
        <v>88</v>
      </c>
      <c r="G120" s="163" t="s">
        <v>155</v>
      </c>
      <c r="H120" s="163" t="s">
        <v>156</v>
      </c>
      <c r="I120" s="163" t="s">
        <v>151</v>
      </c>
    </row>
    <row r="121" spans="1:9" ht="12.75">
      <c r="A121" s="163" t="s">
        <v>171</v>
      </c>
      <c r="B121" s="163">
        <f>B81*10000/B62</f>
        <v>0</v>
      </c>
      <c r="C121" s="163">
        <f>C81*10000/C62</f>
        <v>0</v>
      </c>
      <c r="D121" s="163">
        <f>D81*10000/D62</f>
        <v>0</v>
      </c>
      <c r="E121" s="163">
        <f>E81*10000/E62</f>
        <v>0</v>
      </c>
      <c r="F121" s="163">
        <f>F81*10000/F62</f>
        <v>0</v>
      </c>
      <c r="G121" s="163">
        <f>AVERAGE(C121:E121)</f>
        <v>0</v>
      </c>
      <c r="H121" s="163">
        <f>STDEV(C121:E121)</f>
        <v>0</v>
      </c>
      <c r="I121" s="163">
        <f>(B121*B4+C121*C4+D121*D4+E121*E4+F121*F4)/SUM(B4:F4)</f>
        <v>0</v>
      </c>
    </row>
    <row r="122" spans="1:9" ht="12.75">
      <c r="A122" s="163" t="s">
        <v>172</v>
      </c>
      <c r="B122" s="163">
        <f>B82*10000/B62</f>
        <v>140.11201896379086</v>
      </c>
      <c r="C122" s="163">
        <f>C82*10000/C62</f>
        <v>90.83565684608027</v>
      </c>
      <c r="D122" s="163">
        <f>D82*10000/D62</f>
        <v>-8.24970457643799</v>
      </c>
      <c r="E122" s="163">
        <f>E82*10000/E62</f>
        <v>-76.59329953186668</v>
      </c>
      <c r="F122" s="163">
        <f>F82*10000/F62</f>
        <v>-162.2294325041925</v>
      </c>
      <c r="G122" s="163">
        <f>AVERAGE(C122:E122)</f>
        <v>1.9975509125918667</v>
      </c>
      <c r="H122" s="163">
        <f>STDEV(C122:E122)</f>
        <v>84.18354080368208</v>
      </c>
      <c r="I122" s="163">
        <f>(B122*B4+C122*C4+D122*D4+E122*E4+F122*F4)/SUM(B4:F4)</f>
        <v>0.0219167952137194</v>
      </c>
    </row>
    <row r="123" spans="1:9" ht="12.75">
      <c r="A123" s="163" t="s">
        <v>173</v>
      </c>
      <c r="B123" s="163">
        <f>B83*10000/B62</f>
        <v>-0.5688310907690729</v>
      </c>
      <c r="C123" s="163">
        <f>C83*10000/C62</f>
        <v>-0.10352072213551806</v>
      </c>
      <c r="D123" s="163">
        <f>D83*10000/D62</f>
        <v>-0.5019471863443039</v>
      </c>
      <c r="E123" s="163">
        <f>E83*10000/E62</f>
        <v>-0.004917097700674943</v>
      </c>
      <c r="F123" s="163">
        <f>F83*10000/F62</f>
        <v>8.85189599725466</v>
      </c>
      <c r="G123" s="163">
        <f>AVERAGE(C123:E123)</f>
        <v>-0.20346166872683233</v>
      </c>
      <c r="H123" s="163">
        <f>STDEV(C123:E123)</f>
        <v>0.26315560388950365</v>
      </c>
      <c r="I123" s="163">
        <f>(B123*B4+C123*C4+D123*D4+E123*E4+F123*F4)/SUM(B4:F4)</f>
        <v>0.953766373765292</v>
      </c>
    </row>
    <row r="124" spans="1:9" ht="12.75">
      <c r="A124" s="163" t="s">
        <v>174</v>
      </c>
      <c r="B124" s="163">
        <f>B84*10000/B62</f>
        <v>1.5603583511822499</v>
      </c>
      <c r="C124" s="163">
        <f>C84*10000/C62</f>
        <v>1.563610900006436</v>
      </c>
      <c r="D124" s="163">
        <f>D84*10000/D62</f>
        <v>-0.3934067124426073</v>
      </c>
      <c r="E124" s="163">
        <f>E84*10000/E62</f>
        <v>-0.5625492365896083</v>
      </c>
      <c r="F124" s="163">
        <f>F84*10000/F62</f>
        <v>0.17277178049844436</v>
      </c>
      <c r="G124" s="163">
        <f>AVERAGE(C124:E124)</f>
        <v>0.20255165032474012</v>
      </c>
      <c r="H124" s="163">
        <f>STDEV(C124:E124)</f>
        <v>1.1817419385072108</v>
      </c>
      <c r="I124" s="163">
        <f>(B124*B4+C124*C4+D124*D4+E124*E4+F124*F4)/SUM(B4:F4)</f>
        <v>0.3948929974646331</v>
      </c>
    </row>
    <row r="125" spans="1:9" ht="12.75">
      <c r="A125" s="163" t="s">
        <v>175</v>
      </c>
      <c r="B125" s="163">
        <f>B85*10000/B62</f>
        <v>0.9625364592166077</v>
      </c>
      <c r="C125" s="163">
        <f>C85*10000/C62</f>
        <v>-0.009582105789376169</v>
      </c>
      <c r="D125" s="163">
        <f>D85*10000/D62</f>
        <v>0.43006375626292237</v>
      </c>
      <c r="E125" s="163">
        <f>E85*10000/E62</f>
        <v>0.7127875777935128</v>
      </c>
      <c r="F125" s="163">
        <f>F85*10000/F62</f>
        <v>-0.08311004024712275</v>
      </c>
      <c r="G125" s="163">
        <f>AVERAGE(C125:E125)</f>
        <v>0.37775640942235295</v>
      </c>
      <c r="H125" s="163">
        <f>STDEV(C125:E125)</f>
        <v>0.36401446927290615</v>
      </c>
      <c r="I125" s="163">
        <f>(B125*B4+C125*C4+D125*D4+E125*E4+F125*F4)/SUM(B4:F4)</f>
        <v>0.4005098044431058</v>
      </c>
    </row>
    <row r="126" spans="1:9" ht="12.75">
      <c r="A126" s="163" t="s">
        <v>176</v>
      </c>
      <c r="B126" s="163">
        <f>B86*10000/B62</f>
        <v>-0.6275204147659258</v>
      </c>
      <c r="C126" s="163">
        <f>C86*10000/C62</f>
        <v>0.20815107714431275</v>
      </c>
      <c r="D126" s="163">
        <f>D86*10000/D62</f>
        <v>-0.17313398006216546</v>
      </c>
      <c r="E126" s="163">
        <f>E86*10000/E62</f>
        <v>-0.09848287754454525</v>
      </c>
      <c r="F126" s="163">
        <f>F86*10000/F62</f>
        <v>-0.22734892161955814</v>
      </c>
      <c r="G126" s="163">
        <f>AVERAGE(C126:E126)</f>
        <v>-0.021155260154132657</v>
      </c>
      <c r="H126" s="163">
        <f>STDEV(C126:E126)</f>
        <v>0.20206247553837245</v>
      </c>
      <c r="I126" s="163">
        <f>(B126*B4+C126*C4+D126*D4+E126*E4+F126*F4)/SUM(B4:F4)</f>
        <v>-0.136246530475962</v>
      </c>
    </row>
    <row r="127" spans="1:9" ht="12.75">
      <c r="A127" s="163" t="s">
        <v>177</v>
      </c>
      <c r="B127" s="163">
        <f>B87*10000/B62</f>
        <v>-0.06598528832070052</v>
      </c>
      <c r="C127" s="163">
        <f>C87*10000/C62</f>
        <v>0.2937864173977212</v>
      </c>
      <c r="D127" s="163">
        <f>D87*10000/D62</f>
        <v>0.05377701334593904</v>
      </c>
      <c r="E127" s="163">
        <f>E87*10000/E62</f>
        <v>-0.18372343464829866</v>
      </c>
      <c r="F127" s="163">
        <f>F87*10000/F62</f>
        <v>0.2699478305312474</v>
      </c>
      <c r="G127" s="163">
        <f>AVERAGE(C127:E127)</f>
        <v>0.0546133320317872</v>
      </c>
      <c r="H127" s="163">
        <f>STDEV(C127:E127)</f>
        <v>0.23875602457731024</v>
      </c>
      <c r="I127" s="163">
        <f>(B127*B4+C127*C4+D127*D4+E127*E4+F127*F4)/SUM(B4:F4)</f>
        <v>0.06604943350691718</v>
      </c>
    </row>
    <row r="128" spans="1:9" ht="12.75">
      <c r="A128" s="163" t="s">
        <v>178</v>
      </c>
      <c r="B128" s="163">
        <f>B88*10000/B62</f>
        <v>0.06160698411902842</v>
      </c>
      <c r="C128" s="163">
        <f>C88*10000/C62</f>
        <v>0.3068050894067147</v>
      </c>
      <c r="D128" s="163">
        <f>D88*10000/D62</f>
        <v>-0.02258933584546235</v>
      </c>
      <c r="E128" s="163">
        <f>E88*10000/E62</f>
        <v>-0.15357130798375</v>
      </c>
      <c r="F128" s="163">
        <f>F88*10000/F62</f>
        <v>-0.107007945234564</v>
      </c>
      <c r="G128" s="163">
        <f>AVERAGE(C128:E128)</f>
        <v>0.043548148525834114</v>
      </c>
      <c r="H128" s="163">
        <f>STDEV(C128:E128)</f>
        <v>0.23720714986647934</v>
      </c>
      <c r="I128" s="163">
        <f>(B128*B4+C128*C4+D128*D4+E128*E4+F128*F4)/SUM(B4:F4)</f>
        <v>0.026100605088569484</v>
      </c>
    </row>
    <row r="129" spans="1:9" ht="12.75">
      <c r="A129" s="163" t="s">
        <v>179</v>
      </c>
      <c r="B129" s="163">
        <f>B89*10000/B62</f>
        <v>0.04751340196494762</v>
      </c>
      <c r="C129" s="163">
        <f>C89*10000/C62</f>
        <v>-0.057663161891166125</v>
      </c>
      <c r="D129" s="163">
        <f>D89*10000/D62</f>
        <v>0.05587783400121029</v>
      </c>
      <c r="E129" s="163">
        <f>E89*10000/E62</f>
        <v>0.0029885910611772886</v>
      </c>
      <c r="F129" s="163">
        <f>F89*10000/F62</f>
        <v>0.03246157273719613</v>
      </c>
      <c r="G129" s="163">
        <f>AVERAGE(C129:E129)</f>
        <v>0.0004010877237404847</v>
      </c>
      <c r="H129" s="163">
        <f>STDEV(C129:E129)</f>
        <v>0.05681470599412703</v>
      </c>
      <c r="I129" s="163">
        <f>(B129*B4+C129*C4+D129*D4+E129*E4+F129*F4)/SUM(B4:F4)</f>
        <v>0.011487748752948735</v>
      </c>
    </row>
    <row r="130" spans="1:9" ht="12.75">
      <c r="A130" s="163" t="s">
        <v>180</v>
      </c>
      <c r="B130" s="163">
        <f>B90*10000/B62</f>
        <v>-0.051753443099785384</v>
      </c>
      <c r="C130" s="163">
        <f>C90*10000/C62</f>
        <v>0.12387308496455735</v>
      </c>
      <c r="D130" s="163">
        <f>D90*10000/D62</f>
        <v>0.12467208876951175</v>
      </c>
      <c r="E130" s="163">
        <f>E90*10000/E62</f>
        <v>0.10113032201544084</v>
      </c>
      <c r="F130" s="163">
        <f>F90*10000/F62</f>
        <v>0.21438525367698869</v>
      </c>
      <c r="G130" s="163">
        <f>AVERAGE(C130:E130)</f>
        <v>0.11655849858316998</v>
      </c>
      <c r="H130" s="163">
        <f>STDEV(C130:E130)</f>
        <v>0.013367164094296535</v>
      </c>
      <c r="I130" s="163">
        <f>(B130*B4+C130*C4+D130*D4+E130*E4+F130*F4)/SUM(B4:F4)</f>
        <v>0.10533063683149757</v>
      </c>
    </row>
    <row r="131" spans="1:9" ht="12.75">
      <c r="A131" s="163" t="s">
        <v>181</v>
      </c>
      <c r="B131" s="163">
        <f>B91*10000/B62</f>
        <v>-0.018818006385962458</v>
      </c>
      <c r="C131" s="163">
        <f>C91*10000/C62</f>
        <v>0.015339189438312603</v>
      </c>
      <c r="D131" s="163">
        <f>D91*10000/D62</f>
        <v>0.01911208489671137</v>
      </c>
      <c r="E131" s="163">
        <f>E91*10000/E62</f>
        <v>-0.0003522884139271223</v>
      </c>
      <c r="F131" s="163">
        <f>F91*10000/F62</f>
        <v>0.029526524130090062</v>
      </c>
      <c r="G131" s="163">
        <f>AVERAGE(C131:E131)</f>
        <v>0.011366328640365617</v>
      </c>
      <c r="H131" s="163">
        <f>STDEV(C131:E131)</f>
        <v>0.010322459701247177</v>
      </c>
      <c r="I131" s="163">
        <f>(B131*B4+C131*C4+D131*D4+E131*E4+F131*F4)/SUM(B4:F4)</f>
        <v>0.009438008275091237</v>
      </c>
    </row>
    <row r="132" spans="1:9" ht="12.75">
      <c r="A132" s="163" t="s">
        <v>182</v>
      </c>
      <c r="B132" s="163">
        <f>B92*10000/B62</f>
        <v>0.011747392463665992</v>
      </c>
      <c r="C132" s="163">
        <f>C92*10000/C62</f>
        <v>0.02806607708599401</v>
      </c>
      <c r="D132" s="163">
        <f>D92*10000/D62</f>
        <v>-0.008837576995954092</v>
      </c>
      <c r="E132" s="163">
        <f>E92*10000/E62</f>
        <v>-0.013198978731336557</v>
      </c>
      <c r="F132" s="163">
        <f>F92*10000/F62</f>
        <v>-0.022172454827740967</v>
      </c>
      <c r="G132" s="163">
        <f>AVERAGE(C132:E132)</f>
        <v>0.0020098404529011195</v>
      </c>
      <c r="H132" s="163">
        <f>STDEV(C132:E132)</f>
        <v>0.02267048867766525</v>
      </c>
      <c r="I132" s="163">
        <f>(B132*B4+C132*C4+D132*D4+E132*E4+F132*F4)/SUM(B4:F4)</f>
        <v>0.0001894371043365479</v>
      </c>
    </row>
    <row r="133" spans="1:9" ht="12.75">
      <c r="A133" s="163" t="s">
        <v>183</v>
      </c>
      <c r="B133" s="163">
        <f>B93*10000/B62</f>
        <v>0.03641611719287768</v>
      </c>
      <c r="C133" s="163">
        <f>C93*10000/C62</f>
        <v>0.04752355955052703</v>
      </c>
      <c r="D133" s="163">
        <f>D93*10000/D62</f>
        <v>0.039761102269542985</v>
      </c>
      <c r="E133" s="163">
        <f>E93*10000/E62</f>
        <v>0.031511435384320746</v>
      </c>
      <c r="F133" s="163">
        <f>F93*10000/F62</f>
        <v>0.01053588579575249</v>
      </c>
      <c r="G133" s="163">
        <f>AVERAGE(C133:E133)</f>
        <v>0.03959869906813025</v>
      </c>
      <c r="H133" s="163">
        <f>STDEV(C133:E133)</f>
        <v>0.008007297370422403</v>
      </c>
      <c r="I133" s="163">
        <f>(B133*B4+C133*C4+D133*D4+E133*E4+F133*F4)/SUM(B4:F4)</f>
        <v>0.03525809119482147</v>
      </c>
    </row>
    <row r="134" spans="1:9" ht="12.75">
      <c r="A134" s="163" t="s">
        <v>184</v>
      </c>
      <c r="B134" s="163">
        <f>B94*10000/B62</f>
        <v>-0.017858230895107262</v>
      </c>
      <c r="C134" s="163">
        <f>C94*10000/C62</f>
        <v>0.01244791948119208</v>
      </c>
      <c r="D134" s="163">
        <f>D94*10000/D62</f>
        <v>0.027215689479737692</v>
      </c>
      <c r="E134" s="163">
        <f>E94*10000/E62</f>
        <v>0.033896994785311926</v>
      </c>
      <c r="F134" s="163">
        <f>F94*10000/F62</f>
        <v>-0.004464819443758775</v>
      </c>
      <c r="G134" s="163">
        <f>AVERAGE(C134:E134)</f>
        <v>0.024520201248747233</v>
      </c>
      <c r="H134" s="163">
        <f>STDEV(C134:E134)</f>
        <v>0.010975652620824295</v>
      </c>
      <c r="I134" s="163">
        <f>(B134*B4+C134*C4+D134*D4+E134*E4+F134*F4)/SUM(B4:F4)</f>
        <v>0.014524272789291925</v>
      </c>
    </row>
    <row r="135" spans="1:9" ht="12.75">
      <c r="A135" s="163" t="s">
        <v>185</v>
      </c>
      <c r="B135" s="163">
        <f>B95*10000/B62</f>
        <v>-0.00042568559886569036</v>
      </c>
      <c r="C135" s="163">
        <f>C95*10000/C62</f>
        <v>-0.004349649531040976</v>
      </c>
      <c r="D135" s="163">
        <f>D95*10000/D62</f>
        <v>0.0009691164397959421</v>
      </c>
      <c r="E135" s="163">
        <f>E95*10000/E62</f>
        <v>0.0048538302701819636</v>
      </c>
      <c r="F135" s="163">
        <f>F95*10000/F62</f>
        <v>0.005713115819953185</v>
      </c>
      <c r="G135" s="163">
        <f>AVERAGE(C135:E135)</f>
        <v>0.0004910990596456434</v>
      </c>
      <c r="H135" s="163">
        <f>STDEV(C135:E135)</f>
        <v>0.004620323102843996</v>
      </c>
      <c r="I135" s="163">
        <f>(B135*B4+C135*C4+D135*D4+E135*E4+F135*F4)/SUM(B4:F4)</f>
        <v>0.0010551204215496026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2003-11-21T07:28:16Z</cp:lastPrinted>
  <dcterms:created xsi:type="dcterms:W3CDTF">1999-06-17T15:15:05Z</dcterms:created>
  <dcterms:modified xsi:type="dcterms:W3CDTF">2005-10-05T09:45:26Z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-818084070</vt:i4>
  </property>
  <property fmtid="{D5CDD505-2E9C-101B-9397-08002B2CF9AE}" pid="3" name="_EmailSubject">
    <vt:lpwstr>WFM result of apertures 23,29,35,132,133,135,136, 128, 120, 142 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