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134_pos1ap2" sheetId="2" r:id="rId2"/>
    <sheet name="HCMQAP134_pos2ap2" sheetId="3" r:id="rId3"/>
    <sheet name="HCMQAP134_pos3ap2" sheetId="4" r:id="rId4"/>
    <sheet name="HCMQAP134_pos4ap2" sheetId="5" r:id="rId5"/>
    <sheet name="HCMQAP134_pos5ap2" sheetId="6" r:id="rId6"/>
    <sheet name="Lmag_hcmqap" sheetId="7" r:id="rId7"/>
    <sheet name="Result_HCMQAP" sheetId="8" r:id="rId8"/>
  </sheets>
  <definedNames>
    <definedName name="_xlnm.Print_Area" localSheetId="1">'HCMQAP134_pos1ap2'!$A$1:$N$28</definedName>
    <definedName name="_xlnm.Print_Area" localSheetId="2">'HCMQAP134_pos2ap2'!$A$1:$N$28</definedName>
    <definedName name="_xlnm.Print_Area" localSheetId="3">'HCMQAP134_pos3ap2'!$A$1:$N$28</definedName>
    <definedName name="_xlnm.Print_Area" localSheetId="4">'HCMQAP134_pos4ap2'!$A$1:$N$28</definedName>
    <definedName name="_xlnm.Print_Area" localSheetId="5">'HCMQAP134_pos5ap2'!$A$1:$N$28</definedName>
    <definedName name="_xlnm.Print_Area" localSheetId="6">'Lmag_hcmqap'!$A$1:$G$54</definedName>
    <definedName name="_xlnm.Print_Area" localSheetId="0">'Sommaire'!$A$1:$N$16</definedName>
  </definedNames>
  <calcPr fullCalcOnLoad="1"/>
</workbook>
</file>

<file path=xl/sharedStrings.xml><?xml version="1.0" encoding="utf-8"?>
<sst xmlns="http://schemas.openxmlformats.org/spreadsheetml/2006/main" count="510" uniqueCount="189">
  <si>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</si>
  <si>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</si>
  <si>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</si>
  <si>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</si>
  <si>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</si>
  <si>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</si>
  <si>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</si>
  <si>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</si>
  <si>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</si>
  <si>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</si>
  <si>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</si>
  <si>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</si>
  <si>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</si>
  <si>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</si>
  <si>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</si>
  <si>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hcmqap134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</si>
  <si>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</si>
  <si>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</si>
  <si>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</si>
  <si>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</si>
  <si>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</si>
  <si>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</si>
  <si>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</si>
  <si>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</si>
  <si>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</si>
  <si>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</si>
  <si>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</si>
  <si>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</si>
  <si>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taupe_quadrupole#12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</si>
  <si>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</si>
  <si>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</si>
  <si>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</si>
  <si>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</si>
  <si>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</si>
  <si>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</si>
  <si>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</si>
  <si>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</si>
  <si>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</si>
  <si>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</si>
  <si>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</si>
  <si>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</si>
  <si>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</si>
  <si>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</si>
  <si>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</si>
  <si>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</si>
  <si>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</si>
  <si>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</si>
  <si>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</si>
  <si>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</si>
  <si>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</si>
  <si>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</si>
  <si>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</si>
  <si>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</si>
  <si>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</si>
  <si>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</si>
  <si>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</si>
  <si>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</si>
  <si>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</si>
  <si>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</si>
  <si>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-2.253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</si>
  <si>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</si>
  <si>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</si>
  <si>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</si>
  <si>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</si>
  <si>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</si>
  <si>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</si>
  <si>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</si>
  <si>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</si>
  <si>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HCMQAP134_pos1ap2</t>
  </si>
  <si>
    <t>20/11/2003</t>
  </si>
  <si>
    <t>±12.5</t>
  </si>
  <si>
    <t>THCMQAP134_pos1ap2.xls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</si>
  <si>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-3.751 mT)</t>
    </r>
  </si>
  <si>
    <t>HCMQAP134_pos2ap2</t>
  </si>
  <si>
    <t>THCMQAP134_pos2ap2.xls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</si>
  <si>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 mT)</t>
    </r>
  </si>
  <si>
    <t>HCMQAP134_pos3ap2</t>
  </si>
  <si>
    <t>THCMQAP134_pos3ap2.xls</t>
  </si>
  <si>
    <t>HCMQAP134_pos4ap2</t>
  </si>
  <si>
    <t>THCMQAP134_pos4ap2.xls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</si>
  <si>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-2.084 mT)</t>
    </r>
  </si>
  <si>
    <t>HCMQAP134_pos5ap2</t>
  </si>
  <si>
    <t>THCMQAP134_pos5ap2.xls</t>
  </si>
  <si>
    <t>Sommaire : Valeurs intégrales calculées avec les fichiers: HCMQAP134_pos1ap2+HCMQAP134_pos2ap2+HCMQAP134_pos3ap2+HCMQAP134_pos4ap2+HCMQAP134_pos5ap2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</si>
  <si>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</si>
  <si>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</si>
  <si>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</si>
  <si>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</si>
  <si>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</si>
  <si>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</si>
  <si>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</si>
  <si>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</si>
  <si>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</si>
  <si>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</si>
  <si>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</si>
  <si>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</si>
  <si>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</si>
  <si>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</si>
  <si>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</si>
  <si>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</si>
  <si>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</si>
  <si>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</si>
  <si>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</si>
  <si>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</si>
  <si>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</si>
  <si>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</si>
  <si>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</si>
  <si>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</si>
  <si>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</si>
  <si>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</si>
  <si>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</si>
  <si>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</si>
  <si>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</si>
  <si>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</si>
  <si>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</si>
  <si>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</si>
  <si>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</si>
  <si>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</si>
  <si>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</si>
  <si>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</si>
  <si>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</si>
  <si>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</si>
  <si>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</si>
  <si>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</si>
  <si>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</si>
  <si>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</si>
  <si>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</si>
  <si>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</t>
    </r>
  </si>
  <si>
    <t>Gradient (T/m)</t>
  </si>
  <si>
    <t xml:space="preserve"> Thu 20/11/2003       09:39:00</t>
  </si>
  <si>
    <t>LISSNER</t>
  </si>
  <si>
    <t>HCMQAP134</t>
  </si>
  <si>
    <t>Aperture2</t>
  </si>
  <si>
    <t>Position</t>
  </si>
  <si>
    <t>Integrales</t>
  </si>
  <si>
    <t>Cn (T)</t>
  </si>
  <si>
    <t>Angle (Horiz,Cn)</t>
  </si>
  <si>
    <t>b1</t>
  </si>
  <si>
    <t>b2</t>
  </si>
  <si>
    <t>a1</t>
  </si>
  <si>
    <t>a2</t>
  </si>
  <si>
    <t>a4*!</t>
  </si>
  <si>
    <t>Temp taupe (deg)</t>
  </si>
  <si>
    <t>Niv init (mrad)</t>
  </si>
  <si>
    <t>Dx moy (mm)</t>
  </si>
  <si>
    <t>Dy moy (mm)</t>
  </si>
  <si>
    <t>C2 centre (T)</t>
  </si>
  <si>
    <t>Long. Mag. (m)</t>
  </si>
  <si>
    <t>* = Integral error  ! = Central error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</si>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</sst>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3" fillId="3" borderId="15" xfId="0" applyNumberFormat="1" applyFont="1" applyFill="1" applyBorder="1" applyAlignment="1">
      <alignment horizontal="center"/>
    </xf>
    <xf numFmtId="173" fontId="5" fillId="4" borderId="10" xfId="0" applyNumberFormat="1" applyFont="1" applyFill="1" applyBorder="1" applyAlignment="1">
      <alignment horizontal="center"/>
    </xf>
    <xf numFmtId="173" fontId="5" fillId="3" borderId="15" xfId="0" applyNumberFormat="1" applyFont="1" applyFill="1" applyBorder="1" applyAlignment="1">
      <alignment horizontal="center"/>
    </xf>
    <xf numFmtId="173" fontId="5" fillId="3" borderId="10" xfId="0" applyNumberFormat="1" applyFont="1" applyFill="1" applyBorder="1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4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0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1" fillId="0" borderId="66" xfId="0" applyNumberFormat="1" applyFont="1" applyBorder="1" applyAlignment="1">
      <alignment horizontal="center"/>
    </xf>
    <xf numFmtId="179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134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7541407"/>
        <c:axId val="763800"/>
      </c:lineChart>
      <c:catAx>
        <c:axId val="75414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763800"/>
        <c:crosses val="autoZero"/>
        <c:auto val="1"/>
        <c:lblOffset val="100"/>
        <c:noMultiLvlLbl val="0"/>
      </c:catAx>
      <c:valAx>
        <c:axId val="763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754140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28575</xdr:rowOff>
    </xdr:from>
    <xdr:to>
      <xdr:col>7</xdr:col>
      <xdr:colOff>19050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171450" y="6010275"/>
        <a:ext cx="5381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7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1</v>
      </c>
      <c r="F2" s="26"/>
      <c r="G2" s="26" t="s">
        <v>68</v>
      </c>
      <c r="H2" s="25">
        <v>2653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2</v>
      </c>
      <c r="F3" s="26"/>
      <c r="G3" s="26" t="s">
        <v>73</v>
      </c>
      <c r="H3" s="25">
        <v>2653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3</v>
      </c>
      <c r="F4" s="26"/>
      <c r="G4" s="26" t="s">
        <v>76</v>
      </c>
      <c r="H4" s="25">
        <v>2653</v>
      </c>
      <c r="I4" s="27" t="s">
        <v>77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4</v>
      </c>
      <c r="F5" s="26"/>
      <c r="G5" s="26" t="s">
        <v>78</v>
      </c>
      <c r="H5" s="25">
        <v>2653</v>
      </c>
      <c r="I5" s="27" t="s">
        <v>79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5</v>
      </c>
      <c r="F6" s="26"/>
      <c r="G6" s="26" t="s">
        <v>81</v>
      </c>
      <c r="H6" s="25">
        <v>2653</v>
      </c>
      <c r="I6" s="27" t="s">
        <v>82</v>
      </c>
      <c r="J6" s="30"/>
      <c r="K6" s="28"/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5" customHeight="1">
      <c r="A10" s="40"/>
      <c r="B10" s="24"/>
      <c r="C10" s="24"/>
      <c r="D10" s="25"/>
      <c r="E10" s="25"/>
      <c r="F10" s="26"/>
      <c r="G10" s="26"/>
      <c r="H10" s="25"/>
      <c r="I10" s="27"/>
      <c r="J10" s="30"/>
      <c r="K10" s="28"/>
      <c r="L10" s="28"/>
      <c r="M10" s="28"/>
      <c r="N10" s="28"/>
    </row>
    <row r="11" spans="1:14" s="29" customFormat="1" ht="18" customHeight="1">
      <c r="A11" s="41"/>
      <c r="B11" s="24"/>
      <c r="C11" s="24"/>
      <c r="D11" s="25"/>
      <c r="E11" s="33"/>
      <c r="F11" s="34"/>
      <c r="G11" s="4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38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8" customHeight="1">
      <c r="A13" s="40"/>
      <c r="B13" s="24"/>
      <c r="C13" s="24"/>
      <c r="D13" s="25"/>
      <c r="E13" s="33"/>
      <c r="F13" s="34"/>
      <c r="G13" s="34"/>
      <c r="H13" s="33"/>
      <c r="I13" s="35"/>
      <c r="J13" s="36"/>
      <c r="K13" s="37"/>
      <c r="L13" s="37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7"/>
      <c r="J14" s="30"/>
      <c r="K14" s="31"/>
      <c r="L14" s="28"/>
      <c r="M14" s="28"/>
      <c r="N14" s="28"/>
    </row>
    <row r="15" spans="1:14" s="29" customFormat="1" ht="15" customHeight="1">
      <c r="A15" s="40"/>
      <c r="B15" s="24"/>
      <c r="C15" s="24"/>
      <c r="D15" s="25"/>
      <c r="E15" s="25"/>
      <c r="F15" s="26"/>
      <c r="G15" s="26"/>
      <c r="H15" s="25"/>
      <c r="I15" s="28"/>
      <c r="J15" s="30"/>
      <c r="K15" s="31"/>
      <c r="L15" s="28"/>
      <c r="M15" s="28"/>
      <c r="N15" s="28"/>
    </row>
    <row r="16" spans="1:14" s="2" customFormat="1" ht="18" customHeight="1">
      <c r="A16" s="42"/>
      <c r="B16" s="20"/>
      <c r="C16" s="20"/>
      <c r="D16" s="15"/>
      <c r="E16" s="15"/>
      <c r="F16" s="22"/>
      <c r="G16" s="22"/>
      <c r="H16" s="15"/>
      <c r="I16" s="23"/>
      <c r="J16" s="17"/>
      <c r="K16"/>
      <c r="L16" s="4"/>
      <c r="M16" s="4"/>
      <c r="N16" s="4"/>
    </row>
    <row r="17" spans="10:14" ht="15" customHeight="1">
      <c r="J17" s="32"/>
      <c r="M17"/>
      <c r="N17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2.08473446E-05</v>
      </c>
      <c r="L2" s="55">
        <v>1.2645497775385128E-07</v>
      </c>
      <c r="M2" s="55">
        <v>7.357784700000001E-05</v>
      </c>
      <c r="N2" s="56">
        <v>1.8469544798472168E-07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-3.10041694E-05</v>
      </c>
      <c r="L3" s="55">
        <v>1.017233201554452E-07</v>
      </c>
      <c r="M3" s="55">
        <v>1.2567167E-05</v>
      </c>
      <c r="N3" s="56">
        <v>8.949236440052015E-08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-0.0022527774806578096</v>
      </c>
      <c r="L4" s="55">
        <v>6.818685349162534E-06</v>
      </c>
      <c r="M4" s="55">
        <v>3.038849332884321E-08</v>
      </c>
      <c r="N4" s="56">
        <v>-1.5133906</v>
      </c>
    </row>
    <row r="5" spans="1:14" ht="15" customHeight="1" thickBot="1">
      <c r="A5" t="s">
        <v>18</v>
      </c>
      <c r="B5" s="59">
        <v>37945.380532407406</v>
      </c>
      <c r="D5" s="60"/>
      <c r="E5" s="61" t="s">
        <v>59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2653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-1.3380768</v>
      </c>
      <c r="E8" s="78">
        <v>0.010262954811330102</v>
      </c>
      <c r="F8" s="78">
        <v>1.6260441</v>
      </c>
      <c r="G8" s="78">
        <v>0.025726161012475126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-1.07051398</v>
      </c>
      <c r="E9" s="80">
        <v>0.018606720688890056</v>
      </c>
      <c r="F9" s="80">
        <v>-0.42974885</v>
      </c>
      <c r="G9" s="80">
        <v>0.01319632417664201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1.0177470400000002</v>
      </c>
      <c r="E10" s="80">
        <v>0.013642732583847749</v>
      </c>
      <c r="F10" s="80">
        <v>0.48630338</v>
      </c>
      <c r="G10" s="80">
        <v>0.005407707140423756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1</v>
      </c>
      <c r="D11" s="77">
        <v>4.172694</v>
      </c>
      <c r="E11" s="78">
        <v>0.006266313932693273</v>
      </c>
      <c r="F11" s="78">
        <v>-0.024437657999999998</v>
      </c>
      <c r="G11" s="78">
        <v>0.010467404130453077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-0.1973183</v>
      </c>
      <c r="E12" s="80">
        <v>0.004825735939003697</v>
      </c>
      <c r="F12" s="80">
        <v>0.23105455</v>
      </c>
      <c r="G12" s="80">
        <v>0.010319470619368405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19.808961</v>
      </c>
      <c r="D13" s="83">
        <v>-0.006620543</v>
      </c>
      <c r="E13" s="80">
        <v>0.005142161343342507</v>
      </c>
      <c r="F13" s="80">
        <v>-0.17313909400000002</v>
      </c>
      <c r="G13" s="80">
        <v>0.006054901818234716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0.024115090500000002</v>
      </c>
      <c r="E14" s="80">
        <v>0.003731658060170568</v>
      </c>
      <c r="F14" s="80">
        <v>0.14437362999999998</v>
      </c>
      <c r="G14" s="80">
        <v>0.002942674259513356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-0.30076284</v>
      </c>
      <c r="E15" s="78">
        <v>0.002974231909488795</v>
      </c>
      <c r="F15" s="78">
        <v>0.0121165154</v>
      </c>
      <c r="G15" s="78">
        <v>0.004813532847533871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0.0008346191000000001</v>
      </c>
      <c r="E16" s="80">
        <v>0.00250584655830985</v>
      </c>
      <c r="F16" s="80">
        <v>0.0206552669</v>
      </c>
      <c r="G16" s="80">
        <v>0.0025031803506134916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-0.2669999897480011</v>
      </c>
      <c r="D17" s="83">
        <v>0.00082408809</v>
      </c>
      <c r="E17" s="80">
        <v>0.0021412669431810573</v>
      </c>
      <c r="F17" s="80">
        <v>-0.020940576760000003</v>
      </c>
      <c r="G17" s="80">
        <v>0.0019528390568847925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15.258999824523926</v>
      </c>
      <c r="D18" s="83">
        <v>0.00700879603</v>
      </c>
      <c r="E18" s="80">
        <v>0.0007652409713375707</v>
      </c>
      <c r="F18" s="80">
        <v>0.06625449000000001</v>
      </c>
      <c r="G18" s="80">
        <v>0.0012850605641089288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-0.2809999883174896</v>
      </c>
      <c r="D19" s="86">
        <v>-0.19348376</v>
      </c>
      <c r="E19" s="80">
        <v>0.000757966961942773</v>
      </c>
      <c r="F19" s="80">
        <v>0.014455395999999999</v>
      </c>
      <c r="G19" s="80">
        <v>0.0015567867729859646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0.15900040000000001</v>
      </c>
      <c r="D20" s="88">
        <v>-0.002871045607</v>
      </c>
      <c r="E20" s="89">
        <v>0.0009819775862435292</v>
      </c>
      <c r="F20" s="89">
        <v>-5.449323999999981E-05</v>
      </c>
      <c r="G20" s="89">
        <v>0.0018858401838289507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0.5547519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-0.08671096737639221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-2.2527877999999997</v>
      </c>
      <c r="I25" s="101" t="s">
        <v>49</v>
      </c>
      <c r="J25" s="102"/>
      <c r="K25" s="101"/>
      <c r="L25" s="104">
        <v>4.172765559765432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2.1058178786027653</v>
      </c>
      <c r="I26" s="106" t="s">
        <v>53</v>
      </c>
      <c r="J26" s="107"/>
      <c r="K26" s="106"/>
      <c r="L26" s="109">
        <v>0.30100680369437505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HCMQAP134_pos1ap2res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4.0967530000000006E-05</v>
      </c>
      <c r="L2" s="55">
        <v>1.502815969761915E-07</v>
      </c>
      <c r="M2" s="55">
        <v>5.2630014E-05</v>
      </c>
      <c r="N2" s="56">
        <v>1.974230804486733E-07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-2.8407710000000003E-05</v>
      </c>
      <c r="L3" s="55">
        <v>1.0217982741230521E-07</v>
      </c>
      <c r="M3" s="55">
        <v>1.1611212000000001E-05</v>
      </c>
      <c r="N3" s="56">
        <v>2.1583541999861975E-07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-0.003751092737674374</v>
      </c>
      <c r="L4" s="55">
        <v>-3.147655479253471E-05</v>
      </c>
      <c r="M4" s="55">
        <v>1.4452088946306432E-08</v>
      </c>
      <c r="N4" s="56">
        <v>4.1955529</v>
      </c>
    </row>
    <row r="5" spans="1:14" ht="15" customHeight="1" thickBot="1">
      <c r="A5" t="s">
        <v>18</v>
      </c>
      <c r="B5" s="59">
        <v>37945.3849537037</v>
      </c>
      <c r="D5" s="60"/>
      <c r="E5" s="61" t="s">
        <v>72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2653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-2.1840969</v>
      </c>
      <c r="E8" s="78">
        <v>0.01640979013085505</v>
      </c>
      <c r="F8" s="78">
        <v>-0.1923088</v>
      </c>
      <c r="G8" s="78">
        <v>0.006648528106054706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-0.50893462</v>
      </c>
      <c r="E9" s="80">
        <v>0.013962579483518176</v>
      </c>
      <c r="F9" s="114">
        <v>-3.0784108000000003</v>
      </c>
      <c r="G9" s="80">
        <v>0.006399240772031096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0.7607360400000001</v>
      </c>
      <c r="E10" s="80">
        <v>0.0035804203141914207</v>
      </c>
      <c r="F10" s="80">
        <v>0.43005952000000003</v>
      </c>
      <c r="G10" s="80">
        <v>0.007124166925936087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2</v>
      </c>
      <c r="D11" s="77">
        <v>4.0256821</v>
      </c>
      <c r="E11" s="78">
        <v>0.004869856696001412</v>
      </c>
      <c r="F11" s="78">
        <v>0.157814633</v>
      </c>
      <c r="G11" s="78">
        <v>0.006616028776475133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0.032073948830000004</v>
      </c>
      <c r="E12" s="80">
        <v>0.004669896608365256</v>
      </c>
      <c r="F12" s="80">
        <v>0.23332534000000002</v>
      </c>
      <c r="G12" s="80">
        <v>0.0032422542757149153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19.931031</v>
      </c>
      <c r="D13" s="83">
        <v>-0.107537708</v>
      </c>
      <c r="E13" s="80">
        <v>0.0027714359357535797</v>
      </c>
      <c r="F13" s="80">
        <v>-0.21395320399999998</v>
      </c>
      <c r="G13" s="80">
        <v>0.001499606722712081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0.0011647687</v>
      </c>
      <c r="E14" s="80">
        <v>0.0027227528004542495</v>
      </c>
      <c r="F14" s="80">
        <v>0.11752517</v>
      </c>
      <c r="G14" s="80">
        <v>0.004003242093428493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-0.04381246600000001</v>
      </c>
      <c r="E15" s="78">
        <v>0.0010023286489437922</v>
      </c>
      <c r="F15" s="78">
        <v>0.093516552</v>
      </c>
      <c r="G15" s="78">
        <v>0.0013162008937716437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0.0098214766</v>
      </c>
      <c r="E16" s="80">
        <v>0.0017663875590367862</v>
      </c>
      <c r="F16" s="80">
        <v>0.0199877798</v>
      </c>
      <c r="G16" s="80">
        <v>0.0019536763062947974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0.2770000100135803</v>
      </c>
      <c r="D17" s="83">
        <v>0.0017681169600000002</v>
      </c>
      <c r="E17" s="80">
        <v>0.00046997561344601537</v>
      </c>
      <c r="F17" s="80">
        <v>-0.003973131</v>
      </c>
      <c r="G17" s="80">
        <v>0.0012057927811626656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2.5429999828338623</v>
      </c>
      <c r="D18" s="83">
        <v>0.0087428197</v>
      </c>
      <c r="E18" s="80">
        <v>0.0012837502386985828</v>
      </c>
      <c r="F18" s="80">
        <v>0.033055191</v>
      </c>
      <c r="G18" s="80">
        <v>0.000765984424890093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0.2370000034570694</v>
      </c>
      <c r="D19" s="86">
        <v>-0.16698229999999997</v>
      </c>
      <c r="E19" s="80">
        <v>0.0009224337222809944</v>
      </c>
      <c r="F19" s="80">
        <v>0.022617196</v>
      </c>
      <c r="G19" s="80">
        <v>0.0014398587124902044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0.18365370000000003</v>
      </c>
      <c r="D20" s="88">
        <v>-0.0050212274</v>
      </c>
      <c r="E20" s="89">
        <v>0.000518585495929781</v>
      </c>
      <c r="F20" s="89">
        <v>-0.0026344864</v>
      </c>
      <c r="G20" s="89">
        <v>0.0007268190872412266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0.24006070000000004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0.24038767694065744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-3.7512247999999997</v>
      </c>
      <c r="I25" s="101" t="s">
        <v>49</v>
      </c>
      <c r="J25" s="102"/>
      <c r="K25" s="101"/>
      <c r="L25" s="104">
        <v>4.0287742340132855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2.1925469078555766</v>
      </c>
      <c r="I26" s="106" t="s">
        <v>53</v>
      </c>
      <c r="J26" s="107"/>
      <c r="K26" s="106"/>
      <c r="L26" s="109">
        <v>0.10327089461687577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HCMQAP134_pos2ap2res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2.22006552E-05</v>
      </c>
      <c r="L2" s="55">
        <v>5.6393332243533104E-08</v>
      </c>
      <c r="M2" s="55">
        <v>7.0653659E-05</v>
      </c>
      <c r="N2" s="56">
        <v>6.545424412095007E-08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-2.77037408E-05</v>
      </c>
      <c r="L3" s="55">
        <v>1.242369568200334E-07</v>
      </c>
      <c r="M3" s="55">
        <v>1.0516887000000002E-05</v>
      </c>
      <c r="N3" s="56">
        <v>5.7560893026450745E-08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-0.0037499961581141487</v>
      </c>
      <c r="L4" s="55">
        <v>-5.950238096383741E-05</v>
      </c>
      <c r="M4" s="55">
        <v>8.36089751619704E-08</v>
      </c>
      <c r="N4" s="56">
        <v>7.9329932</v>
      </c>
    </row>
    <row r="5" spans="1:14" ht="15" customHeight="1" thickBot="1">
      <c r="A5" t="s">
        <v>18</v>
      </c>
      <c r="B5" s="59">
        <v>37945.38945601852</v>
      </c>
      <c r="D5" s="60"/>
      <c r="E5" s="61" t="s">
        <v>75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2653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-1.4257678</v>
      </c>
      <c r="E8" s="78">
        <v>0.012567668143285327</v>
      </c>
      <c r="F8" s="78">
        <v>-0.42207507</v>
      </c>
      <c r="G8" s="78">
        <v>0.00923401314974181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-0.38598122</v>
      </c>
      <c r="E9" s="80">
        <v>0.01561336901349514</v>
      </c>
      <c r="F9" s="114">
        <v>-3.6672724000000003</v>
      </c>
      <c r="G9" s="80">
        <v>0.004105304378375196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0.69947973</v>
      </c>
      <c r="E10" s="80">
        <v>0.007825051115525167</v>
      </c>
      <c r="F10" s="80">
        <v>-0.22113328000000002</v>
      </c>
      <c r="G10" s="80">
        <v>0.007179379666837578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3</v>
      </c>
      <c r="D11" s="77">
        <v>3.5258271</v>
      </c>
      <c r="E11" s="78">
        <v>0.004107006225901881</v>
      </c>
      <c r="F11" s="78">
        <v>-0.37159075</v>
      </c>
      <c r="G11" s="78">
        <v>0.003996139568255377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-0.080811118</v>
      </c>
      <c r="E12" s="80">
        <v>0.0022510832044118564</v>
      </c>
      <c r="F12" s="80">
        <v>-0.01543085</v>
      </c>
      <c r="G12" s="80">
        <v>0.003992971144800577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20.074463</v>
      </c>
      <c r="D13" s="83">
        <v>-0.088386893</v>
      </c>
      <c r="E13" s="80">
        <v>0.002444824372192515</v>
      </c>
      <c r="F13" s="80">
        <v>-0.25985026</v>
      </c>
      <c r="G13" s="80">
        <v>0.004075267545871336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0.054204164</v>
      </c>
      <c r="E14" s="80">
        <v>0.001927366009266008</v>
      </c>
      <c r="F14" s="80">
        <v>0.089771381</v>
      </c>
      <c r="G14" s="80">
        <v>0.0013226142270159338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-0.05120071899999999</v>
      </c>
      <c r="E15" s="78">
        <v>0.0023058853831782185</v>
      </c>
      <c r="F15" s="78">
        <v>0.036540709</v>
      </c>
      <c r="G15" s="78">
        <v>0.0028079373461197773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12.506200000000002</v>
      </c>
      <c r="D16" s="83">
        <v>-0.0119161567</v>
      </c>
      <c r="E16" s="80">
        <v>0.0013886187726426511</v>
      </c>
      <c r="F16" s="80">
        <v>0.0226654473</v>
      </c>
      <c r="G16" s="80">
        <v>0.0017538769281368047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-0.2370000034570694</v>
      </c>
      <c r="D17" s="83">
        <v>0.003283815</v>
      </c>
      <c r="E17" s="80">
        <v>0.0017819940918119518</v>
      </c>
      <c r="F17" s="80">
        <v>-0.005577129</v>
      </c>
      <c r="G17" s="80">
        <v>0.0008053978893590388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26.448999404907227</v>
      </c>
      <c r="D18" s="83">
        <v>0.00222552324</v>
      </c>
      <c r="E18" s="80">
        <v>0.0009198906759952995</v>
      </c>
      <c r="F18" s="80">
        <v>0.032522337</v>
      </c>
      <c r="G18" s="80">
        <v>0.0006086034274353241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-0.26899999380111694</v>
      </c>
      <c r="D19" s="86">
        <v>-0.16628148</v>
      </c>
      <c r="E19" s="80">
        <v>0.0009482503543891266</v>
      </c>
      <c r="F19" s="80">
        <v>0.018625267</v>
      </c>
      <c r="G19" s="80">
        <v>0.0007356181960813384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0.0955361</v>
      </c>
      <c r="D20" s="88">
        <v>-0.004666478</v>
      </c>
      <c r="E20" s="89">
        <v>0.0006374343109868616</v>
      </c>
      <c r="F20" s="89">
        <v>-0.0007100753400000001</v>
      </c>
      <c r="G20" s="89">
        <v>0.0007979565641444698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0.3218145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0.45452741318886297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-3.7504682</v>
      </c>
      <c r="I25" s="101" t="s">
        <v>49</v>
      </c>
      <c r="J25" s="102"/>
      <c r="K25" s="101"/>
      <c r="L25" s="104">
        <v>3.5453542029788747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1.486930120830278</v>
      </c>
      <c r="I26" s="106" t="s">
        <v>53</v>
      </c>
      <c r="J26" s="107"/>
      <c r="K26" s="106"/>
      <c r="L26" s="109">
        <v>0.062902599631014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HCMQAP134_pos3ap2res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2.3800009600000003E-05</v>
      </c>
      <c r="L2" s="55">
        <v>7.249098877885503E-08</v>
      </c>
      <c r="M2" s="55">
        <v>0.00012767193000000002</v>
      </c>
      <c r="N2" s="56">
        <v>2.3334386342616094E-07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-2.86061404E-05</v>
      </c>
      <c r="L3" s="55">
        <v>8.332901828526049E-08</v>
      </c>
      <c r="M3" s="55">
        <v>1.041485E-05</v>
      </c>
      <c r="N3" s="56">
        <v>1.2841671620156097E-07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-0.0037488945522899555</v>
      </c>
      <c r="L4" s="55">
        <v>-6.952588113310227E-05</v>
      </c>
      <c r="M4" s="55">
        <v>5.0529764346622016E-08</v>
      </c>
      <c r="N4" s="56">
        <v>9.2717881</v>
      </c>
    </row>
    <row r="5" spans="1:14" ht="15" customHeight="1" thickBot="1">
      <c r="A5" t="s">
        <v>18</v>
      </c>
      <c r="B5" s="59">
        <v>37945.39413194444</v>
      </c>
      <c r="D5" s="60"/>
      <c r="E5" s="61" t="s">
        <v>75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2653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77">
        <v>-1.7840908000000002</v>
      </c>
      <c r="E8" s="78">
        <v>0.006783512862772877</v>
      </c>
      <c r="F8" s="78">
        <v>0.9059706500000001</v>
      </c>
      <c r="G8" s="78">
        <v>0.0038558179074063646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0.0350576358</v>
      </c>
      <c r="E9" s="80">
        <v>0.016262265780574433</v>
      </c>
      <c r="F9" s="80">
        <v>-1.8221370000000001</v>
      </c>
      <c r="G9" s="80">
        <v>0.010289812456976856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0.7458730600000001</v>
      </c>
      <c r="E10" s="80">
        <v>0.0031574576407874654</v>
      </c>
      <c r="F10" s="80">
        <v>0.0002925300000000006</v>
      </c>
      <c r="G10" s="80">
        <v>0.004994136048620424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4</v>
      </c>
      <c r="D11" s="77">
        <v>3.7979486000000002</v>
      </c>
      <c r="E11" s="78">
        <v>0.007214663231046121</v>
      </c>
      <c r="F11" s="78">
        <v>-0.018896913</v>
      </c>
      <c r="G11" s="78">
        <v>0.004100877071931798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-0.06255704</v>
      </c>
      <c r="E12" s="80">
        <v>0.005027626901449769</v>
      </c>
      <c r="F12" s="80">
        <v>0.028311069700000004</v>
      </c>
      <c r="G12" s="80">
        <v>0.005941438017672859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20.214844</v>
      </c>
      <c r="D13" s="83">
        <v>0.108448009</v>
      </c>
      <c r="E13" s="80">
        <v>0.002171648448175569</v>
      </c>
      <c r="F13" s="80">
        <v>0.038748082</v>
      </c>
      <c r="G13" s="80">
        <v>0.0030626891089818443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0.021974616600000003</v>
      </c>
      <c r="E14" s="80">
        <v>0.0018155779616484174</v>
      </c>
      <c r="F14" s="80">
        <v>-0.00444475486</v>
      </c>
      <c r="G14" s="80">
        <v>0.0019310989701495976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-0.04310933300000001</v>
      </c>
      <c r="E15" s="78">
        <v>0.0034639768373035946</v>
      </c>
      <c r="F15" s="78">
        <v>0.037100841</v>
      </c>
      <c r="G15" s="78">
        <v>0.002542686977977052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12.506400000000001</v>
      </c>
      <c r="D16" s="83">
        <v>-0.009616861700000002</v>
      </c>
      <c r="E16" s="80">
        <v>0.0025566146277384793</v>
      </c>
      <c r="F16" s="80">
        <v>-0.0076152766</v>
      </c>
      <c r="G16" s="80">
        <v>0.0016285704587037512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0.4779999852180481</v>
      </c>
      <c r="D17" s="83">
        <v>-0.015551104999999999</v>
      </c>
      <c r="E17" s="80">
        <v>0.0018426171763093065</v>
      </c>
      <c r="F17" s="80">
        <v>0.02791090071</v>
      </c>
      <c r="G17" s="80">
        <v>0.0011293840387766364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-0.5090000033378601</v>
      </c>
      <c r="D18" s="83">
        <v>0.007403434099999999</v>
      </c>
      <c r="E18" s="80">
        <v>0.0011621849045990724</v>
      </c>
      <c r="F18" s="80">
        <v>0.052127195</v>
      </c>
      <c r="G18" s="80">
        <v>0.0015656027413999847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0.1850000023841858</v>
      </c>
      <c r="D19" s="86">
        <v>-0.17127349</v>
      </c>
      <c r="E19" s="80">
        <v>0.0005100671224492788</v>
      </c>
      <c r="F19" s="80">
        <v>0.019751733</v>
      </c>
      <c r="G19" s="80">
        <v>0.0014323253205281228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0.0971566</v>
      </c>
      <c r="D20" s="88">
        <v>-0.00494016776</v>
      </c>
      <c r="E20" s="89">
        <v>0.0004365518709067858</v>
      </c>
      <c r="F20" s="89">
        <v>0.0016946796700000003</v>
      </c>
      <c r="G20" s="89">
        <v>0.0014289146997463126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0.5807479000000001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0.5312347753844391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-3.7495392</v>
      </c>
      <c r="I25" s="101" t="s">
        <v>49</v>
      </c>
      <c r="J25" s="102"/>
      <c r="K25" s="101"/>
      <c r="L25" s="104">
        <v>3.7979956110510305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2.0009404792012337</v>
      </c>
      <c r="I26" s="106" t="s">
        <v>53</v>
      </c>
      <c r="J26" s="107"/>
      <c r="K26" s="106"/>
      <c r="L26" s="109">
        <v>0.05687606697559326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HCMQAP134_pos4ap2res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4.354571500000001E-05</v>
      </c>
      <c r="L2" s="55">
        <v>1.0045528925514946E-07</v>
      </c>
      <c r="M2" s="55">
        <v>7.0465704E-05</v>
      </c>
      <c r="N2" s="56">
        <v>9.733632170135395E-08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-3.0951227E-05</v>
      </c>
      <c r="L3" s="55">
        <v>1.865293893624904E-07</v>
      </c>
      <c r="M3" s="55">
        <v>1.0055752E-05</v>
      </c>
      <c r="N3" s="56">
        <v>1.1106453914724106E-07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-0.0020838395854682317</v>
      </c>
      <c r="L4" s="55">
        <v>-4.473004560415025E-05</v>
      </c>
      <c r="M4" s="55">
        <v>5.1736242133082275E-08</v>
      </c>
      <c r="N4" s="56">
        <v>10.730955</v>
      </c>
    </row>
    <row r="5" spans="1:14" ht="15" customHeight="1" thickBot="1">
      <c r="A5" t="s">
        <v>18</v>
      </c>
      <c r="B5" s="59">
        <v>37945.39857638889</v>
      </c>
      <c r="D5" s="60"/>
      <c r="E5" s="61" t="s">
        <v>80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2653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7" t="s">
        <v>27</v>
      </c>
      <c r="B8" s="72" t="s">
        <v>28</v>
      </c>
      <c r="D8" s="115">
        <v>-4.9987794999999995</v>
      </c>
      <c r="E8" s="78">
        <v>0.005296441683849326</v>
      </c>
      <c r="F8" s="116">
        <v>10.577438</v>
      </c>
      <c r="G8" s="78">
        <v>0.021410057589412786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-1.8683169</v>
      </c>
      <c r="E9" s="80">
        <v>0.025135218199565965</v>
      </c>
      <c r="F9" s="80">
        <v>0.8011353999999999</v>
      </c>
      <c r="G9" s="80">
        <v>0.013159639099648473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-0.24693022999999997</v>
      </c>
      <c r="E10" s="80">
        <v>0.01262538172090638</v>
      </c>
      <c r="F10" s="80">
        <v>-0.70228936</v>
      </c>
      <c r="G10" s="80">
        <v>0.012423900665955024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5</v>
      </c>
      <c r="D11" s="117">
        <v>14.928507999999999</v>
      </c>
      <c r="E11" s="78">
        <v>0.006550720268353368</v>
      </c>
      <c r="F11" s="78">
        <v>1.3060757</v>
      </c>
      <c r="G11" s="78">
        <v>0.011059220205790064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-0.4074473</v>
      </c>
      <c r="E12" s="80">
        <v>0.004249860297350667</v>
      </c>
      <c r="F12" s="80">
        <v>0.5369109199999998</v>
      </c>
      <c r="G12" s="80">
        <v>0.0075752642648115875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20.327759</v>
      </c>
      <c r="D13" s="83">
        <v>-0.06687475200000001</v>
      </c>
      <c r="E13" s="80">
        <v>0.004348486647012441</v>
      </c>
      <c r="F13" s="80">
        <v>0.28709148</v>
      </c>
      <c r="G13" s="80">
        <v>0.0043838705964704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0.13940614099999998</v>
      </c>
      <c r="E14" s="80">
        <v>0.0029052834462617756</v>
      </c>
      <c r="F14" s="80">
        <v>0.015940636</v>
      </c>
      <c r="G14" s="80">
        <v>0.003767948155819562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-0.33308126</v>
      </c>
      <c r="E15" s="78">
        <v>0.0036269318865169748</v>
      </c>
      <c r="F15" s="78">
        <v>0.26098765999999995</v>
      </c>
      <c r="G15" s="78">
        <v>0.003495165679251486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12.506499999999999</v>
      </c>
      <c r="D16" s="83">
        <v>-0.036279025</v>
      </c>
      <c r="E16" s="80">
        <v>0.001461989369427977</v>
      </c>
      <c r="F16" s="80">
        <v>0.008383242045</v>
      </c>
      <c r="G16" s="80">
        <v>0.0027532189389117925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-0.21199999749660492</v>
      </c>
      <c r="D17" s="83">
        <v>-0.00625613696</v>
      </c>
      <c r="E17" s="80">
        <v>0.002528651082822142</v>
      </c>
      <c r="F17" s="80">
        <v>0.028672969000000003</v>
      </c>
      <c r="G17" s="80">
        <v>0.0032320807598594983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33.569000244140625</v>
      </c>
      <c r="D18" s="83">
        <v>0.0070076287</v>
      </c>
      <c r="E18" s="80">
        <v>0.0030394604960109037</v>
      </c>
      <c r="F18" s="80">
        <v>0.04360247899999999</v>
      </c>
      <c r="G18" s="80">
        <v>0.0016737987599453068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-0.27900001406669617</v>
      </c>
      <c r="D19" s="83">
        <v>-0.129972</v>
      </c>
      <c r="E19" s="80">
        <v>0.0015573938130738606</v>
      </c>
      <c r="F19" s="80">
        <v>-0.015529664000000002</v>
      </c>
      <c r="G19" s="80">
        <v>0.0016216723043000914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0.3427269</v>
      </c>
      <c r="D20" s="88">
        <v>-0.00063604087</v>
      </c>
      <c r="E20" s="89">
        <v>0.0011965218741921576</v>
      </c>
      <c r="F20" s="89">
        <v>0.0009608658500000001</v>
      </c>
      <c r="G20" s="89">
        <v>0.0015094022346596393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0.5822132999999999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0.614838950977053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-2.0843196</v>
      </c>
      <c r="I25" s="101" t="s">
        <v>49</v>
      </c>
      <c r="J25" s="102"/>
      <c r="K25" s="101"/>
      <c r="L25" s="104">
        <v>14.985532517738383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11.699144888985018</v>
      </c>
      <c r="I26" s="106" t="s">
        <v>53</v>
      </c>
      <c r="J26" s="107"/>
      <c r="K26" s="106"/>
      <c r="L26" s="109">
        <v>0.42315208192263826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HCMQAP134_pos5ap2res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40" t="s">
        <v>120</v>
      </c>
      <c r="B1" s="132" t="s">
        <v>68</v>
      </c>
      <c r="C1" s="122" t="s">
        <v>73</v>
      </c>
      <c r="D1" s="122" t="s">
        <v>76</v>
      </c>
      <c r="E1" s="122" t="s">
        <v>78</v>
      </c>
      <c r="F1" s="129" t="s">
        <v>81</v>
      </c>
      <c r="G1" s="163" t="s">
        <v>121</v>
      </c>
    </row>
    <row r="2" spans="1:7" ht="13.5" thickBot="1">
      <c r="A2" s="141" t="s">
        <v>90</v>
      </c>
      <c r="B2" s="133">
        <v>-2.2527877999999997</v>
      </c>
      <c r="C2" s="124">
        <v>-3.7512247999999997</v>
      </c>
      <c r="D2" s="124">
        <v>-3.7504682</v>
      </c>
      <c r="E2" s="124">
        <v>-3.7495392</v>
      </c>
      <c r="F2" s="130">
        <v>-2.0843196</v>
      </c>
      <c r="G2" s="164">
        <v>3.1169108391630207</v>
      </c>
    </row>
    <row r="3" spans="1:7" ht="14.25" thickBot="1" thickTop="1">
      <c r="A3" s="149" t="s">
        <v>89</v>
      </c>
      <c r="B3" s="150" t="s">
        <v>84</v>
      </c>
      <c r="C3" s="151" t="s">
        <v>85</v>
      </c>
      <c r="D3" s="151" t="s">
        <v>86</v>
      </c>
      <c r="E3" s="151" t="s">
        <v>87</v>
      </c>
      <c r="F3" s="152" t="s">
        <v>88</v>
      </c>
      <c r="G3" s="158" t="s">
        <v>122</v>
      </c>
    </row>
    <row r="4" spans="1:7" ht="12.75">
      <c r="A4" s="146" t="s">
        <v>91</v>
      </c>
      <c r="B4" s="147">
        <v>-1.3380768</v>
      </c>
      <c r="C4" s="148">
        <v>-2.1840969</v>
      </c>
      <c r="D4" s="148">
        <v>-1.4257678</v>
      </c>
      <c r="E4" s="148">
        <v>-1.7840908000000002</v>
      </c>
      <c r="F4" s="153">
        <v>-4.9987794999999995</v>
      </c>
      <c r="G4" s="159">
        <v>-2.159518696959725</v>
      </c>
    </row>
    <row r="5" spans="1:7" ht="12.75">
      <c r="A5" s="141" t="s">
        <v>93</v>
      </c>
      <c r="B5" s="135">
        <v>-1.07051398</v>
      </c>
      <c r="C5" s="119">
        <v>-0.50893462</v>
      </c>
      <c r="D5" s="119">
        <v>-0.38598122</v>
      </c>
      <c r="E5" s="119">
        <v>0.0350576358</v>
      </c>
      <c r="F5" s="154">
        <v>-1.8683169</v>
      </c>
      <c r="G5" s="160">
        <v>-0.6114248914228839</v>
      </c>
    </row>
    <row r="6" spans="1:7" ht="12.75">
      <c r="A6" s="141" t="s">
        <v>95</v>
      </c>
      <c r="B6" s="135">
        <v>1.0177470400000002</v>
      </c>
      <c r="C6" s="119">
        <v>0.7607360400000001</v>
      </c>
      <c r="D6" s="119">
        <v>0.69947973</v>
      </c>
      <c r="E6" s="119">
        <v>0.7458730600000001</v>
      </c>
      <c r="F6" s="154">
        <v>-0.24693022999999997</v>
      </c>
      <c r="G6" s="160">
        <v>0.6448303998382185</v>
      </c>
    </row>
    <row r="7" spans="1:7" ht="12.75">
      <c r="A7" s="141" t="s">
        <v>97</v>
      </c>
      <c r="B7" s="134">
        <v>4.172694</v>
      </c>
      <c r="C7" s="118">
        <v>4.0256821</v>
      </c>
      <c r="D7" s="118">
        <v>3.5258271</v>
      </c>
      <c r="E7" s="118">
        <v>3.7979486000000002</v>
      </c>
      <c r="F7" s="155">
        <v>14.928507999999999</v>
      </c>
      <c r="G7" s="160">
        <v>5.329706446891843</v>
      </c>
    </row>
    <row r="8" spans="1:7" ht="12.75">
      <c r="A8" s="141" t="s">
        <v>99</v>
      </c>
      <c r="B8" s="135">
        <v>-0.1973183</v>
      </c>
      <c r="C8" s="119">
        <v>0.032073948830000004</v>
      </c>
      <c r="D8" s="119">
        <v>-0.080811118</v>
      </c>
      <c r="E8" s="119">
        <v>-0.06255704</v>
      </c>
      <c r="F8" s="154">
        <v>-0.4074473</v>
      </c>
      <c r="G8" s="160">
        <v>-0.10976728156539577</v>
      </c>
    </row>
    <row r="9" spans="1:7" ht="12.75">
      <c r="A9" s="141" t="s">
        <v>101</v>
      </c>
      <c r="B9" s="135">
        <v>-0.006620543</v>
      </c>
      <c r="C9" s="119">
        <v>-0.107537708</v>
      </c>
      <c r="D9" s="119">
        <v>-0.088386893</v>
      </c>
      <c r="E9" s="119">
        <v>0.108448009</v>
      </c>
      <c r="F9" s="154">
        <v>-0.06687475200000001</v>
      </c>
      <c r="G9" s="160">
        <v>-0.03095668525268225</v>
      </c>
    </row>
    <row r="10" spans="1:7" ht="12.75">
      <c r="A10" s="141" t="s">
        <v>103</v>
      </c>
      <c r="B10" s="135">
        <v>0.024115090500000002</v>
      </c>
      <c r="C10" s="119">
        <v>0.0011647687</v>
      </c>
      <c r="D10" s="119">
        <v>0.054204164</v>
      </c>
      <c r="E10" s="119">
        <v>0.021974616600000003</v>
      </c>
      <c r="F10" s="154">
        <v>0.13940614099999998</v>
      </c>
      <c r="G10" s="160">
        <v>0.04073224852574541</v>
      </c>
    </row>
    <row r="11" spans="1:7" ht="12.75">
      <c r="A11" s="141" t="s">
        <v>105</v>
      </c>
      <c r="B11" s="134">
        <v>-0.30076284</v>
      </c>
      <c r="C11" s="118">
        <v>-0.04381246600000001</v>
      </c>
      <c r="D11" s="118">
        <v>-0.05120071899999999</v>
      </c>
      <c r="E11" s="118">
        <v>-0.04310933300000001</v>
      </c>
      <c r="F11" s="156">
        <v>-0.33308126</v>
      </c>
      <c r="G11" s="160">
        <v>-0.12123291608686754</v>
      </c>
    </row>
    <row r="12" spans="1:7" ht="12.75">
      <c r="A12" s="141" t="s">
        <v>107</v>
      </c>
      <c r="B12" s="135">
        <v>0.0008346191000000001</v>
      </c>
      <c r="C12" s="119">
        <v>0.0098214766</v>
      </c>
      <c r="D12" s="119">
        <v>-0.0119161567</v>
      </c>
      <c r="E12" s="119">
        <v>-0.009616861700000002</v>
      </c>
      <c r="F12" s="154">
        <v>-0.036279025</v>
      </c>
      <c r="G12" s="160">
        <v>-0.007546939973672304</v>
      </c>
    </row>
    <row r="13" spans="1:7" ht="12.75">
      <c r="A13" s="141" t="s">
        <v>109</v>
      </c>
      <c r="B13" s="135">
        <v>0.00082408809</v>
      </c>
      <c r="C13" s="119">
        <v>0.0017681169600000002</v>
      </c>
      <c r="D13" s="119">
        <v>0.003283815</v>
      </c>
      <c r="E13" s="119">
        <v>-0.015551104999999999</v>
      </c>
      <c r="F13" s="154">
        <v>-0.00625613696</v>
      </c>
      <c r="G13" s="160">
        <v>-0.003242444318426031</v>
      </c>
    </row>
    <row r="14" spans="1:7" ht="12.75">
      <c r="A14" s="141" t="s">
        <v>111</v>
      </c>
      <c r="B14" s="135">
        <v>0.00700879603</v>
      </c>
      <c r="C14" s="119">
        <v>0.0087428197</v>
      </c>
      <c r="D14" s="119">
        <v>0.00222552324</v>
      </c>
      <c r="E14" s="119">
        <v>0.007403434099999999</v>
      </c>
      <c r="F14" s="154">
        <v>0.0070076287</v>
      </c>
      <c r="G14" s="160">
        <v>0.006370015869497814</v>
      </c>
    </row>
    <row r="15" spans="1:7" ht="12.75">
      <c r="A15" s="141" t="s">
        <v>113</v>
      </c>
      <c r="B15" s="136">
        <v>-0.19348376</v>
      </c>
      <c r="C15" s="120">
        <v>-0.16698229999999997</v>
      </c>
      <c r="D15" s="120">
        <v>-0.16628148</v>
      </c>
      <c r="E15" s="120">
        <v>-0.17127349</v>
      </c>
      <c r="F15" s="154">
        <v>-0.129972</v>
      </c>
      <c r="G15" s="160">
        <v>-0.16672713838381556</v>
      </c>
    </row>
    <row r="16" spans="1:7" ht="12.75">
      <c r="A16" s="141" t="s">
        <v>115</v>
      </c>
      <c r="B16" s="135">
        <v>-0.002871045607</v>
      </c>
      <c r="C16" s="119">
        <v>-0.0050212274</v>
      </c>
      <c r="D16" s="119">
        <v>-0.004666478</v>
      </c>
      <c r="E16" s="119">
        <v>-0.00494016776</v>
      </c>
      <c r="F16" s="154">
        <v>-0.00063604087</v>
      </c>
      <c r="G16" s="160">
        <v>-0.004019296046992109</v>
      </c>
    </row>
    <row r="17" spans="1:7" ht="12.75">
      <c r="A17" s="141" t="s">
        <v>92</v>
      </c>
      <c r="B17" s="134">
        <v>1.6260441</v>
      </c>
      <c r="C17" s="118">
        <v>-0.1923088</v>
      </c>
      <c r="D17" s="118">
        <v>-0.42207507</v>
      </c>
      <c r="E17" s="118">
        <v>0.9059706500000001</v>
      </c>
      <c r="F17" s="155">
        <v>10.577438</v>
      </c>
      <c r="G17" s="160">
        <v>1.7193937351919926</v>
      </c>
    </row>
    <row r="18" spans="1:7" ht="12.75">
      <c r="A18" s="141" t="s">
        <v>94</v>
      </c>
      <c r="B18" s="135">
        <v>-0.42974885</v>
      </c>
      <c r="C18" s="120">
        <v>-3.0784108000000003</v>
      </c>
      <c r="D18" s="120">
        <v>-3.6672724000000003</v>
      </c>
      <c r="E18" s="119">
        <v>-1.8221370000000001</v>
      </c>
      <c r="F18" s="154">
        <v>0.8011353999999999</v>
      </c>
      <c r="G18" s="161">
        <v>-2.0163971994570935</v>
      </c>
    </row>
    <row r="19" spans="1:7" ht="12.75">
      <c r="A19" s="141" t="s">
        <v>96</v>
      </c>
      <c r="B19" s="135">
        <v>0.48630338</v>
      </c>
      <c r="C19" s="119">
        <v>0.43005952000000003</v>
      </c>
      <c r="D19" s="119">
        <v>-0.22113328000000002</v>
      </c>
      <c r="E19" s="119">
        <v>0.0002925300000000006</v>
      </c>
      <c r="F19" s="154">
        <v>-0.70228936</v>
      </c>
      <c r="G19" s="160">
        <v>0.026733847820705925</v>
      </c>
    </row>
    <row r="20" spans="1:7" ht="12.75">
      <c r="A20" s="141" t="s">
        <v>98</v>
      </c>
      <c r="B20" s="134">
        <v>-0.024437657999999998</v>
      </c>
      <c r="C20" s="118">
        <v>0.157814633</v>
      </c>
      <c r="D20" s="118">
        <v>-0.37159075</v>
      </c>
      <c r="E20" s="118">
        <v>-0.018896913</v>
      </c>
      <c r="F20" s="156">
        <v>1.3060757</v>
      </c>
      <c r="G20" s="160">
        <v>0.11513288307893976</v>
      </c>
    </row>
    <row r="21" spans="1:7" ht="12.75">
      <c r="A21" s="141" t="s">
        <v>100</v>
      </c>
      <c r="B21" s="135">
        <v>0.23105455</v>
      </c>
      <c r="C21" s="119">
        <v>0.23332534000000002</v>
      </c>
      <c r="D21" s="119">
        <v>-0.01543085</v>
      </c>
      <c r="E21" s="119">
        <v>0.028311069700000004</v>
      </c>
      <c r="F21" s="154">
        <v>0.5369109199999998</v>
      </c>
      <c r="G21" s="160">
        <v>0.16442720946822753</v>
      </c>
    </row>
    <row r="22" spans="1:7" ht="12.75">
      <c r="A22" s="141" t="s">
        <v>102</v>
      </c>
      <c r="B22" s="135">
        <v>-0.17313909400000002</v>
      </c>
      <c r="C22" s="119">
        <v>-0.21395320399999998</v>
      </c>
      <c r="D22" s="119">
        <v>-0.25985026</v>
      </c>
      <c r="E22" s="119">
        <v>0.038748082</v>
      </c>
      <c r="F22" s="154">
        <v>0.28709148</v>
      </c>
      <c r="G22" s="160">
        <v>-0.09131918638091652</v>
      </c>
    </row>
    <row r="23" spans="1:7" ht="12.75">
      <c r="A23" s="141" t="s">
        <v>104</v>
      </c>
      <c r="B23" s="135">
        <v>0.14437362999999998</v>
      </c>
      <c r="C23" s="119">
        <v>0.11752517</v>
      </c>
      <c r="D23" s="119">
        <v>0.089771381</v>
      </c>
      <c r="E23" s="119">
        <v>-0.00444475486</v>
      </c>
      <c r="F23" s="154">
        <v>0.015940636</v>
      </c>
      <c r="G23" s="160">
        <v>0.07180692880297651</v>
      </c>
    </row>
    <row r="24" spans="1:7" ht="12.75">
      <c r="A24" s="141" t="s">
        <v>106</v>
      </c>
      <c r="B24" s="134">
        <v>0.0121165154</v>
      </c>
      <c r="C24" s="118">
        <v>0.093516552</v>
      </c>
      <c r="D24" s="118">
        <v>0.036540709</v>
      </c>
      <c r="E24" s="118">
        <v>0.037100841</v>
      </c>
      <c r="F24" s="156">
        <v>0.26098765999999995</v>
      </c>
      <c r="G24" s="160">
        <v>0.07686739561621295</v>
      </c>
    </row>
    <row r="25" spans="1:7" ht="12.75">
      <c r="A25" s="141" t="s">
        <v>108</v>
      </c>
      <c r="B25" s="135">
        <v>0.0206552669</v>
      </c>
      <c r="C25" s="119">
        <v>0.0199877798</v>
      </c>
      <c r="D25" s="119">
        <v>0.0226654473</v>
      </c>
      <c r="E25" s="119">
        <v>-0.0076152766</v>
      </c>
      <c r="F25" s="154">
        <v>0.008383242045</v>
      </c>
      <c r="G25" s="160">
        <v>0.012537333063592197</v>
      </c>
    </row>
    <row r="26" spans="1:7" ht="12.75">
      <c r="A26" s="141" t="s">
        <v>110</v>
      </c>
      <c r="B26" s="135">
        <v>-0.020940576760000003</v>
      </c>
      <c r="C26" s="119">
        <v>-0.003973131</v>
      </c>
      <c r="D26" s="119">
        <v>-0.005577129</v>
      </c>
      <c r="E26" s="119">
        <v>0.02791090071</v>
      </c>
      <c r="F26" s="154">
        <v>0.028672969000000003</v>
      </c>
      <c r="G26" s="160">
        <v>0.005223200246664316</v>
      </c>
    </row>
    <row r="27" spans="1:7" ht="12.75">
      <c r="A27" s="141" t="s">
        <v>112</v>
      </c>
      <c r="B27" s="135">
        <v>0.06625449000000001</v>
      </c>
      <c r="C27" s="119">
        <v>0.033055191</v>
      </c>
      <c r="D27" s="119">
        <v>0.032522337</v>
      </c>
      <c r="E27" s="119">
        <v>0.052127195</v>
      </c>
      <c r="F27" s="154">
        <v>0.04360247899999999</v>
      </c>
      <c r="G27" s="160">
        <v>0.04372263049428141</v>
      </c>
    </row>
    <row r="28" spans="1:7" ht="12.75">
      <c r="A28" s="141" t="s">
        <v>114</v>
      </c>
      <c r="B28" s="135">
        <v>0.014455395999999999</v>
      </c>
      <c r="C28" s="119">
        <v>0.022617196</v>
      </c>
      <c r="D28" s="119">
        <v>0.018625267</v>
      </c>
      <c r="E28" s="119">
        <v>0.019751733</v>
      </c>
      <c r="F28" s="154">
        <v>-0.015529664000000002</v>
      </c>
      <c r="G28" s="160">
        <v>0.014687370038400895</v>
      </c>
    </row>
    <row r="29" spans="1:7" ht="13.5" thickBot="1">
      <c r="A29" s="142" t="s">
        <v>116</v>
      </c>
      <c r="B29" s="137">
        <v>-5.449323999999981E-05</v>
      </c>
      <c r="C29" s="121">
        <v>-0.0026344864</v>
      </c>
      <c r="D29" s="121">
        <v>-0.0007100753400000001</v>
      </c>
      <c r="E29" s="121">
        <v>0.0016946796700000003</v>
      </c>
      <c r="F29" s="157">
        <v>0.0009608658500000001</v>
      </c>
      <c r="G29" s="162">
        <v>-0.00027657904176257836</v>
      </c>
    </row>
    <row r="30" spans="1:7" ht="13.5" thickTop="1">
      <c r="A30" s="143" t="s">
        <v>117</v>
      </c>
      <c r="B30" s="138">
        <v>-0.08671096737639221</v>
      </c>
      <c r="C30" s="127">
        <v>0.24038767694065744</v>
      </c>
      <c r="D30" s="127">
        <v>0.45452741318886297</v>
      </c>
      <c r="E30" s="127">
        <v>0.5312347753844391</v>
      </c>
      <c r="F30" s="123">
        <v>0.614838950977053</v>
      </c>
      <c r="G30" s="163" t="s">
        <v>128</v>
      </c>
    </row>
    <row r="31" spans="1:7" ht="13.5" thickBot="1">
      <c r="A31" s="144" t="s">
        <v>118</v>
      </c>
      <c r="B31" s="133">
        <v>19.808961</v>
      </c>
      <c r="C31" s="124">
        <v>19.931031</v>
      </c>
      <c r="D31" s="124">
        <v>20.074463</v>
      </c>
      <c r="E31" s="124">
        <v>20.214844</v>
      </c>
      <c r="F31" s="125">
        <v>20.327759</v>
      </c>
      <c r="G31" s="165">
        <v>-209.49</v>
      </c>
    </row>
    <row r="32" spans="1:7" ht="15.75" thickBot="1" thickTop="1">
      <c r="A32" s="145" t="s">
        <v>119</v>
      </c>
      <c r="B32" s="139">
        <v>-0.27399998903274536</v>
      </c>
      <c r="C32" s="128">
        <v>0.25700000673532486</v>
      </c>
      <c r="D32" s="128">
        <v>-0.25299999862909317</v>
      </c>
      <c r="E32" s="128">
        <v>0.33149999380111694</v>
      </c>
      <c r="F32" s="126">
        <v>-0.24550000578165054</v>
      </c>
      <c r="G32" s="131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70.5" style="166" bestFit="1" customWidth="1"/>
    <col min="2" max="3" width="14.83203125" style="166" bestFit="1" customWidth="1"/>
    <col min="4" max="4" width="16" style="166" bestFit="1" customWidth="1"/>
    <col min="5" max="5" width="22.16015625" style="166" bestFit="1" customWidth="1"/>
    <col min="6" max="6" width="14.83203125" style="166" bestFit="1" customWidth="1"/>
    <col min="7" max="7" width="15.33203125" style="166" bestFit="1" customWidth="1"/>
    <col min="8" max="8" width="14.16015625" style="166" bestFit="1" customWidth="1"/>
    <col min="9" max="9" width="14.83203125" style="166" bestFit="1" customWidth="1"/>
    <col min="10" max="10" width="6.33203125" style="166" bestFit="1" customWidth="1"/>
    <col min="11" max="11" width="15" style="166" bestFit="1" customWidth="1"/>
    <col min="12" max="16384" width="10.66015625" style="166" customWidth="1"/>
  </cols>
  <sheetData>
    <row r="1" spans="1:5" ht="12.75">
      <c r="A1" s="166" t="s">
        <v>129</v>
      </c>
      <c r="B1" s="166" t="s">
        <v>130</v>
      </c>
      <c r="C1" s="166" t="s">
        <v>131</v>
      </c>
      <c r="D1" s="166" t="s">
        <v>132</v>
      </c>
      <c r="E1" s="166" t="s">
        <v>28</v>
      </c>
    </row>
    <row r="3" spans="1:7" ht="12.75">
      <c r="A3" s="166" t="s">
        <v>133</v>
      </c>
      <c r="B3" s="166" t="s">
        <v>84</v>
      </c>
      <c r="C3" s="166" t="s">
        <v>85</v>
      </c>
      <c r="D3" s="166" t="s">
        <v>86</v>
      </c>
      <c r="E3" s="166" t="s">
        <v>87</v>
      </c>
      <c r="F3" s="166" t="s">
        <v>88</v>
      </c>
      <c r="G3" s="166" t="s">
        <v>134</v>
      </c>
    </row>
    <row r="4" spans="1:7" ht="12.75">
      <c r="A4" s="166" t="s">
        <v>135</v>
      </c>
      <c r="B4" s="166">
        <f>0.002252*1.0033</f>
        <v>0.0022594316000000003</v>
      </c>
      <c r="C4" s="166">
        <f>0.003749*1.0033</f>
        <v>0.0037613717000000006</v>
      </c>
      <c r="D4" s="166">
        <f>0.003749*1.0033</f>
        <v>0.0037613717000000006</v>
      </c>
      <c r="E4" s="166">
        <f>0.003748*1.0033</f>
        <v>0.0037603684</v>
      </c>
      <c r="F4" s="166">
        <f>0.002083*1.0033</f>
        <v>0.0020898739</v>
      </c>
      <c r="G4" s="166">
        <f>0.011683*1.0033</f>
        <v>0.011721553900000002</v>
      </c>
    </row>
    <row r="5" spans="1:7" ht="12.75">
      <c r="A5" s="166" t="s">
        <v>136</v>
      </c>
      <c r="B5" s="166">
        <v>8.037771</v>
      </c>
      <c r="C5" s="166">
        <v>2.374201</v>
      </c>
      <c r="D5" s="166">
        <v>-1.87678</v>
      </c>
      <c r="E5" s="166">
        <v>-2.730254</v>
      </c>
      <c r="F5" s="166">
        <v>-4.692998</v>
      </c>
      <c r="G5" s="166">
        <v>6.30091</v>
      </c>
    </row>
    <row r="6" spans="1:7" ht="12.75">
      <c r="A6" s="166" t="s">
        <v>137</v>
      </c>
      <c r="B6" s="167">
        <v>0.9800784</v>
      </c>
      <c r="C6" s="167">
        <v>-14.00689</v>
      </c>
      <c r="D6" s="167">
        <v>38.38771</v>
      </c>
      <c r="E6" s="167">
        <v>35.62669</v>
      </c>
      <c r="F6" s="167">
        <v>-109.0245</v>
      </c>
      <c r="G6" s="167">
        <v>1.733231E-05</v>
      </c>
    </row>
    <row r="7" spans="1:7" ht="12.75">
      <c r="A7" s="166" t="s">
        <v>138</v>
      </c>
      <c r="B7" s="167">
        <v>10000</v>
      </c>
      <c r="C7" s="167">
        <v>10000</v>
      </c>
      <c r="D7" s="167">
        <v>10000</v>
      </c>
      <c r="E7" s="167">
        <v>10000</v>
      </c>
      <c r="F7" s="167">
        <v>10000</v>
      </c>
      <c r="G7" s="167">
        <v>10000</v>
      </c>
    </row>
    <row r="8" spans="1:7" ht="12.75">
      <c r="A8" s="166" t="s">
        <v>91</v>
      </c>
      <c r="B8" s="167">
        <v>-1.385121</v>
      </c>
      <c r="C8" s="167">
        <v>-2.07432</v>
      </c>
      <c r="D8" s="167">
        <v>-1.359422</v>
      </c>
      <c r="E8" s="167">
        <v>-1.82236</v>
      </c>
      <c r="F8" s="167">
        <v>-4.765404</v>
      </c>
      <c r="G8" s="167">
        <v>-2.10193</v>
      </c>
    </row>
    <row r="9" spans="1:7" ht="12.75">
      <c r="A9" s="166" t="s">
        <v>93</v>
      </c>
      <c r="B9" s="167">
        <v>-1.051986</v>
      </c>
      <c r="C9" s="167">
        <v>-0.5117668</v>
      </c>
      <c r="D9" s="167">
        <v>-0.4004296</v>
      </c>
      <c r="E9" s="167">
        <v>0.01994645</v>
      </c>
      <c r="F9" s="167">
        <v>-1.892677</v>
      </c>
      <c r="G9" s="167">
        <v>-0.6197513</v>
      </c>
    </row>
    <row r="10" spans="1:7" ht="12.75">
      <c r="A10" s="166" t="s">
        <v>95</v>
      </c>
      <c r="B10" s="167">
        <v>1.004353</v>
      </c>
      <c r="C10" s="167">
        <v>0.7156016</v>
      </c>
      <c r="D10" s="167">
        <v>0.7774245</v>
      </c>
      <c r="E10" s="167">
        <v>0.8108626</v>
      </c>
      <c r="F10" s="167">
        <v>-1.034278</v>
      </c>
      <c r="G10" s="167">
        <v>0.5611562</v>
      </c>
    </row>
    <row r="11" spans="1:7" ht="12.75">
      <c r="A11" s="166" t="s">
        <v>97</v>
      </c>
      <c r="B11" s="167">
        <v>4.182642</v>
      </c>
      <c r="C11" s="167">
        <v>4.009399</v>
      </c>
      <c r="D11" s="167">
        <v>3.523021</v>
      </c>
      <c r="E11" s="167">
        <v>3.798267</v>
      </c>
      <c r="F11" s="167">
        <v>15.0133</v>
      </c>
      <c r="G11" s="167">
        <v>5.337856</v>
      </c>
    </row>
    <row r="12" spans="1:7" ht="12.75">
      <c r="A12" s="166" t="s">
        <v>99</v>
      </c>
      <c r="B12" s="167">
        <v>-0.2253491</v>
      </c>
      <c r="C12" s="167">
        <v>0.04248618</v>
      </c>
      <c r="D12" s="167">
        <v>-0.07577479</v>
      </c>
      <c r="E12" s="167">
        <v>-0.06085053</v>
      </c>
      <c r="F12" s="167">
        <v>-0.3738547</v>
      </c>
      <c r="G12" s="167">
        <v>-0.1051961</v>
      </c>
    </row>
    <row r="13" spans="1:7" ht="12.75">
      <c r="A13" s="166" t="s">
        <v>101</v>
      </c>
      <c r="B13" s="167">
        <v>0.01605732</v>
      </c>
      <c r="C13" s="167">
        <v>-0.1131653</v>
      </c>
      <c r="D13" s="167">
        <v>-0.0946101</v>
      </c>
      <c r="E13" s="167">
        <v>0.110477</v>
      </c>
      <c r="F13" s="167">
        <v>-0.06882938</v>
      </c>
      <c r="G13" s="167">
        <v>-0.0303029</v>
      </c>
    </row>
    <row r="14" spans="1:7" ht="12.75">
      <c r="A14" s="166" t="s">
        <v>103</v>
      </c>
      <c r="B14" s="167">
        <v>0.01389735</v>
      </c>
      <c r="C14" s="167">
        <v>-0.00961891</v>
      </c>
      <c r="D14" s="167">
        <v>0.05236273</v>
      </c>
      <c r="E14" s="167">
        <v>0.02372698</v>
      </c>
      <c r="F14" s="167">
        <v>0.1939027</v>
      </c>
      <c r="G14" s="167">
        <v>0.04392252</v>
      </c>
    </row>
    <row r="15" spans="1:7" ht="12.75">
      <c r="A15" s="166" t="s">
        <v>105</v>
      </c>
      <c r="B15" s="167">
        <v>-0.2996468</v>
      </c>
      <c r="C15" s="167">
        <v>-0.04907472</v>
      </c>
      <c r="D15" s="167">
        <v>-0.05320543</v>
      </c>
      <c r="E15" s="167">
        <v>-0.04304585</v>
      </c>
      <c r="F15" s="167">
        <v>-0.3162236</v>
      </c>
      <c r="G15" s="167">
        <v>-0.1205474</v>
      </c>
    </row>
    <row r="16" spans="1:7" ht="12.75">
      <c r="A16" s="166" t="s">
        <v>107</v>
      </c>
      <c r="B16" s="167">
        <v>-0.0022037</v>
      </c>
      <c r="C16" s="167">
        <v>0.01089418</v>
      </c>
      <c r="D16" s="167">
        <v>-0.009956768</v>
      </c>
      <c r="E16" s="167">
        <v>-0.006675566</v>
      </c>
      <c r="F16" s="167">
        <v>-0.0335483</v>
      </c>
      <c r="G16" s="167">
        <v>-0.00618406</v>
      </c>
    </row>
    <row r="17" spans="1:7" ht="12.75">
      <c r="A17" s="166" t="s">
        <v>109</v>
      </c>
      <c r="B17" s="167">
        <v>0.009402148</v>
      </c>
      <c r="C17" s="167">
        <v>-0.002264486</v>
      </c>
      <c r="D17" s="167">
        <v>0.0008496553</v>
      </c>
      <c r="E17" s="167">
        <v>-0.008485766</v>
      </c>
      <c r="F17" s="167">
        <v>-0.001120966</v>
      </c>
      <c r="G17" s="167">
        <v>-0.001173073</v>
      </c>
    </row>
    <row r="18" spans="1:7" ht="12.75">
      <c r="A18" s="166" t="s">
        <v>111</v>
      </c>
      <c r="B18" s="167">
        <v>0.0001646012</v>
      </c>
      <c r="C18" s="167">
        <v>0.00790749</v>
      </c>
      <c r="D18" s="167">
        <v>-8.361537E-05</v>
      </c>
      <c r="E18" s="167">
        <v>0.007754029</v>
      </c>
      <c r="F18" s="167">
        <v>0.01517924</v>
      </c>
      <c r="G18" s="167">
        <v>0.005799632</v>
      </c>
    </row>
    <row r="19" spans="1:7" ht="12.75">
      <c r="A19" s="166" t="s">
        <v>113</v>
      </c>
      <c r="B19" s="167">
        <v>-0.1939231</v>
      </c>
      <c r="C19" s="167">
        <v>-0.1676147</v>
      </c>
      <c r="D19" s="167">
        <v>-0.1657426</v>
      </c>
      <c r="E19" s="167">
        <v>-0.1703887</v>
      </c>
      <c r="F19" s="167">
        <v>-0.1307</v>
      </c>
      <c r="G19" s="167">
        <v>-0.1666982</v>
      </c>
    </row>
    <row r="20" spans="1:7" ht="12.75">
      <c r="A20" s="166" t="s">
        <v>115</v>
      </c>
      <c r="B20" s="167">
        <v>-0.002841701</v>
      </c>
      <c r="C20" s="167">
        <v>-0.004927848</v>
      </c>
      <c r="D20" s="167">
        <v>-0.004691416</v>
      </c>
      <c r="E20" s="167">
        <v>-0.004862727</v>
      </c>
      <c r="F20" s="167">
        <v>-0.0005677783</v>
      </c>
      <c r="G20" s="167">
        <v>-0.003970881</v>
      </c>
    </row>
    <row r="21" spans="1:7" ht="12.75">
      <c r="A21" s="166" t="s">
        <v>139</v>
      </c>
      <c r="B21" s="167">
        <v>-71.69987</v>
      </c>
      <c r="C21" s="167">
        <v>113.4484</v>
      </c>
      <c r="D21" s="167">
        <v>64.91053</v>
      </c>
      <c r="E21" s="167">
        <v>-87.42501</v>
      </c>
      <c r="F21" s="167">
        <v>-86.24623</v>
      </c>
      <c r="G21" s="167">
        <v>-0.002169685</v>
      </c>
    </row>
    <row r="22" spans="1:7" ht="12.75">
      <c r="A22" s="166" t="s">
        <v>140</v>
      </c>
      <c r="B22" s="167">
        <v>160.7693</v>
      </c>
      <c r="C22" s="167">
        <v>47.48437</v>
      </c>
      <c r="D22" s="167">
        <v>-37.53577</v>
      </c>
      <c r="E22" s="167">
        <v>-54.60562</v>
      </c>
      <c r="F22" s="167">
        <v>-93.86272</v>
      </c>
      <c r="G22" s="167">
        <v>0</v>
      </c>
    </row>
    <row r="23" spans="1:7" ht="12.75">
      <c r="A23" s="166" t="s">
        <v>92</v>
      </c>
      <c r="B23" s="167">
        <v>1.626432</v>
      </c>
      <c r="C23" s="167">
        <v>-0.2069606</v>
      </c>
      <c r="D23" s="167">
        <v>-0.458481</v>
      </c>
      <c r="E23" s="167">
        <v>0.9056139</v>
      </c>
      <c r="F23" s="167">
        <v>10.67588</v>
      </c>
      <c r="G23" s="167">
        <v>1.720104</v>
      </c>
    </row>
    <row r="24" spans="1:7" ht="12.75">
      <c r="A24" s="166" t="s">
        <v>141</v>
      </c>
      <c r="B24" s="167">
        <v>-0.481384</v>
      </c>
      <c r="C24" s="167">
        <v>-3.049284</v>
      </c>
      <c r="D24" s="167">
        <v>-3.644634</v>
      </c>
      <c r="E24" s="167">
        <v>-1.847682</v>
      </c>
      <c r="F24" s="167">
        <v>0.9246239</v>
      </c>
      <c r="G24" s="167">
        <v>-2.001113</v>
      </c>
    </row>
    <row r="25" spans="1:7" ht="12.75">
      <c r="A25" s="166" t="s">
        <v>96</v>
      </c>
      <c r="B25" s="167">
        <v>0.3719547</v>
      </c>
      <c r="C25" s="167">
        <v>0.6630565</v>
      </c>
      <c r="D25" s="167">
        <v>-0.1236818</v>
      </c>
      <c r="E25" s="167">
        <v>-0.1794374</v>
      </c>
      <c r="F25" s="167">
        <v>-1.399367</v>
      </c>
      <c r="G25" s="167">
        <v>-0.04669485</v>
      </c>
    </row>
    <row r="26" spans="1:7" ht="12.75">
      <c r="A26" s="166" t="s">
        <v>98</v>
      </c>
      <c r="B26" s="167">
        <v>0.1884214</v>
      </c>
      <c r="C26" s="167">
        <v>0.2171904</v>
      </c>
      <c r="D26" s="167">
        <v>-0.4131489</v>
      </c>
      <c r="E26" s="167">
        <v>-0.07578765</v>
      </c>
      <c r="F26" s="167">
        <v>0.8685126</v>
      </c>
      <c r="G26" s="167">
        <v>0.07807133</v>
      </c>
    </row>
    <row r="27" spans="1:7" ht="12.75">
      <c r="A27" s="166" t="s">
        <v>100</v>
      </c>
      <c r="B27" s="167">
        <v>0.209685</v>
      </c>
      <c r="C27" s="167">
        <v>0.2205658</v>
      </c>
      <c r="D27" s="167">
        <v>-0.03216639</v>
      </c>
      <c r="E27" s="167">
        <v>0.01748817</v>
      </c>
      <c r="F27" s="167">
        <v>0.5263492</v>
      </c>
      <c r="G27" s="167">
        <v>0.1502184</v>
      </c>
    </row>
    <row r="28" spans="1:7" ht="12.75">
      <c r="A28" s="166" t="s">
        <v>102</v>
      </c>
      <c r="B28" s="167">
        <v>-0.1745914</v>
      </c>
      <c r="C28" s="167">
        <v>-0.2175174</v>
      </c>
      <c r="D28" s="167">
        <v>-0.2526804</v>
      </c>
      <c r="E28" s="167">
        <v>0.03477588</v>
      </c>
      <c r="F28" s="167">
        <v>0.2734021</v>
      </c>
      <c r="G28" s="167">
        <v>-0.09345245</v>
      </c>
    </row>
    <row r="29" spans="1:7" ht="12.75">
      <c r="A29" s="166" t="s">
        <v>104</v>
      </c>
      <c r="B29" s="167">
        <v>0.167423</v>
      </c>
      <c r="C29" s="167">
        <v>0.1122237</v>
      </c>
      <c r="D29" s="167">
        <v>0.08764266</v>
      </c>
      <c r="E29" s="167">
        <v>0.0002951425</v>
      </c>
      <c r="F29" s="167">
        <v>0.007833768</v>
      </c>
      <c r="G29" s="167">
        <v>0.07340677</v>
      </c>
    </row>
    <row r="30" spans="1:7" ht="12.75">
      <c r="A30" s="166" t="s">
        <v>106</v>
      </c>
      <c r="B30" s="167">
        <v>-0.01308378</v>
      </c>
      <c r="C30" s="167">
        <v>0.09249848</v>
      </c>
      <c r="D30" s="167">
        <v>0.03670802</v>
      </c>
      <c r="E30" s="167">
        <v>0.03776315</v>
      </c>
      <c r="F30" s="167">
        <v>0.2771874</v>
      </c>
      <c r="G30" s="167">
        <v>0.07534165</v>
      </c>
    </row>
    <row r="31" spans="1:7" ht="12.75">
      <c r="A31" s="166" t="s">
        <v>108</v>
      </c>
      <c r="B31" s="167">
        <v>0.02336305</v>
      </c>
      <c r="C31" s="167">
        <v>0.02287821</v>
      </c>
      <c r="D31" s="167">
        <v>0.02559516</v>
      </c>
      <c r="E31" s="167">
        <v>-0.002767347</v>
      </c>
      <c r="F31" s="167">
        <v>0.009809576</v>
      </c>
      <c r="G31" s="167">
        <v>0.01568573</v>
      </c>
    </row>
    <row r="32" spans="1:7" ht="12.75">
      <c r="A32" s="166" t="s">
        <v>110</v>
      </c>
      <c r="B32" s="167">
        <v>-0.02115445</v>
      </c>
      <c r="C32" s="167">
        <v>-0.003644979</v>
      </c>
      <c r="D32" s="167">
        <v>-0.004537521</v>
      </c>
      <c r="E32" s="167">
        <v>0.02955028</v>
      </c>
      <c r="F32" s="167">
        <v>0.02155901</v>
      </c>
      <c r="G32" s="167">
        <v>0.00496461</v>
      </c>
    </row>
    <row r="33" spans="1:7" ht="12.75">
      <c r="A33" s="166" t="s">
        <v>112</v>
      </c>
      <c r="B33" s="167">
        <v>0.07220662</v>
      </c>
      <c r="C33" s="167">
        <v>0.02552971</v>
      </c>
      <c r="D33" s="167">
        <v>0.02845729</v>
      </c>
      <c r="E33" s="167">
        <v>0.05818831</v>
      </c>
      <c r="F33" s="167">
        <v>0.04802829</v>
      </c>
      <c r="G33" s="167">
        <v>0.0438431</v>
      </c>
    </row>
    <row r="34" spans="1:7" ht="12.75">
      <c r="A34" s="166" t="s">
        <v>114</v>
      </c>
      <c r="B34" s="167">
        <v>-0.007322918</v>
      </c>
      <c r="C34" s="167">
        <v>0.01703058</v>
      </c>
      <c r="D34" s="167">
        <v>0.02297534</v>
      </c>
      <c r="E34" s="167">
        <v>0.02633445</v>
      </c>
      <c r="F34" s="167">
        <v>-0.006968088</v>
      </c>
      <c r="G34" s="167">
        <v>0.01396442</v>
      </c>
    </row>
    <row r="35" spans="1:7" ht="12.75">
      <c r="A35" s="166" t="s">
        <v>116</v>
      </c>
      <c r="B35" s="167">
        <v>-0.0003989638</v>
      </c>
      <c r="C35" s="167">
        <v>-0.002812329</v>
      </c>
      <c r="D35" s="167">
        <v>-0.0005793112</v>
      </c>
      <c r="E35" s="167">
        <v>0.001896487</v>
      </c>
      <c r="F35" s="167">
        <v>0.001004055</v>
      </c>
      <c r="G35" s="167">
        <v>-0.0002835711</v>
      </c>
    </row>
    <row r="36" spans="1:6" ht="12.75">
      <c r="A36" s="166" t="s">
        <v>142</v>
      </c>
      <c r="B36" s="167">
        <v>20.32776</v>
      </c>
      <c r="C36" s="167">
        <v>20.32776</v>
      </c>
      <c r="D36" s="167">
        <v>20.33691</v>
      </c>
      <c r="E36" s="167">
        <v>20.33691</v>
      </c>
      <c r="F36" s="167">
        <v>20.34912</v>
      </c>
    </row>
    <row r="37" spans="1:6" ht="12.75">
      <c r="A37" s="166" t="s">
        <v>143</v>
      </c>
      <c r="B37" s="167">
        <v>-0.2451579</v>
      </c>
      <c r="C37" s="167">
        <v>-0.2309163</v>
      </c>
      <c r="D37" s="167">
        <v>-0.227356</v>
      </c>
      <c r="E37" s="167">
        <v>-0.2248128</v>
      </c>
      <c r="F37" s="167">
        <v>-0.2222697</v>
      </c>
    </row>
    <row r="38" spans="1:7" ht="12.75">
      <c r="A38" s="166" t="s">
        <v>144</v>
      </c>
      <c r="B38" s="167">
        <v>0</v>
      </c>
      <c r="C38" s="167">
        <v>2.289541E-05</v>
      </c>
      <c r="D38" s="167">
        <v>-6.484399E-05</v>
      </c>
      <c r="E38" s="167">
        <v>-6.137511E-05</v>
      </c>
      <c r="F38" s="167">
        <v>0.0001839493</v>
      </c>
      <c r="G38" s="167">
        <v>0.0001596153</v>
      </c>
    </row>
    <row r="39" spans="1:7" ht="12.75">
      <c r="A39" s="166" t="s">
        <v>145</v>
      </c>
      <c r="B39" s="167">
        <v>0.0001218851</v>
      </c>
      <c r="C39" s="167">
        <v>-0.0001929709</v>
      </c>
      <c r="D39" s="167">
        <v>-0.0001105913</v>
      </c>
      <c r="E39" s="167">
        <v>0.0001482874</v>
      </c>
      <c r="F39" s="167">
        <v>0.0001483452</v>
      </c>
      <c r="G39" s="167">
        <v>0.0004328305</v>
      </c>
    </row>
    <row r="40" spans="2:5" ht="12.75">
      <c r="B40" s="166" t="s">
        <v>146</v>
      </c>
      <c r="C40" s="166">
        <v>-0.003748</v>
      </c>
      <c r="D40" s="166" t="s">
        <v>147</v>
      </c>
      <c r="E40" s="166">
        <v>3.116909</v>
      </c>
    </row>
    <row r="42" ht="12.75">
      <c r="A42" s="166" t="s">
        <v>148</v>
      </c>
    </row>
    <row r="50" spans="1:7" ht="12.75">
      <c r="A50" s="166" t="s">
        <v>149</v>
      </c>
      <c r="B50" s="166">
        <f>-0.017/(B7*B7+B22*B22)*(B21*B22+B6*B7)</f>
        <v>2.934043291627301E-07</v>
      </c>
      <c r="C50" s="166">
        <f>-0.017/(C7*C7+C22*C22)*(C21*C22+C6*C7)</f>
        <v>2.289540237613398E-05</v>
      </c>
      <c r="D50" s="166">
        <f>-0.017/(D7*D7+D22*D22)*(D21*D22+D6*D7)</f>
        <v>-6.484399404770991E-05</v>
      </c>
      <c r="E50" s="166">
        <f>-0.017/(E7*E7+E22*E22)*(E21*E22+E6*E7)</f>
        <v>-6.13751054019015E-05</v>
      </c>
      <c r="F50" s="166">
        <f>-0.017/(F7*F7+F22*F22)*(F21*F22+F6*F7)</f>
        <v>0.00018394924170975064</v>
      </c>
      <c r="G50" s="166">
        <f>(B50*B$4+C50*C$4+D50*D$4+E50*E$4+F50*F$4)/SUM(B$4:F$4)</f>
        <v>-2.2284501587702406E-07</v>
      </c>
    </row>
    <row r="51" spans="1:7" ht="12.75">
      <c r="A51" s="166" t="s">
        <v>150</v>
      </c>
      <c r="B51" s="166">
        <f>-0.017/(B7*B7+B22*B22)*(B21*B7-B6*B22)</f>
        <v>0.00012188506195913838</v>
      </c>
      <c r="C51" s="166">
        <f>-0.017/(C7*C7+C22*C22)*(C21*C7-C6*C22)</f>
        <v>-0.00019297099737577273</v>
      </c>
      <c r="D51" s="166">
        <f>-0.017/(D7*D7+D22*D22)*(D21*D7-D6*D22)</f>
        <v>-0.00011059129792464563</v>
      </c>
      <c r="E51" s="166">
        <f>-0.017/(E7*E7+E22*E22)*(E21*E7-E6*E22)</f>
        <v>0.00014828737443169638</v>
      </c>
      <c r="F51" s="166">
        <f>-0.017/(F7*F7+F22*F22)*(F21*F7-F6*F22)</f>
        <v>0.00014834518861688148</v>
      </c>
      <c r="G51" s="166">
        <f>(B51*B$4+C51*C$4+D51*D$4+E51*E$4+F51*F$4)/SUM(B$4:F$4)</f>
        <v>7.792963928331869E-08</v>
      </c>
    </row>
    <row r="58" ht="12.75">
      <c r="A58" s="166" t="s">
        <v>152</v>
      </c>
    </row>
    <row r="60" spans="2:6" ht="12.75">
      <c r="B60" s="166" t="s">
        <v>84</v>
      </c>
      <c r="C60" s="166" t="s">
        <v>85</v>
      </c>
      <c r="D60" s="166" t="s">
        <v>86</v>
      </c>
      <c r="E60" s="166" t="s">
        <v>87</v>
      </c>
      <c r="F60" s="166" t="s">
        <v>88</v>
      </c>
    </row>
    <row r="61" spans="1:6" ht="12.75">
      <c r="A61" s="166" t="s">
        <v>154</v>
      </c>
      <c r="B61" s="166">
        <f>B6+(1/0.017)*(B7*B50-B22*B51)</f>
        <v>0</v>
      </c>
      <c r="C61" s="166">
        <f>C6+(1/0.017)*(C7*C50-C22*C51)</f>
        <v>0</v>
      </c>
      <c r="D61" s="166">
        <f>D6+(1/0.017)*(D7*D50-D22*D51)</f>
        <v>0</v>
      </c>
      <c r="E61" s="166">
        <f>E6+(1/0.017)*(E7*E50-E22*E51)</f>
        <v>0</v>
      </c>
      <c r="F61" s="166">
        <f>F6+(1/0.017)*(F7*F50-F22*F51)</f>
        <v>0</v>
      </c>
    </row>
    <row r="62" spans="1:6" ht="12.75">
      <c r="A62" s="166" t="s">
        <v>157</v>
      </c>
      <c r="B62" s="166">
        <f>B7+(2/0.017)*(B8*B50-B23*B51)</f>
        <v>9999.976630098166</v>
      </c>
      <c r="C62" s="166">
        <f>C7+(2/0.017)*(C8*C50-C23*C51)</f>
        <v>9999.989714143005</v>
      </c>
      <c r="D62" s="166">
        <f>D7+(2/0.017)*(D8*D50-D23*D51)</f>
        <v>10000.004405452142</v>
      </c>
      <c r="E62" s="166">
        <f>E7+(2/0.017)*(E8*E50-E23*E51)</f>
        <v>9999.997359579953</v>
      </c>
      <c r="F62" s="166">
        <f>F7+(2/0.017)*(F8*F50-F23*F51)</f>
        <v>9999.710552013588</v>
      </c>
    </row>
    <row r="63" spans="1:6" ht="12.75">
      <c r="A63" s="166" t="s">
        <v>158</v>
      </c>
      <c r="B63" s="166">
        <f>B8+(3/0.017)*(B9*B50-B24*B51)</f>
        <v>-1.374821318573026</v>
      </c>
      <c r="C63" s="166">
        <f>C8+(3/0.017)*(C9*C50-C24*C51)</f>
        <v>-2.1802271438066</v>
      </c>
      <c r="D63" s="166">
        <f>D8+(3/0.017)*(D9*D50-D24*D51)</f>
        <v>-1.4259689441037704</v>
      </c>
      <c r="E63" s="166">
        <f>E8+(3/0.017)*(E9*E50-E24*E51)</f>
        <v>-1.7742252299246655</v>
      </c>
      <c r="F63" s="166">
        <f>F8+(3/0.017)*(F9*F50-F24*F51)</f>
        <v>-4.851048706905294</v>
      </c>
    </row>
    <row r="64" spans="1:6" ht="12.75">
      <c r="A64" s="166" t="s">
        <v>159</v>
      </c>
      <c r="B64" s="166">
        <f>B9+(4/0.017)*(B10*B50-B25*B51)</f>
        <v>-1.0625838917970083</v>
      </c>
      <c r="C64" s="166">
        <f>C9+(4/0.017)*(C10*C50-C25*C51)</f>
        <v>-0.4778057033660013</v>
      </c>
      <c r="D64" s="166">
        <f>D9+(4/0.017)*(D10*D50-D25*D51)</f>
        <v>-0.4155094683393412</v>
      </c>
      <c r="E64" s="166">
        <f>E9+(4/0.017)*(E10*E50-E25*E51)</f>
        <v>0.014497396677503573</v>
      </c>
      <c r="F64" s="166">
        <f>F9+(4/0.017)*(F10*F50-F25*F51)</f>
        <v>-1.8885982452371384</v>
      </c>
    </row>
    <row r="65" spans="1:6" ht="12.75">
      <c r="A65" s="166" t="s">
        <v>160</v>
      </c>
      <c r="B65" s="166">
        <f>B10+(5/0.017)*(B11*B50-B26*B51)</f>
        <v>0.9979593091931501</v>
      </c>
      <c r="C65" s="166">
        <f>C10+(5/0.017)*(C11*C50-C26*C51)</f>
        <v>0.7549275563235035</v>
      </c>
      <c r="D65" s="166">
        <f>D10+(5/0.017)*(D11*D50-D26*D51)</f>
        <v>0.6967958453408539</v>
      </c>
      <c r="E65" s="166">
        <f>E10+(5/0.017)*(E11*E50-E26*E51)</f>
        <v>0.7456035747539072</v>
      </c>
      <c r="F65" s="166">
        <f>F10+(5/0.017)*(F11*F50-F26*F51)</f>
        <v>-0.2599116808535703</v>
      </c>
    </row>
    <row r="66" spans="1:6" ht="12.75">
      <c r="A66" s="166" t="s">
        <v>161</v>
      </c>
      <c r="B66" s="166">
        <f>B11+(6/0.017)*(B12*B50-B27*B51)</f>
        <v>4.17359838084056</v>
      </c>
      <c r="C66" s="166">
        <f>C11+(6/0.017)*(C12*C50-C27*C51)</f>
        <v>4.024764484917474</v>
      </c>
      <c r="D66" s="166">
        <f>D11+(6/0.017)*(D12*D50-D27*D51)</f>
        <v>3.5234996648983796</v>
      </c>
      <c r="E66" s="166">
        <f>E11+(6/0.017)*(E12*E50-E27*E51)</f>
        <v>3.798669858663387</v>
      </c>
      <c r="F66" s="166">
        <f>F11+(6/0.017)*(F12*F50-F27*F51)</f>
        <v>14.961470002378716</v>
      </c>
    </row>
    <row r="67" spans="1:6" ht="12.75">
      <c r="A67" s="166" t="s">
        <v>162</v>
      </c>
      <c r="B67" s="166">
        <f>B12+(7/0.017)*(B13*B50-B28*B51)</f>
        <v>-0.2165847726908148</v>
      </c>
      <c r="C67" s="166">
        <f>C12+(7/0.017)*(C13*C50-C28*C51)</f>
        <v>0.02413567394578201</v>
      </c>
      <c r="D67" s="166">
        <f>D12+(7/0.017)*(D13*D50-D28*D51)</f>
        <v>-0.08475511332023869</v>
      </c>
      <c r="E67" s="166">
        <f>E12+(7/0.017)*(E13*E50-E28*E51)</f>
        <v>-0.06576591412986255</v>
      </c>
      <c r="F67" s="166">
        <f>F12+(7/0.017)*(F13*F50-F28*F51)</f>
        <v>-0.3957684052033956</v>
      </c>
    </row>
    <row r="68" spans="1:6" ht="12.75">
      <c r="A68" s="166" t="s">
        <v>163</v>
      </c>
      <c r="B68" s="166">
        <f>B13+(8/0.017)*(B14*B50-B29*B51)</f>
        <v>0.006456244618479561</v>
      </c>
      <c r="C68" s="166">
        <f>C13+(8/0.017)*(C14*C50-C29*C51)</f>
        <v>-0.1030779162337272</v>
      </c>
      <c r="D68" s="166">
        <f>D13+(8/0.017)*(D14*D50-D29*D51)</f>
        <v>-0.09164675554328161</v>
      </c>
      <c r="E68" s="166">
        <f>E13+(8/0.017)*(E14*E50-E29*E51)</f>
        <v>0.10977111209186964</v>
      </c>
      <c r="F68" s="166">
        <f>F13+(8/0.017)*(F14*F50-F29*F51)</f>
        <v>-0.0525911904287377</v>
      </c>
    </row>
    <row r="69" spans="1:6" ht="12.75">
      <c r="A69" s="166" t="s">
        <v>164</v>
      </c>
      <c r="B69" s="166">
        <f>B14+(9/0.017)*(B15*B50-B30*B51)</f>
        <v>0.014695067471092928</v>
      </c>
      <c r="C69" s="166">
        <f>C14+(9/0.017)*(C15*C50-C30*C51)</f>
        <v>-0.0007640013927046052</v>
      </c>
      <c r="D69" s="166">
        <f>D14+(9/0.017)*(D15*D50-D30*D51)</f>
        <v>0.05633842185061337</v>
      </c>
      <c r="E69" s="166">
        <f>E14+(9/0.017)*(E15*E50-E30*E51)</f>
        <v>0.02216105687963807</v>
      </c>
      <c r="F69" s="166">
        <f>F14+(9/0.017)*(F15*F50-F30*F51)</f>
        <v>0.14133819546508505</v>
      </c>
    </row>
    <row r="70" spans="1:6" ht="12.75">
      <c r="A70" s="166" t="s">
        <v>165</v>
      </c>
      <c r="B70" s="166">
        <f>B15+(10/0.017)*(B16*B50-B31*B51)</f>
        <v>-0.30132224315995565</v>
      </c>
      <c r="C70" s="166">
        <f>C15+(10/0.017)*(C16*C50-C31*C51)</f>
        <v>-0.046331039037335056</v>
      </c>
      <c r="D70" s="166">
        <f>D15+(10/0.017)*(D16*D50-D31*D51)</f>
        <v>-0.0511605837824027</v>
      </c>
      <c r="E70" s="166">
        <f>E15+(10/0.017)*(E16*E50-E31*E51)</f>
        <v>-0.04256345224256542</v>
      </c>
      <c r="F70" s="166">
        <f>F15+(10/0.017)*(F16*F50-F31*F51)</f>
        <v>-0.32070971043977814</v>
      </c>
    </row>
    <row r="71" spans="1:6" ht="12.75">
      <c r="A71" s="166" t="s">
        <v>166</v>
      </c>
      <c r="B71" s="166">
        <f>B16+(11/0.017)*(B17*B50-B32*B51)</f>
        <v>-0.0005335311247782726</v>
      </c>
      <c r="C71" s="166">
        <f>C16+(11/0.017)*(C17*C50-C32*C51)</f>
        <v>0.010405507231583674</v>
      </c>
      <c r="D71" s="166">
        <f>D16+(11/0.017)*(D17*D50-D32*D51)</f>
        <v>-0.01031711853997809</v>
      </c>
      <c r="E71" s="166">
        <f>E16+(11/0.017)*(E17*E50-E32*E51)</f>
        <v>-0.009173936892635974</v>
      </c>
      <c r="F71" s="166">
        <f>F16+(11/0.017)*(F17*F50-F32*F51)</f>
        <v>-0.0357511316915166</v>
      </c>
    </row>
    <row r="72" spans="1:6" ht="12.75">
      <c r="A72" s="166" t="s">
        <v>167</v>
      </c>
      <c r="B72" s="166">
        <f>B17+(12/0.017)*(B18*B50-B33*B51)</f>
        <v>0.003189776194455086</v>
      </c>
      <c r="C72" s="166">
        <f>C17+(12/0.017)*(C18*C50-C33*C51)</f>
        <v>0.001340835482411408</v>
      </c>
      <c r="D72" s="166">
        <f>D17+(12/0.017)*(D18*D50-D33*D51)</f>
        <v>0.003074985128992435</v>
      </c>
      <c r="E72" s="166">
        <f>E17+(12/0.017)*(E18*E50-E33*E51)</f>
        <v>-0.014912469100952019</v>
      </c>
      <c r="F72" s="166">
        <f>F17+(12/0.017)*(F18*F50-F33*F51)</f>
        <v>-0.004179240859717153</v>
      </c>
    </row>
    <row r="73" spans="1:6" ht="12.75">
      <c r="A73" s="166" t="s">
        <v>168</v>
      </c>
      <c r="B73" s="166">
        <f>B18+(13/0.017)*(B19*B50-B34*B51)</f>
        <v>0.0008036325930665543</v>
      </c>
      <c r="C73" s="166">
        <f>C18+(13/0.017)*(C19*C50-C34*C51)</f>
        <v>0.00748598565304869</v>
      </c>
      <c r="D73" s="166">
        <f>D18+(13/0.017)*(D19*D50-D34*D51)</f>
        <v>0.010078014212544464</v>
      </c>
      <c r="E73" s="166">
        <f>E18+(13/0.017)*(E19*E50-E34*E51)</f>
        <v>0.012764808627321907</v>
      </c>
      <c r="F73" s="166">
        <f>F18+(13/0.017)*(F19*F50-F34*F51)</f>
        <v>-0.0024154827244982323</v>
      </c>
    </row>
    <row r="74" spans="1:6" ht="12.75">
      <c r="A74" s="166" t="s">
        <v>169</v>
      </c>
      <c r="B74" s="166">
        <f>B19+(14/0.017)*(B20*B50-B35*B51)</f>
        <v>-0.19388374026814728</v>
      </c>
      <c r="C74" s="166">
        <f>C19+(14/0.017)*(C20*C50-C35*C51)</f>
        <v>-0.16815454246637773</v>
      </c>
      <c r="D74" s="166">
        <f>D19+(14/0.017)*(D20*D50-D35*D51)</f>
        <v>-0.16554483486874313</v>
      </c>
      <c r="E74" s="166">
        <f>E19+(14/0.017)*(E20*E50-E35*E51)</f>
        <v>-0.1703745144552891</v>
      </c>
      <c r="F74" s="166">
        <f>F19+(14/0.017)*(F20*F50-F35*F51)</f>
        <v>-0.13090867338973022</v>
      </c>
    </row>
    <row r="75" spans="1:6" ht="12.75">
      <c r="A75" s="166" t="s">
        <v>170</v>
      </c>
      <c r="B75" s="167">
        <f>B20</f>
        <v>-0.002841701</v>
      </c>
      <c r="C75" s="167">
        <f>C20</f>
        <v>-0.004927848</v>
      </c>
      <c r="D75" s="167">
        <f>D20</f>
        <v>-0.004691416</v>
      </c>
      <c r="E75" s="167">
        <f>E20</f>
        <v>-0.004862727</v>
      </c>
      <c r="F75" s="167">
        <f>F20</f>
        <v>-0.0005677783</v>
      </c>
    </row>
    <row r="78" ht="12.75">
      <c r="A78" s="166" t="s">
        <v>152</v>
      </c>
    </row>
    <row r="80" spans="2:6" ht="12.75">
      <c r="B80" s="166" t="s">
        <v>84</v>
      </c>
      <c r="C80" s="166" t="s">
        <v>85</v>
      </c>
      <c r="D80" s="166" t="s">
        <v>86</v>
      </c>
      <c r="E80" s="166" t="s">
        <v>87</v>
      </c>
      <c r="F80" s="166" t="s">
        <v>88</v>
      </c>
    </row>
    <row r="81" spans="1:6" ht="12.75">
      <c r="A81" s="166" t="s">
        <v>171</v>
      </c>
      <c r="B81" s="166">
        <f>B21+(1/0.017)*(B7*B51+B22*B50)</f>
        <v>0</v>
      </c>
      <c r="C81" s="166">
        <f>C21+(1/0.017)*(C7*C51+C22*C50)</f>
        <v>0</v>
      </c>
      <c r="D81" s="166">
        <f>D21+(1/0.017)*(D7*D51+D22*D50)</f>
        <v>0</v>
      </c>
      <c r="E81" s="166">
        <f>E21+(1/0.017)*(E7*E51+E22*E50)</f>
        <v>0</v>
      </c>
      <c r="F81" s="166">
        <f>F21+(1/0.017)*(F7*F51+F22*F50)</f>
        <v>0</v>
      </c>
    </row>
    <row r="82" spans="1:6" ht="12.75">
      <c r="A82" s="166" t="s">
        <v>172</v>
      </c>
      <c r="B82" s="166">
        <f>B22+(2/0.017)*(B8*B51+B23*B50)</f>
        <v>160.74949431097457</v>
      </c>
      <c r="C82" s="166">
        <f>C22+(2/0.017)*(C8*C51+C23*C50)</f>
        <v>47.530904723889826</v>
      </c>
      <c r="D82" s="166">
        <f>D22+(2/0.017)*(D8*D51+D23*D50)</f>
        <v>-37.51458529615973</v>
      </c>
      <c r="E82" s="166">
        <f>E22+(2/0.017)*(E8*E51+E23*E50)</f>
        <v>-54.64395119155709</v>
      </c>
      <c r="F82" s="166">
        <f>F22+(2/0.017)*(F8*F51+F23*F50)</f>
        <v>-93.71484996760368</v>
      </c>
    </row>
    <row r="83" spans="1:6" ht="12.75">
      <c r="A83" s="166" t="s">
        <v>173</v>
      </c>
      <c r="B83" s="166">
        <f>B23+(3/0.017)*(B9*B51+B24*B50)</f>
        <v>1.603779773128282</v>
      </c>
      <c r="C83" s="166">
        <f>C23+(3/0.017)*(C9*C51+C24*C50)</f>
        <v>-0.20185326487987643</v>
      </c>
      <c r="D83" s="166">
        <f>D23+(3/0.017)*(D9*D51+D24*D50)</f>
        <v>-0.40896041389525983</v>
      </c>
      <c r="E83" s="166">
        <f>E23+(3/0.017)*(E9*E51+E24*E50)</f>
        <v>0.9261479266233404</v>
      </c>
      <c r="F83" s="166">
        <f>F23+(3/0.017)*(F9*F51+F24*F50)</f>
        <v>10.656347236243978</v>
      </c>
    </row>
    <row r="84" spans="1:6" ht="12.75">
      <c r="A84" s="166" t="s">
        <v>174</v>
      </c>
      <c r="B84" s="166">
        <f>B24+(4/0.017)*(B10*B51+B25*B50)</f>
        <v>-0.45255464452868727</v>
      </c>
      <c r="C84" s="166">
        <f>C24+(4/0.017)*(C10*C51+C25*C50)</f>
        <v>-3.0782038609670797</v>
      </c>
      <c r="D84" s="166">
        <f>D24+(4/0.017)*(D10*D51+D25*D50)</f>
        <v>-3.662976673550684</v>
      </c>
      <c r="E84" s="166">
        <f>E24+(4/0.017)*(E10*E51+E25*E50)</f>
        <v>-1.816798782278376</v>
      </c>
      <c r="F84" s="166">
        <f>F24+(4/0.017)*(F10*F51+F25*F50)</f>
        <v>0.8279550379962496</v>
      </c>
    </row>
    <row r="85" spans="1:6" ht="12.75">
      <c r="A85" s="166" t="s">
        <v>175</v>
      </c>
      <c r="B85" s="166">
        <f>B25+(5/0.017)*(B11*B51+B26*B50)</f>
        <v>0.5219126008756946</v>
      </c>
      <c r="C85" s="166">
        <f>C25+(5/0.017)*(C11*C51+C26*C50)</f>
        <v>0.4369608934390611</v>
      </c>
      <c r="D85" s="166">
        <f>D25+(5/0.017)*(D11*D51+D26*D50)</f>
        <v>-0.23039510593922502</v>
      </c>
      <c r="E85" s="166">
        <f>E25+(5/0.017)*(E11*E51+E26*E50)</f>
        <v>-0.012411954168391581</v>
      </c>
      <c r="F85" s="166">
        <f>F25+(5/0.017)*(F11*F51+F26*F50)</f>
        <v>-0.6973337486920027</v>
      </c>
    </row>
    <row r="86" spans="1:6" ht="12.75">
      <c r="A86" s="166" t="s">
        <v>176</v>
      </c>
      <c r="B86" s="166">
        <f>B26+(6/0.017)*(B12*B51+B27*B50)</f>
        <v>0.17874898828382038</v>
      </c>
      <c r="C86" s="166">
        <f>C26+(6/0.017)*(C12*C51+C27*C50)</f>
        <v>0.21607910901604493</v>
      </c>
      <c r="D86" s="166">
        <f>D26+(6/0.017)*(D12*D51+D27*D50)</f>
        <v>-0.40945507779608337</v>
      </c>
      <c r="E86" s="166">
        <f>E26+(6/0.017)*(E12*E51+E27*E50)</f>
        <v>-0.0793511924482989</v>
      </c>
      <c r="F86" s="166">
        <f>F26+(6/0.017)*(F12*F51+F27*F50)</f>
        <v>0.8831109494921386</v>
      </c>
    </row>
    <row r="87" spans="1:6" ht="12.75">
      <c r="A87" s="166" t="s">
        <v>177</v>
      </c>
      <c r="B87" s="166">
        <f>B27+(7/0.017)*(B13*B51+B28*B50)</f>
        <v>0.21046979123491305</v>
      </c>
      <c r="C87" s="166">
        <f>C27+(7/0.017)*(C13*C51+C28*C50)</f>
        <v>0.2275071121698604</v>
      </c>
      <c r="D87" s="166">
        <f>D27+(7/0.017)*(D13*D51+D28*D50)</f>
        <v>-0.021111388778501515</v>
      </c>
      <c r="E87" s="166">
        <f>E27+(7/0.017)*(E13*E51+E28*E50)</f>
        <v>0.023354981573678033</v>
      </c>
      <c r="F87" s="166">
        <f>F27+(7/0.017)*(F13*F51+F28*F50)</f>
        <v>0.5428533889016819</v>
      </c>
    </row>
    <row r="88" spans="1:6" ht="12.75">
      <c r="A88" s="166" t="s">
        <v>178</v>
      </c>
      <c r="B88" s="166">
        <f>B28+(8/0.017)*(B14*B51+B29*B50)</f>
        <v>-0.17377116376526153</v>
      </c>
      <c r="C88" s="166">
        <f>C28+(8/0.017)*(C14*C51+C29*C50)</f>
        <v>-0.21543477532987937</v>
      </c>
      <c r="D88" s="166">
        <f>D28+(8/0.017)*(D14*D51+D29*D50)</f>
        <v>-0.2580799117162086</v>
      </c>
      <c r="E88" s="166">
        <f>E28+(8/0.017)*(E14*E51+E29*E50)</f>
        <v>0.036423078666045786</v>
      </c>
      <c r="F88" s="166">
        <f>F28+(8/0.017)*(F14*F51+F29*F50)</f>
        <v>0.287616475665013</v>
      </c>
    </row>
    <row r="89" spans="1:6" ht="12.75">
      <c r="A89" s="166" t="s">
        <v>179</v>
      </c>
      <c r="B89" s="166">
        <f>B29+(9/0.017)*(B15*B51+B30*B50)</f>
        <v>0.14808554302388457</v>
      </c>
      <c r="C89" s="166">
        <f>C29+(9/0.017)*(C15*C51+C30*C50)</f>
        <v>0.11835841107341517</v>
      </c>
      <c r="D89" s="166">
        <f>D29+(9/0.017)*(D15*D51+D30*D50)</f>
        <v>0.08949759331585888</v>
      </c>
      <c r="E89" s="166">
        <f>E29+(9/0.017)*(E15*E51+E30*E50)</f>
        <v>-0.00431120223494977</v>
      </c>
      <c r="F89" s="166">
        <f>F29+(9/0.017)*(F15*F51+F30*F50)</f>
        <v>0.009992795181734852</v>
      </c>
    </row>
    <row r="90" spans="1:6" ht="12.75">
      <c r="A90" s="166" t="s">
        <v>180</v>
      </c>
      <c r="B90" s="166">
        <f>B30+(10/0.017)*(B16*B51+B31*B50)</f>
        <v>-0.013237746641780533</v>
      </c>
      <c r="C90" s="166">
        <f>C30+(10/0.017)*(C16*C51+C31*C50)</f>
        <v>0.09156997708435557</v>
      </c>
      <c r="D90" s="166">
        <f>D30+(10/0.017)*(D16*D51+D31*D50)</f>
        <v>0.03637945499621435</v>
      </c>
      <c r="E90" s="166">
        <f>E30+(10/0.017)*(E16*E51+E31*E50)</f>
        <v>0.0372807641522489</v>
      </c>
      <c r="F90" s="166">
        <f>F30+(10/0.017)*(F16*F51+F31*F50)</f>
        <v>0.2753213618678932</v>
      </c>
    </row>
    <row r="91" spans="1:6" ht="12.75">
      <c r="A91" s="166" t="s">
        <v>181</v>
      </c>
      <c r="B91" s="166">
        <f>B31+(11/0.017)*(B17*B51+B32*B50)</f>
        <v>0.024100551201617484</v>
      </c>
      <c r="C91" s="166">
        <f>C31+(11/0.017)*(C17*C51+C32*C50)</f>
        <v>0.02310696267483324</v>
      </c>
      <c r="D91" s="166">
        <f>D31+(11/0.017)*(D17*D51+D32*D50)</f>
        <v>0.025724744207370462</v>
      </c>
      <c r="E91" s="166">
        <f>E31+(11/0.017)*(E17*E51+E32*E50)</f>
        <v>-0.00475510103577718</v>
      </c>
      <c r="F91" s="166">
        <f>F31+(11/0.017)*(F17*F51+F32*F50)</f>
        <v>0.012268058936288708</v>
      </c>
    </row>
    <row r="92" spans="1:6" ht="12.75">
      <c r="A92" s="166" t="s">
        <v>182</v>
      </c>
      <c r="B92" s="166">
        <f>B32+(12/0.017)*(B18*B51+B33*B50)</f>
        <v>-0.02112533365009688</v>
      </c>
      <c r="C92" s="166">
        <f>C32+(12/0.017)*(C18*C51+C33*C50)</f>
        <v>-0.004309498940500897</v>
      </c>
      <c r="D92" s="166">
        <f>D32+(12/0.017)*(D18*D51+D33*D50)</f>
        <v>-0.005833547266644145</v>
      </c>
      <c r="E92" s="166">
        <f>E32+(12/0.017)*(E18*E51+E33*E50)</f>
        <v>0.02784099360630733</v>
      </c>
      <c r="F92" s="166">
        <f>F32+(12/0.017)*(F18*F51+F33*F50)</f>
        <v>0.029384799233160175</v>
      </c>
    </row>
    <row r="93" spans="1:6" ht="12.75">
      <c r="A93" s="166" t="s">
        <v>183</v>
      </c>
      <c r="B93" s="166">
        <f>B33+(13/0.017)*(B19*B51+B34*B50)</f>
        <v>0.05413013710291356</v>
      </c>
      <c r="C93" s="166">
        <f>C33+(13/0.017)*(C19*C51+C34*C50)</f>
        <v>0.050562125976665775</v>
      </c>
      <c r="D93" s="166">
        <f>D33+(13/0.017)*(D19*D51+D34*D50)</f>
        <v>0.04133484257574214</v>
      </c>
      <c r="E93" s="166">
        <f>E33+(13/0.017)*(E19*E51+E34*E50)</f>
        <v>0.03763089565860858</v>
      </c>
      <c r="F93" s="166">
        <f>F33+(13/0.017)*(F19*F51+F34*F50)</f>
        <v>0.03222144420424048</v>
      </c>
    </row>
    <row r="94" spans="1:6" ht="12.75">
      <c r="A94" s="166" t="s">
        <v>184</v>
      </c>
      <c r="B94" s="166">
        <f>B34+(14/0.017)*(B20*B51+B35*B50)</f>
        <v>-0.007608252790720366</v>
      </c>
      <c r="C94" s="166">
        <f>C34+(14/0.017)*(C20*C51+C35*C50)</f>
        <v>0.017760673691276464</v>
      </c>
      <c r="D94" s="166">
        <f>D34+(14/0.017)*(D20*D51+D35*D50)</f>
        <v>0.023433547347746254</v>
      </c>
      <c r="E94" s="166">
        <f>E34+(14/0.017)*(E20*E51+E35*E50)</f>
        <v>0.025644762145589976</v>
      </c>
      <c r="F94" s="166">
        <f>F34+(14/0.017)*(F20*F51+F35*F50)</f>
        <v>-0.006885349666099803</v>
      </c>
    </row>
    <row r="95" spans="1:6" ht="12.75">
      <c r="A95" s="166" t="s">
        <v>185</v>
      </c>
      <c r="B95" s="167">
        <f>B35</f>
        <v>-0.0003989638</v>
      </c>
      <c r="C95" s="167">
        <f>C35</f>
        <v>-0.002812329</v>
      </c>
      <c r="D95" s="167">
        <f>D35</f>
        <v>-0.0005793112</v>
      </c>
      <c r="E95" s="167">
        <f>E35</f>
        <v>0.001896487</v>
      </c>
      <c r="F95" s="167">
        <f>F35</f>
        <v>0.001004055</v>
      </c>
    </row>
    <row r="98" ht="12.75">
      <c r="A98" s="166" t="s">
        <v>153</v>
      </c>
    </row>
    <row r="100" spans="2:11" ht="12.75">
      <c r="B100" s="166" t="s">
        <v>84</v>
      </c>
      <c r="C100" s="166" t="s">
        <v>85</v>
      </c>
      <c r="D100" s="166" t="s">
        <v>86</v>
      </c>
      <c r="E100" s="166" t="s">
        <v>87</v>
      </c>
      <c r="F100" s="166" t="s">
        <v>88</v>
      </c>
      <c r="G100" s="166" t="s">
        <v>155</v>
      </c>
      <c r="H100" s="166" t="s">
        <v>156</v>
      </c>
      <c r="I100" s="166" t="s">
        <v>151</v>
      </c>
      <c r="K100" s="166" t="s">
        <v>186</v>
      </c>
    </row>
    <row r="101" spans="1:9" ht="12.75">
      <c r="A101" s="166" t="s">
        <v>154</v>
      </c>
      <c r="B101" s="166">
        <f>B61*10000/B62</f>
        <v>0</v>
      </c>
      <c r="C101" s="166">
        <f>C61*10000/C62</f>
        <v>0</v>
      </c>
      <c r="D101" s="166">
        <f>D61*10000/D62</f>
        <v>0</v>
      </c>
      <c r="E101" s="166">
        <f>E61*10000/E62</f>
        <v>0</v>
      </c>
      <c r="F101" s="166">
        <f>F61*10000/F62</f>
        <v>0</v>
      </c>
      <c r="G101" s="166">
        <f>AVERAGE(C101:E101)</f>
        <v>0</v>
      </c>
      <c r="H101" s="166">
        <f>STDEV(C101:E101)</f>
        <v>0</v>
      </c>
      <c r="I101" s="166">
        <f>(B101*B4+C101*C4+D101*D4+E101*E4+F101*F4)/SUM(B4:F4)</f>
        <v>0</v>
      </c>
    </row>
    <row r="102" spans="1:9" ht="12.75">
      <c r="A102" s="166" t="s">
        <v>157</v>
      </c>
      <c r="B102" s="166">
        <f>B62*10000/B62</f>
        <v>10000</v>
      </c>
      <c r="C102" s="166">
        <f>C62*10000/C62</f>
        <v>10000</v>
      </c>
      <c r="D102" s="166">
        <f>D62*10000/D62</f>
        <v>10000</v>
      </c>
      <c r="E102" s="166">
        <f>E62*10000/E62</f>
        <v>10000</v>
      </c>
      <c r="F102" s="166">
        <f>F62*10000/F62</f>
        <v>10000</v>
      </c>
      <c r="G102" s="166">
        <f>AVERAGE(C102:E102)</f>
        <v>10000</v>
      </c>
      <c r="H102" s="166">
        <f>STDEV(C102:E102)</f>
        <v>0</v>
      </c>
      <c r="I102" s="166">
        <f>(B102*B4+C102*C4+D102*D4+E102*E4+F102*F4)/SUM(B4:F4)</f>
        <v>10000.000000000002</v>
      </c>
    </row>
    <row r="103" spans="1:11" ht="12.75">
      <c r="A103" s="166" t="s">
        <v>158</v>
      </c>
      <c r="B103" s="166">
        <f>B63*10000/B62</f>
        <v>-1.37482453152446</v>
      </c>
      <c r="C103" s="166">
        <f>C63*10000/C62</f>
        <v>-2.1802293863593687</v>
      </c>
      <c r="D103" s="166">
        <f>D63*10000/D62</f>
        <v>-1.4259683159002532</v>
      </c>
      <c r="E103" s="166">
        <f>E63*10000/E62</f>
        <v>-1.7742256983947757</v>
      </c>
      <c r="F103" s="166">
        <f>F63*10000/F62</f>
        <v>-4.851189123597647</v>
      </c>
      <c r="G103" s="166">
        <f>AVERAGE(C103:E103)</f>
        <v>-1.793474466884799</v>
      </c>
      <c r="H103" s="166">
        <f>STDEV(C103:E103)</f>
        <v>0.3774987773739405</v>
      </c>
      <c r="I103" s="166">
        <f>(B103*B4+C103*C4+D103*D4+E103*E4+F103*F4)/SUM(B4:F4)</f>
        <v>-2.1417473135743488</v>
      </c>
      <c r="K103" s="166">
        <f>(LN(H103)+LN(H123))/2-LN(K114*K115^3)</f>
        <v>-4.53091172606072</v>
      </c>
    </row>
    <row r="104" spans="1:11" ht="12.75">
      <c r="A104" s="166" t="s">
        <v>159</v>
      </c>
      <c r="B104" s="166">
        <f>B64*10000/B62</f>
        <v>-1.0625863750509357</v>
      </c>
      <c r="C104" s="166">
        <f>C64*10000/C62</f>
        <v>-0.4778061948306205</v>
      </c>
      <c r="D104" s="166">
        <f>D64*10000/D62</f>
        <v>-0.4155092852887141</v>
      </c>
      <c r="E104" s="166">
        <f>E64*10000/E62</f>
        <v>0.014497400505426266</v>
      </c>
      <c r="F104" s="166">
        <f>F64*10000/F62</f>
        <v>-1.8886529119153768</v>
      </c>
      <c r="G104" s="166">
        <f>AVERAGE(C104:E104)</f>
        <v>-0.29293935987130276</v>
      </c>
      <c r="H104" s="166">
        <f>STDEV(C104:E104)</f>
        <v>0.26806388689605665</v>
      </c>
      <c r="I104" s="166">
        <f>(B104*B4+C104*C4+D104*D4+E104*E4+F104*F4)/SUM(B4:F4)</f>
        <v>-0.6175285289780813</v>
      </c>
      <c r="K104" s="166">
        <f>(LN(H104)+LN(H124))/2-LN(K114*K115^4)</f>
        <v>-3.9745673768979413</v>
      </c>
    </row>
    <row r="105" spans="1:11" ht="12.75">
      <c r="A105" s="166" t="s">
        <v>160</v>
      </c>
      <c r="B105" s="166">
        <f>B65*10000/B62</f>
        <v>0.9979616414197096</v>
      </c>
      <c r="C105" s="166">
        <f>C65*10000/C62</f>
        <v>0.7549283328319909</v>
      </c>
      <c r="D105" s="166">
        <f>D65*10000/D62</f>
        <v>0.6967955383709141</v>
      </c>
      <c r="E105" s="166">
        <f>E65*10000/E62</f>
        <v>0.7456037716246217</v>
      </c>
      <c r="F105" s="166">
        <f>F65*10000/F62</f>
        <v>-0.2599192041625978</v>
      </c>
      <c r="G105" s="166">
        <f>AVERAGE(C105:E105)</f>
        <v>0.7324425476091756</v>
      </c>
      <c r="H105" s="166">
        <f>STDEV(C105:E105)</f>
        <v>0.031221287788170616</v>
      </c>
      <c r="I105" s="166">
        <f>(B105*B4+C105*C4+D105*D4+E105*E4+F105*F4)/SUM(B4:F4)</f>
        <v>0.6381511869196631</v>
      </c>
      <c r="K105" s="166">
        <f>(LN(H105)+LN(H125))/2-LN(K114*K115^5)</f>
        <v>-4.968218758779383</v>
      </c>
    </row>
    <row r="106" spans="1:11" ht="12.75">
      <c r="A106" s="166" t="s">
        <v>161</v>
      </c>
      <c r="B106" s="166">
        <f>B66*10000/B62</f>
        <v>4.1736081345218</v>
      </c>
      <c r="C106" s="166">
        <f>C66*10000/C62</f>
        <v>4.024768624736926</v>
      </c>
      <c r="D106" s="166">
        <f>D66*10000/D62</f>
        <v>3.523498112638149</v>
      </c>
      <c r="E106" s="166">
        <f>E66*10000/E62</f>
        <v>3.798670861672056</v>
      </c>
      <c r="F106" s="166">
        <f>F66*10000/F62</f>
        <v>14.961903071650413</v>
      </c>
      <c r="G106" s="166">
        <f>AVERAGE(C106:E106)</f>
        <v>3.7823125330157104</v>
      </c>
      <c r="H106" s="166">
        <f>STDEV(C106:E106)</f>
        <v>0.2510353117835608</v>
      </c>
      <c r="I106" s="166">
        <f>(B106*B4+C106*C4+D106*D4+E106*E4+F106*F4)/SUM(B4:F4)</f>
        <v>5.333449714726714</v>
      </c>
      <c r="K106" s="166">
        <f>(LN(H106)+LN(H126))/2-LN(K114*K115^6)</f>
        <v>-3.3765850632831182</v>
      </c>
    </row>
    <row r="107" spans="1:11" ht="12.75">
      <c r="A107" s="166" t="s">
        <v>162</v>
      </c>
      <c r="B107" s="166">
        <f>B67*10000/B62</f>
        <v>-0.21658527884848536</v>
      </c>
      <c r="C107" s="166">
        <f>C67*10000/C62</f>
        <v>0.024135698771416615</v>
      </c>
      <c r="D107" s="166">
        <f>D67*10000/D62</f>
        <v>-0.08475507598179559</v>
      </c>
      <c r="E107" s="166">
        <f>E67*10000/E62</f>
        <v>-0.06576593149483094</v>
      </c>
      <c r="F107" s="166">
        <f>F67*10000/F62</f>
        <v>-0.39577986097177764</v>
      </c>
      <c r="G107" s="166">
        <f>AVERAGE(C107:E107)</f>
        <v>-0.042128436235069976</v>
      </c>
      <c r="H107" s="166">
        <f>STDEV(C107:E107)</f>
        <v>0.05816655906279067</v>
      </c>
      <c r="I107" s="166">
        <f>(B107*B4+C107*C4+D107*D4+E107*E4+F107*F4)/SUM(B4:F4)</f>
        <v>-0.11462115748509975</v>
      </c>
      <c r="K107" s="166">
        <f>(LN(H107)+LN(H127))/2-LN(K114*K115^7)</f>
        <v>-3.945801233487054</v>
      </c>
    </row>
    <row r="108" spans="1:9" ht="12.75">
      <c r="A108" s="166" t="s">
        <v>163</v>
      </c>
      <c r="B108" s="166">
        <f>B68*10000/B62</f>
        <v>0.006456259706695116</v>
      </c>
      <c r="C108" s="166">
        <f>C68*10000/C62</f>
        <v>-0.10307802225830684</v>
      </c>
      <c r="D108" s="166">
        <f>D68*10000/D62</f>
        <v>-0.09164671516875984</v>
      </c>
      <c r="E108" s="166">
        <f>E68*10000/E62</f>
        <v>0.1097711410760618</v>
      </c>
      <c r="F108" s="166">
        <f>F68*10000/F62</f>
        <v>-0.0525927127142172</v>
      </c>
      <c r="G108" s="166">
        <f>AVERAGE(C108:E108)</f>
        <v>-0.028317865450334965</v>
      </c>
      <c r="H108" s="166">
        <f>STDEV(C108:E108)</f>
        <v>0.11972509756951262</v>
      </c>
      <c r="I108" s="166">
        <f>(B108*B4+C108*C4+D108*D4+E108*E4+F108*F4)/SUM(B4:F4)</f>
        <v>-0.026545916666788436</v>
      </c>
    </row>
    <row r="109" spans="1:9" ht="12.75">
      <c r="A109" s="166" t="s">
        <v>164</v>
      </c>
      <c r="B109" s="166">
        <f>B69*10000/B62</f>
        <v>0.014695101813401607</v>
      </c>
      <c r="C109" s="166">
        <f>C69*10000/C62</f>
        <v>-0.0007640021785463205</v>
      </c>
      <c r="D109" s="166">
        <f>D69*10000/D62</f>
        <v>0.056338397031002185</v>
      </c>
      <c r="E109" s="166">
        <f>E69*10000/E62</f>
        <v>0.0221610627310895</v>
      </c>
      <c r="F109" s="166">
        <f>F69*10000/F62</f>
        <v>0.14134228658910986</v>
      </c>
      <c r="G109" s="166">
        <f>AVERAGE(C109:E109)</f>
        <v>0.02591181919451512</v>
      </c>
      <c r="H109" s="166">
        <f>STDEV(C109:E109)</f>
        <v>0.02873538114254983</v>
      </c>
      <c r="I109" s="166">
        <f>(B109*B4+C109*C4+D109*D4+E109*E4+F109*F4)/SUM(B4:F4)</f>
        <v>0.03972257375437242</v>
      </c>
    </row>
    <row r="110" spans="1:11" ht="12.75">
      <c r="A110" s="166" t="s">
        <v>165</v>
      </c>
      <c r="B110" s="166">
        <f>B70*10000/B62</f>
        <v>-0.3013229473487256</v>
      </c>
      <c r="C110" s="166">
        <f>C70*10000/C62</f>
        <v>-0.046331086692828274</v>
      </c>
      <c r="D110" s="166">
        <f>D70*10000/D62</f>
        <v>-0.051160561243862285</v>
      </c>
      <c r="E110" s="166">
        <f>E70*10000/E62</f>
        <v>-0.04256346348110764</v>
      </c>
      <c r="F110" s="166">
        <f>F70*10000/F62</f>
        <v>-0.32071899358646794</v>
      </c>
      <c r="G110" s="166">
        <f>AVERAGE(C110:E110)</f>
        <v>-0.04668503713926606</v>
      </c>
      <c r="H110" s="166">
        <f>STDEV(C110:E110)</f>
        <v>0.004309464372110604</v>
      </c>
      <c r="I110" s="166">
        <f>(B110*B4+C110*C4+D110*D4+E110*E4+F110*F4)/SUM(B4:F4)</f>
        <v>-0.12012457418084767</v>
      </c>
      <c r="K110" s="166">
        <f>EXP(AVERAGE(K103:K107))</f>
        <v>0.015619786052278296</v>
      </c>
    </row>
    <row r="111" spans="1:9" ht="12.75">
      <c r="A111" s="166" t="s">
        <v>166</v>
      </c>
      <c r="B111" s="166">
        <f>B71*10000/B62</f>
        <v>-0.0005335323716381876</v>
      </c>
      <c r="C111" s="166">
        <f>C71*10000/C62</f>
        <v>0.010405517934550617</v>
      </c>
      <c r="D111" s="166">
        <f>D71*10000/D62</f>
        <v>-0.010317113994822895</v>
      </c>
      <c r="E111" s="166">
        <f>E71*10000/E62</f>
        <v>-0.009173939314941303</v>
      </c>
      <c r="F111" s="166">
        <f>F71*10000/F62</f>
        <v>-0.03575216653077782</v>
      </c>
      <c r="G111" s="166">
        <f>AVERAGE(C111:E111)</f>
        <v>-0.0030285117917378604</v>
      </c>
      <c r="H111" s="166">
        <f>STDEV(C111:E111)</f>
        <v>0.011648243562970447</v>
      </c>
      <c r="I111" s="166">
        <f>(B111*B4+C111*C4+D111*D4+E111*E4+F111*F4)/SUM(B4:F4)</f>
        <v>-0.007042280724401527</v>
      </c>
    </row>
    <row r="112" spans="1:9" ht="12.75">
      <c r="A112" s="166" t="s">
        <v>167</v>
      </c>
      <c r="B112" s="166">
        <f>B72*10000/B62</f>
        <v>0.0031897836489481603</v>
      </c>
      <c r="C112" s="166">
        <f>C72*10000/C62</f>
        <v>0.001340836861577029</v>
      </c>
      <c r="D112" s="166">
        <f>D72*10000/D62</f>
        <v>0.0030749837743230496</v>
      </c>
      <c r="E112" s="166">
        <f>E72*10000/E62</f>
        <v>-0.014912473038471295</v>
      </c>
      <c r="F112" s="166">
        <f>F72*10000/F62</f>
        <v>-0.004179361830503786</v>
      </c>
      <c r="G112" s="166">
        <f>AVERAGE(C112:E112)</f>
        <v>-0.0034988841341904056</v>
      </c>
      <c r="H112" s="166">
        <f>STDEV(C112:E112)</f>
        <v>0.009922415287403038</v>
      </c>
      <c r="I112" s="166">
        <f>(B112*B4+C112*C4+D112*D4+E112*E4+F112*F4)/SUM(B4:F4)</f>
        <v>-0.0026223769526801327</v>
      </c>
    </row>
    <row r="113" spans="1:9" ht="12.75">
      <c r="A113" s="166" t="s">
        <v>168</v>
      </c>
      <c r="B113" s="166">
        <f>B73*10000/B62</f>
        <v>0.0008036344711524244</v>
      </c>
      <c r="C113" s="166">
        <f>C73*10000/C62</f>
        <v>0.0074859933530344</v>
      </c>
      <c r="D113" s="166">
        <f>D73*10000/D62</f>
        <v>0.01007800977272549</v>
      </c>
      <c r="E113" s="166">
        <f>E73*10000/E62</f>
        <v>0.012764811997768456</v>
      </c>
      <c r="F113" s="166">
        <f>F73*10000/F62</f>
        <v>-0.002415552642183067</v>
      </c>
      <c r="G113" s="166">
        <f>AVERAGE(C113:E113)</f>
        <v>0.010109605041176115</v>
      </c>
      <c r="H113" s="166">
        <f>STDEV(C113:E113)</f>
        <v>0.0026395511487257313</v>
      </c>
      <c r="I113" s="166">
        <f>(B113*B4+C113*C4+D113*D4+E113*E4+F113*F4)/SUM(B4:F4)</f>
        <v>0.007089926947017388</v>
      </c>
    </row>
    <row r="114" spans="1:11" ht="12.75">
      <c r="A114" s="166" t="s">
        <v>169</v>
      </c>
      <c r="B114" s="166">
        <f>B74*10000/B62</f>
        <v>-0.1938841933736039</v>
      </c>
      <c r="C114" s="166">
        <f>C74*10000/C62</f>
        <v>-0.16815471542791333</v>
      </c>
      <c r="D114" s="166">
        <f>D74*10000/D62</f>
        <v>-0.1655447619387905</v>
      </c>
      <c r="E114" s="166">
        <f>E74*10000/E62</f>
        <v>-0.17037455944132932</v>
      </c>
      <c r="F114" s="166">
        <f>F74*10000/F62</f>
        <v>-0.13091246262460052</v>
      </c>
      <c r="G114" s="166">
        <f>AVERAGE(C114:E114)</f>
        <v>-0.16802467893601103</v>
      </c>
      <c r="H114" s="166">
        <f>STDEV(C114:E114)</f>
        <v>0.0024175231324241515</v>
      </c>
      <c r="I114" s="166">
        <f>(B114*B4+C114*C4+D114*D4+E114*E4+F114*F4)/SUM(B4:F4)</f>
        <v>-0.1668006580167046</v>
      </c>
      <c r="J114" s="166" t="s">
        <v>187</v>
      </c>
      <c r="K114" s="166">
        <v>285</v>
      </c>
    </row>
    <row r="115" spans="1:11" ht="12.75">
      <c r="A115" s="166" t="s">
        <v>170</v>
      </c>
      <c r="B115" s="166">
        <f>B75*10000/B62</f>
        <v>-0.002841707641042861</v>
      </c>
      <c r="C115" s="166">
        <f>C75*10000/C62</f>
        <v>-0.004927853068719196</v>
      </c>
      <c r="D115" s="166">
        <f>D75*10000/D62</f>
        <v>-0.004691413933220044</v>
      </c>
      <c r="E115" s="166">
        <f>E75*10000/E62</f>
        <v>-0.004862728283964524</v>
      </c>
      <c r="F115" s="166">
        <f>F75*10000/F62</f>
        <v>-0.0005677947347042655</v>
      </c>
      <c r="G115" s="166">
        <f>AVERAGE(C115:E115)</f>
        <v>-0.004827331761967922</v>
      </c>
      <c r="H115" s="166">
        <f>STDEV(C115:E115)</f>
        <v>0.00012212924107677</v>
      </c>
      <c r="I115" s="166">
        <f>(B115*B4+C115*C4+D115*D4+E115*E4+F115*F4)/SUM(B4:F4)</f>
        <v>-0.003970886312726189</v>
      </c>
      <c r="J115" s="166" t="s">
        <v>188</v>
      </c>
      <c r="K115" s="166">
        <v>0.5536</v>
      </c>
    </row>
    <row r="118" ht="12.75">
      <c r="A118" s="166" t="s">
        <v>153</v>
      </c>
    </row>
    <row r="120" spans="2:9" ht="12.75">
      <c r="B120" s="166" t="s">
        <v>84</v>
      </c>
      <c r="C120" s="166" t="s">
        <v>85</v>
      </c>
      <c r="D120" s="166" t="s">
        <v>86</v>
      </c>
      <c r="E120" s="166" t="s">
        <v>87</v>
      </c>
      <c r="F120" s="166" t="s">
        <v>88</v>
      </c>
      <c r="G120" s="166" t="s">
        <v>155</v>
      </c>
      <c r="H120" s="166" t="s">
        <v>156</v>
      </c>
      <c r="I120" s="166" t="s">
        <v>151</v>
      </c>
    </row>
    <row r="121" spans="1:9" ht="12.75">
      <c r="A121" s="166" t="s">
        <v>171</v>
      </c>
      <c r="B121" s="166">
        <f>B81*10000/B62</f>
        <v>0</v>
      </c>
      <c r="C121" s="166">
        <f>C81*10000/C62</f>
        <v>0</v>
      </c>
      <c r="D121" s="166">
        <f>D81*10000/D62</f>
        <v>0</v>
      </c>
      <c r="E121" s="166">
        <f>E81*10000/E62</f>
        <v>0</v>
      </c>
      <c r="F121" s="166">
        <f>F81*10000/F62</f>
        <v>0</v>
      </c>
      <c r="G121" s="166">
        <f>AVERAGE(C121:E121)</f>
        <v>0</v>
      </c>
      <c r="H121" s="166">
        <f>STDEV(C121:E121)</f>
        <v>0</v>
      </c>
      <c r="I121" s="166">
        <f>(B121*B4+C121*C4+D121*D4+E121*E4+F121*F4)/SUM(B4:F4)</f>
        <v>0</v>
      </c>
    </row>
    <row r="122" spans="1:9" ht="12.75">
      <c r="A122" s="166" t="s">
        <v>172</v>
      </c>
      <c r="B122" s="166">
        <f>B82*10000/B62</f>
        <v>160.7498699818427</v>
      </c>
      <c r="C122" s="166">
        <f>C82*10000/C62</f>
        <v>47.530953613548995</v>
      </c>
      <c r="D122" s="166">
        <f>D82*10000/D62</f>
        <v>-37.514568769296</v>
      </c>
      <c r="E122" s="166">
        <f>E82*10000/E62</f>
        <v>-54.64396561985932</v>
      </c>
      <c r="F122" s="166">
        <f>F82*10000/F62</f>
        <v>-93.7175626035824</v>
      </c>
      <c r="G122" s="166">
        <f>AVERAGE(C122:E122)</f>
        <v>-14.875860258535441</v>
      </c>
      <c r="H122" s="166">
        <f>STDEV(C122:E122)</f>
        <v>54.72030585043147</v>
      </c>
      <c r="I122" s="166">
        <f>(B122*B4+C122*C4+D122*D4+E122*E4+F122*F4)/SUM(B4:F4)</f>
        <v>-0.029467432531966136</v>
      </c>
    </row>
    <row r="123" spans="1:9" ht="12.75">
      <c r="A123" s="166" t="s">
        <v>173</v>
      </c>
      <c r="B123" s="166">
        <f>B83*10000/B62</f>
        <v>1.603783521154627</v>
      </c>
      <c r="C123" s="166">
        <f>C83*10000/C62</f>
        <v>-0.20185347250347166</v>
      </c>
      <c r="D123" s="166">
        <f>D83*10000/D62</f>
        <v>-0.40896023372978607</v>
      </c>
      <c r="E123" s="166">
        <f>E83*10000/E62</f>
        <v>0.9261481711653602</v>
      </c>
      <c r="F123" s="166">
        <f>F83*10000/F62</f>
        <v>10.656655690997141</v>
      </c>
      <c r="G123" s="166">
        <f>AVERAGE(C123:E123)</f>
        <v>0.10511148831070083</v>
      </c>
      <c r="H123" s="166">
        <f>STDEV(C123:E123)</f>
        <v>0.7185396499714892</v>
      </c>
      <c r="I123" s="166">
        <f>(B123*B4+C123*C4+D123*D4+E123*E4+F123*F4)/SUM(B4:F4)</f>
        <v>1.7322891377220047</v>
      </c>
    </row>
    <row r="124" spans="1:9" ht="12.75">
      <c r="A124" s="166" t="s">
        <v>174</v>
      </c>
      <c r="B124" s="166">
        <f>B84*10000/B62</f>
        <v>-0.4525557021469206</v>
      </c>
      <c r="C124" s="166">
        <f>C84*10000/C62</f>
        <v>-3.078207027166808</v>
      </c>
      <c r="D124" s="166">
        <f>D84*10000/D62</f>
        <v>-3.6629750598445514</v>
      </c>
      <c r="E124" s="166">
        <f>E84*10000/E62</f>
        <v>-1.8167992619896955</v>
      </c>
      <c r="F124" s="166">
        <f>F84*10000/F62</f>
        <v>0.8279790036817903</v>
      </c>
      <c r="G124" s="166">
        <f>AVERAGE(C124:E124)</f>
        <v>-2.8526604496670185</v>
      </c>
      <c r="H124" s="166">
        <f>STDEV(C124:E124)</f>
        <v>0.9435278019818242</v>
      </c>
      <c r="I124" s="166">
        <f>(B124*B4+C124*C4+D124*D4+E124*E4+F124*F4)/SUM(B4:F4)</f>
        <v>-2.0137687218220055</v>
      </c>
    </row>
    <row r="125" spans="1:9" ht="12.75">
      <c r="A125" s="166" t="s">
        <v>175</v>
      </c>
      <c r="B125" s="166">
        <f>B85*10000/B62</f>
        <v>0.5219138205831698</v>
      </c>
      <c r="C125" s="166">
        <f>C85*10000/C62</f>
        <v>0.4369613428912496</v>
      </c>
      <c r="D125" s="166">
        <f>D85*10000/D62</f>
        <v>-0.23039500443980843</v>
      </c>
      <c r="E125" s="166">
        <f>E85*10000/E62</f>
        <v>-0.012411957445669707</v>
      </c>
      <c r="F125" s="166">
        <f>F85*10000/F62</f>
        <v>-0.6973539334611883</v>
      </c>
      <c r="G125" s="166">
        <f>AVERAGE(C125:E125)</f>
        <v>0.06471812700192382</v>
      </c>
      <c r="H125" s="166">
        <f>STDEV(C125:E125)</f>
        <v>0.34029826773865984</v>
      </c>
      <c r="I125" s="166">
        <f>(B125*B4+C125*C4+D125*D4+E125*E4+F125*F4)/SUM(B4:F4)</f>
        <v>0.02892361638545192</v>
      </c>
    </row>
    <row r="126" spans="1:9" ht="12.75">
      <c r="A126" s="166" t="s">
        <v>176</v>
      </c>
      <c r="B126" s="166">
        <f>B86*10000/B62</f>
        <v>0.17874940601942754</v>
      </c>
      <c r="C126" s="166">
        <f>C86*10000/C62</f>
        <v>0.21607933127215503</v>
      </c>
      <c r="D126" s="166">
        <f>D86*10000/D62</f>
        <v>-0.40945489741268787</v>
      </c>
      <c r="E126" s="166">
        <f>E86*10000/E62</f>
        <v>-0.07935121340035237</v>
      </c>
      <c r="F126" s="166">
        <f>F86*10000/F62</f>
        <v>0.8831365117006424</v>
      </c>
      <c r="G126" s="166">
        <f>AVERAGE(C126:E126)</f>
        <v>-0.0909089265136284</v>
      </c>
      <c r="H126" s="166">
        <f>STDEV(C126:E126)</f>
        <v>0.3129272333361095</v>
      </c>
      <c r="I126" s="166">
        <f>(B126*B4+C126*C4+D126*D4+E126*E4+F126*F4)/SUM(B4:F4)</f>
        <v>0.07828404280487845</v>
      </c>
    </row>
    <row r="127" spans="1:9" ht="12.75">
      <c r="A127" s="166" t="s">
        <v>177</v>
      </c>
      <c r="B127" s="166">
        <f>B87*10000/B62</f>
        <v>0.21047028310189855</v>
      </c>
      <c r="C127" s="166">
        <f>C87*10000/C62</f>
        <v>0.2275073461806632</v>
      </c>
      <c r="D127" s="166">
        <f>D87*10000/D62</f>
        <v>-0.021111379477984322</v>
      </c>
      <c r="E127" s="166">
        <f>E87*10000/E62</f>
        <v>0.023354987740375813</v>
      </c>
      <c r="F127" s="166">
        <f>F87*10000/F62</f>
        <v>0.5428691021385318</v>
      </c>
      <c r="G127" s="166">
        <f>AVERAGE(C127:E127)</f>
        <v>0.07658365148101823</v>
      </c>
      <c r="H127" s="166">
        <f>STDEV(C127:E127)</f>
        <v>0.13258124177176517</v>
      </c>
      <c r="I127" s="166">
        <f>(B127*B4+C127*C4+D127*D4+E127*E4+F127*F4)/SUM(B4:F4)</f>
        <v>0.15827536040814513</v>
      </c>
    </row>
    <row r="128" spans="1:9" ht="12.75">
      <c r="A128" s="166" t="s">
        <v>178</v>
      </c>
      <c r="B128" s="166">
        <f>B88*10000/B62</f>
        <v>-0.17377156986771447</v>
      </c>
      <c r="C128" s="166">
        <f>C88*10000/C62</f>
        <v>-0.21543499692323637</v>
      </c>
      <c r="D128" s="166">
        <f>D88*10000/D62</f>
        <v>-0.2580797980203887</v>
      </c>
      <c r="E128" s="166">
        <f>E88*10000/E62</f>
        <v>0.03642308828327103</v>
      </c>
      <c r="F128" s="166">
        <f>F88*10000/F62</f>
        <v>0.28762480090695947</v>
      </c>
      <c r="G128" s="166">
        <f>AVERAGE(C128:E128)</f>
        <v>-0.14569723555345135</v>
      </c>
      <c r="H128" s="166">
        <f>STDEV(C128:E128)</f>
        <v>0.1591555969199588</v>
      </c>
      <c r="I128" s="166">
        <f>(B128*B4+C128*C4+D128*D4+E128*E4+F128*F4)/SUM(B4:F4)</f>
        <v>-0.09183648972536085</v>
      </c>
    </row>
    <row r="129" spans="1:9" ht="12.75">
      <c r="A129" s="166" t="s">
        <v>179</v>
      </c>
      <c r="B129" s="166">
        <f>B89*10000/B62</f>
        <v>0.14808588909915368</v>
      </c>
      <c r="C129" s="166">
        <f>C89*10000/C62</f>
        <v>0.11835853281530943</v>
      </c>
      <c r="D129" s="166">
        <f>D89*10000/D62</f>
        <v>0.08949755388813982</v>
      </c>
      <c r="E129" s="166">
        <f>E89*10000/E62</f>
        <v>-0.0043112033732885515</v>
      </c>
      <c r="F129" s="166">
        <f>F89*10000/F62</f>
        <v>0.009993084429551468</v>
      </c>
      <c r="G129" s="166">
        <f>AVERAGE(C129:E129)</f>
        <v>0.0678482944433869</v>
      </c>
      <c r="H129" s="166">
        <f>STDEV(C129:E129)</f>
        <v>0.0641364472825298</v>
      </c>
      <c r="I129" s="166">
        <f>(B129*B4+C129*C4+D129*D4+E129*E4+F129*F4)/SUM(B4:F4)</f>
        <v>0.07171549296747294</v>
      </c>
    </row>
    <row r="130" spans="1:9" ht="12.75">
      <c r="A130" s="166" t="s">
        <v>180</v>
      </c>
      <c r="B130" s="166">
        <f>B90*10000/B62</f>
        <v>-0.013237777578336782</v>
      </c>
      <c r="C130" s="166">
        <f>C90*10000/C62</f>
        <v>0.09157007127202138</v>
      </c>
      <c r="D130" s="166">
        <f>D90*10000/D62</f>
        <v>0.03637943896942662</v>
      </c>
      <c r="E130" s="166">
        <f>E90*10000/E62</f>
        <v>0.0372807739959392</v>
      </c>
      <c r="F130" s="166">
        <f>F90*10000/F62</f>
        <v>0.2753293312199454</v>
      </c>
      <c r="G130" s="166">
        <f>AVERAGE(C130:E130)</f>
        <v>0.055076761412462406</v>
      </c>
      <c r="H130" s="166">
        <f>STDEV(C130:E130)</f>
        <v>0.03160734644962847</v>
      </c>
      <c r="I130" s="166">
        <f>(B130*B4+C130*C4+D130*D4+E130*E4+F130*F4)/SUM(B4:F4)</f>
        <v>0.07464928930471092</v>
      </c>
    </row>
    <row r="131" spans="1:9" ht="12.75">
      <c r="A131" s="166" t="s">
        <v>181</v>
      </c>
      <c r="B131" s="166">
        <f>B91*10000/B62</f>
        <v>0.024100607524500682</v>
      </c>
      <c r="C131" s="166">
        <f>C91*10000/C62</f>
        <v>0.023106986442349053</v>
      </c>
      <c r="D131" s="166">
        <f>D91*10000/D62</f>
        <v>0.02572473287446251</v>
      </c>
      <c r="E131" s="166">
        <f>E91*10000/E62</f>
        <v>-0.004755102291323921</v>
      </c>
      <c r="F131" s="166">
        <f>F91*10000/F62</f>
        <v>0.012268414043062831</v>
      </c>
      <c r="G131" s="166">
        <f>AVERAGE(C131:E131)</f>
        <v>0.014692205675162546</v>
      </c>
      <c r="H131" s="166">
        <f>STDEV(C131:E131)</f>
        <v>0.0168926460169281</v>
      </c>
      <c r="I131" s="166">
        <f>(B131*B4+C131*C4+D131*D4+E131*E4+F131*F4)/SUM(B4:F4)</f>
        <v>0.015729264291619277</v>
      </c>
    </row>
    <row r="132" spans="1:9" ht="12.75">
      <c r="A132" s="166" t="s">
        <v>182</v>
      </c>
      <c r="B132" s="166">
        <f>B92*10000/B62</f>
        <v>-0.021125383019909617</v>
      </c>
      <c r="C132" s="166">
        <f>C92*10000/C62</f>
        <v>-0.004309503373194438</v>
      </c>
      <c r="D132" s="166">
        <f>D92*10000/D62</f>
        <v>-0.005833544696703947</v>
      </c>
      <c r="E132" s="166">
        <f>E92*10000/E62</f>
        <v>0.027841000957501038</v>
      </c>
      <c r="F132" s="166">
        <f>F92*10000/F62</f>
        <v>0.02938564979487643</v>
      </c>
      <c r="G132" s="166">
        <f>AVERAGE(C132:E132)</f>
        <v>0.005899317629200884</v>
      </c>
      <c r="H132" s="166">
        <f>STDEV(C132:E132)</f>
        <v>0.019017328307322636</v>
      </c>
      <c r="I132" s="166">
        <f>(B132*B4+C132*C4+D132*D4+E132*E4+F132*F4)/SUM(B4:F4)</f>
        <v>0.005131745737536486</v>
      </c>
    </row>
    <row r="133" spans="1:9" ht="12.75">
      <c r="A133" s="166" t="s">
        <v>183</v>
      </c>
      <c r="B133" s="166">
        <f>B93*10000/B62</f>
        <v>0.05413026360480822</v>
      </c>
      <c r="C133" s="166">
        <f>C93*10000/C62</f>
        <v>0.050562177984198986</v>
      </c>
      <c r="D133" s="166">
        <f>D93*10000/D62</f>
        <v>0.04133482436588308</v>
      </c>
      <c r="E133" s="166">
        <f>E93*10000/E62</f>
        <v>0.03763090559474833</v>
      </c>
      <c r="F133" s="166">
        <f>F93*10000/F62</f>
        <v>0.03222237687445085</v>
      </c>
      <c r="G133" s="166">
        <f>AVERAGE(C133:E133)</f>
        <v>0.04317596931494347</v>
      </c>
      <c r="H133" s="166">
        <f>STDEV(C133:E133)</f>
        <v>0.006659340240979555</v>
      </c>
      <c r="I133" s="166">
        <f>(B133*B4+C133*C4+D133*D4+E133*E4+F133*F4)/SUM(B4:F4)</f>
        <v>0.04329523526391654</v>
      </c>
    </row>
    <row r="134" spans="1:9" ht="12.75">
      <c r="A134" s="166" t="s">
        <v>184</v>
      </c>
      <c r="B134" s="166">
        <f>B94*10000/B62</f>
        <v>-0.0076082705711740025</v>
      </c>
      <c r="C134" s="166">
        <f>C94*10000/C62</f>
        <v>0.017760691959670227</v>
      </c>
      <c r="D134" s="166">
        <f>D94*10000/D62</f>
        <v>0.023433537024213667</v>
      </c>
      <c r="E134" s="166">
        <f>E94*10000/E62</f>
        <v>0.025644768916886173</v>
      </c>
      <c r="F134" s="166">
        <f>F94*10000/F62</f>
        <v>-0.006885548966928185</v>
      </c>
      <c r="G134" s="166">
        <f>AVERAGE(C134:E134)</f>
        <v>0.022279665966923354</v>
      </c>
      <c r="H134" s="166">
        <f>STDEV(C134:E134)</f>
        <v>0.004066722412393681</v>
      </c>
      <c r="I134" s="166">
        <f>(B134*B4+C134*C4+D134*D4+E134*E4+F134*F4)/SUM(B4:F4)</f>
        <v>0.014060543901975154</v>
      </c>
    </row>
    <row r="135" spans="1:9" ht="12.75">
      <c r="A135" s="166" t="s">
        <v>185</v>
      </c>
      <c r="B135" s="166">
        <f>B95*10000/B62</f>
        <v>-0.0003989647323766631</v>
      </c>
      <c r="C135" s="166">
        <f>C95*10000/C62</f>
        <v>-0.0028123318927243675</v>
      </c>
      <c r="D135" s="166">
        <f>D95*10000/D62</f>
        <v>-0.0005793109447873357</v>
      </c>
      <c r="E135" s="166">
        <f>E95*10000/E62</f>
        <v>0.0018964875007523618</v>
      </c>
      <c r="F135" s="166">
        <f>F95*10000/F62</f>
        <v>0.0010040840630110225</v>
      </c>
      <c r="G135" s="166">
        <f>AVERAGE(C135:E135)</f>
        <v>-0.0004983851122531138</v>
      </c>
      <c r="H135" s="166">
        <f>STDEV(C135:E135)</f>
        <v>0.0023554525600984104</v>
      </c>
      <c r="I135" s="166">
        <f>(B135*B4+C135*C4+D135*D4+E135*E4+F135*F4)/SUM(B4:F4)</f>
        <v>-0.0002833062909358712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2003-11-21T07:31:39Z</cp:lastPrinted>
  <dcterms:created xsi:type="dcterms:W3CDTF">1999-06-17T15:15:05Z</dcterms:created>
  <dcterms:modified xsi:type="dcterms:W3CDTF">2005-10-05T09:50:34Z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739868721</vt:i4>
  </property>
  <property fmtid="{D5CDD505-2E9C-101B-9397-08002B2CF9AE}" pid="3" name="_EmailSubject">
    <vt:lpwstr>WFM result of apertures 126, 130, 134, 137, 138, 139, 141 : agreement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PreviousAdHocReviewCycleID">
    <vt:i4>1421584721</vt:i4>
  </property>
  <property fmtid="{D5CDD505-2E9C-101B-9397-08002B2CF9AE}" pid="7" name="_ReviewingToolsShownOnce">
    <vt:lpwstr/>
  </property>
</Properties>
</file>