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5_pos1ap2" sheetId="2" r:id="rId2"/>
    <sheet name="HCMQAP135_pos2ap2" sheetId="3" r:id="rId3"/>
    <sheet name="HCMQAP135_pos3ap2" sheetId="4" r:id="rId4"/>
    <sheet name="HCMQAP135_pos4ap2" sheetId="5" r:id="rId5"/>
    <sheet name="HCMQAP135_pos5ap2" sheetId="6" r:id="rId6"/>
    <sheet name="Lmag_hcmqap" sheetId="7" r:id="rId7"/>
    <sheet name="Result_HCMQAP" sheetId="8" r:id="rId8"/>
  </sheets>
  <definedNames>
    <definedName name="_xlnm.Print_Area" localSheetId="1">'HCMQAP135_pos1ap2'!$A$1:$N$28</definedName>
    <definedName name="_xlnm.Print_Area" localSheetId="2">'HCMQAP135_pos2ap2'!$A$1:$N$28</definedName>
    <definedName name="_xlnm.Print_Area" localSheetId="3">'HCMQAP135_pos3ap2'!$A$1:$N$28</definedName>
    <definedName name="_xlnm.Print_Area" localSheetId="4">'HCMQAP135_pos4ap2'!$A$1:$N$28</definedName>
    <definedName name="_xlnm.Print_Area" localSheetId="5">'HCMQAP135_pos5ap2'!$A$1:$N$28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<sst xmlns="http://schemas.openxmlformats.org/spreadsheetml/2006/main" count="510" uniqueCount="190">
  <si>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</si>
  <si>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</si>
  <si>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</si>
  <si>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</si>
  <si>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</si>
  <si>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</si>
  <si>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</si>
  <si>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</si>
  <si>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</si>
  <si>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</si>
  <si>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</si>
  <si>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</si>
  <si>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</si>
  <si>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</si>
  <si>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</si>
  <si>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</si>
  <si>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</si>
  <si>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</si>
  <si>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</si>
  <si>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</si>
  <si>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</si>
  <si>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</si>
  <si>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</si>
  <si>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</si>
  <si>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</si>
  <si>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</si>
  <si>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</si>
  <si>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</si>
  <si>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</si>
  <si>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</si>
  <si>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</si>
  <si>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</si>
  <si>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</si>
  <si>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</si>
  <si>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</si>
  <si>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</si>
  <si>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</si>
  <si>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</si>
  <si>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</si>
  <si>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</si>
  <si>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</si>
  <si>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</si>
  <si>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</si>
  <si>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</si>
  <si>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</si>
  <si>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</si>
  <si>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</si>
  <si>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</si>
  <si>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</si>
  <si>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</si>
  <si>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</si>
  <si>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</si>
  <si>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</si>
  <si>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</si>
  <si>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</si>
  <si>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</si>
  <si>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</si>
  <si>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</si>
  <si>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</si>
  <si>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</si>
  <si>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</si>
  <si>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</si>
  <si>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</si>
  <si>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</si>
  <si>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</si>
  <si>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</si>
  <si>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</si>
  <si>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</si>
  <si>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HCMQAP135_pos1ap2</t>
  </si>
  <si>
    <t>24/11/2003</t>
  </si>
  <si>
    <t>±12.5</t>
  </si>
  <si>
    <t>THCMQAP135_pos1ap2.xls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</si>
  <si>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</si>
  <si>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HCMQAP135_pos2ap2</t>
  </si>
  <si>
    <t>THCMQAP135_pos2ap2.xls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</si>
  <si>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</si>
  <si>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HCMQAP135_pos3ap2</t>
  </si>
  <si>
    <t>THCMQAP135_pos3ap2.xls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</si>
  <si>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</si>
  <si>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HCMQAP135_pos4ap2</t>
  </si>
  <si>
    <t>THCMQAP135_pos4ap2.xls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</si>
  <si>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</si>
  <si>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HCMQAP135_pos5ap2</t>
  </si>
  <si>
    <t>THCMQAP135_pos5ap2.xls</t>
  </si>
  <si>
    <t>Sommaire : Valeurs intégrales calculées avec les fichiers: HCMQAP135_pos1ap2+HCMQAP135_pos2ap2+HCMQAP135_pos3ap2+HCMQAP135_pos4ap2+HCMQAP135_pos5ap2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</si>
  <si>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</si>
  <si>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</si>
  <si>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</si>
  <si>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</si>
  <si>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</si>
  <si>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</si>
  <si>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</si>
  <si>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</si>
  <si>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</si>
  <si>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</si>
  <si>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</si>
  <si>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</si>
  <si>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</si>
  <si>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</si>
  <si>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</si>
  <si>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</si>
  <si>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</si>
  <si>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</si>
  <si>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</si>
  <si>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</si>
  <si>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</si>
  <si>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</si>
  <si>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</si>
  <si>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</si>
  <si>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</si>
  <si>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</si>
  <si>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</si>
  <si>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</si>
  <si>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</si>
  <si>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</si>
  <si>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</si>
  <si>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</si>
  <si>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</si>
  <si>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</si>
  <si>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</si>
  <si>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</si>
  <si>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</si>
  <si>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</si>
  <si>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</si>
  <si>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</si>
  <si>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</si>
  <si>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</si>
  <si>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</si>
  <si>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</si>
  <si>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</si>
  <si>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Mon 24/11/2003       09:14:45</t>
  </si>
  <si>
    <t>SIEGMUND</t>
  </si>
  <si>
    <t>HCMQAP135</t>
  </si>
  <si>
    <t>Aperture2</t>
  </si>
  <si>
    <t>Position</t>
  </si>
  <si>
    <t>Integrales</t>
  </si>
  <si>
    <t>Cn (T)</t>
  </si>
  <si>
    <t>Angle (Horiz,Cn)</t>
  </si>
  <si>
    <t>b1</t>
  </si>
  <si>
    <t>b2</t>
  </si>
  <si>
    <t>b10!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</si>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</sst>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024814"/>
        <c:axId val="63223327"/>
      </c:lineChart>
      <c:catAx>
        <c:axId val="702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0248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2678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2678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2678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2678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2678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3.84231691E-05</v>
      </c>
      <c r="L2" s="55">
        <v>1.1310172488646303E-07</v>
      </c>
      <c r="M2" s="55">
        <v>8.939855499999999E-05</v>
      </c>
      <c r="N2" s="56">
        <v>1.8592328154717434E-07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-3.18556109E-05</v>
      </c>
      <c r="L3" s="55">
        <v>9.264956218086983E-08</v>
      </c>
      <c r="M3" s="55">
        <v>1.4462485000000002E-05</v>
      </c>
      <c r="N3" s="56">
        <v>1.1633655581961042E-07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-0.002255165335885829</v>
      </c>
      <c r="L4" s="55">
        <v>2.198538321714148E-05</v>
      </c>
      <c r="M4" s="55">
        <v>1.2376227569925533E-07</v>
      </c>
      <c r="N4" s="56">
        <v>-4.874295999999999</v>
      </c>
    </row>
    <row r="5" spans="1:14" ht="15" customHeight="1" thickBot="1">
      <c r="A5" t="s">
        <v>18</v>
      </c>
      <c r="B5" s="59">
        <v>37949.33712962963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2678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4.8219315</v>
      </c>
      <c r="E8" s="78">
        <v>0.016249254625842778</v>
      </c>
      <c r="F8" s="78">
        <v>0.7998956500000001</v>
      </c>
      <c r="G8" s="78">
        <v>0.027585197187385405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0.45837103</v>
      </c>
      <c r="E9" s="80">
        <v>0.008652758782295426</v>
      </c>
      <c r="F9" s="80">
        <v>0.6391294000000001</v>
      </c>
      <c r="G9" s="80">
        <v>0.03552685244190561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-1.03904678</v>
      </c>
      <c r="E10" s="80">
        <v>0.004624539598339934</v>
      </c>
      <c r="F10" s="80">
        <v>0.06393254000000001</v>
      </c>
      <c r="G10" s="80">
        <v>0.007547564836192496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3.3925733</v>
      </c>
      <c r="E11" s="78">
        <v>0.006658811888112842</v>
      </c>
      <c r="F11" s="78">
        <v>0.66757569</v>
      </c>
      <c r="G11" s="78">
        <v>0.006376570469412278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0.22250299</v>
      </c>
      <c r="E12" s="80">
        <v>0.006917824269263231</v>
      </c>
      <c r="F12" s="80">
        <v>0.16526723</v>
      </c>
      <c r="G12" s="80">
        <v>0.002880207100992801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19.332886</v>
      </c>
      <c r="D13" s="83">
        <v>0.062176908499999996</v>
      </c>
      <c r="E13" s="80">
        <v>0.00612333248352216</v>
      </c>
      <c r="F13" s="80">
        <v>-0.044255866</v>
      </c>
      <c r="G13" s="80">
        <v>0.008977791693680287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-0.0176151077</v>
      </c>
      <c r="E14" s="80">
        <v>0.003313215312704184</v>
      </c>
      <c r="F14" s="80">
        <v>-0.025940115330000003</v>
      </c>
      <c r="G14" s="80">
        <v>0.0060762034189598526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-0.24740563999999998</v>
      </c>
      <c r="E15" s="78">
        <v>0.0022523967291342706</v>
      </c>
      <c r="F15" s="78">
        <v>0.11288176999999999</v>
      </c>
      <c r="G15" s="78">
        <v>0.0029575737790631974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-0.013430962699999998</v>
      </c>
      <c r="E16" s="80">
        <v>0.0030753424046350663</v>
      </c>
      <c r="F16" s="80">
        <v>0.011399449434</v>
      </c>
      <c r="G16" s="80">
        <v>0.001976317857055015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0.11900000274181366</v>
      </c>
      <c r="D17" s="83">
        <v>-0.013773030180000001</v>
      </c>
      <c r="E17" s="80">
        <v>0.002271006531188311</v>
      </c>
      <c r="F17" s="80">
        <v>-0.0039595199</v>
      </c>
      <c r="G17" s="80">
        <v>0.0030851119861411906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167.8470001220703</v>
      </c>
      <c r="D18" s="83">
        <v>0.042484078999999994</v>
      </c>
      <c r="E18" s="80">
        <v>0.002735591786165136</v>
      </c>
      <c r="F18" s="80">
        <v>0.068579243</v>
      </c>
      <c r="G18" s="80">
        <v>0.0012568789210765396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-0.36899998784065247</v>
      </c>
      <c r="D19" s="86">
        <v>-0.19750001</v>
      </c>
      <c r="E19" s="80">
        <v>0.0019733452235743292</v>
      </c>
      <c r="F19" s="80">
        <v>0.024287732</v>
      </c>
      <c r="G19" s="80">
        <v>0.0015113756942421465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0.2961564</v>
      </c>
      <c r="D20" s="88">
        <v>-0.0035794293000000004</v>
      </c>
      <c r="E20" s="89">
        <v>0.0010542696266918903</v>
      </c>
      <c r="F20" s="89">
        <v>-0.00325171011</v>
      </c>
      <c r="G20" s="89">
        <v>0.0015291541843674256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0.6710373000000001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-0.2792768247925413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-2.2552725</v>
      </c>
      <c r="I25" s="101" t="s">
        <v>49</v>
      </c>
      <c r="J25" s="102"/>
      <c r="K25" s="101"/>
      <c r="L25" s="104">
        <v>3.4576308214949534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4.887827374363908</v>
      </c>
      <c r="I26" s="106" t="s">
        <v>53</v>
      </c>
      <c r="J26" s="107"/>
      <c r="K26" s="106"/>
      <c r="L26" s="109">
        <v>0.27194088457262633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8.4621945E-05</v>
      </c>
      <c r="L2" s="55">
        <v>1.0311817370939506E-07</v>
      </c>
      <c r="M2" s="55">
        <v>8.248769E-05</v>
      </c>
      <c r="N2" s="56">
        <v>3.047041592068902E-07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-2.9643215000000002E-05</v>
      </c>
      <c r="L3" s="55">
        <v>7.527554284035252E-08</v>
      </c>
      <c r="M3" s="55">
        <v>1.3640743999999998E-05</v>
      </c>
      <c r="N3" s="56">
        <v>2.3690404678700822E-07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-0.0037550895368604017</v>
      </c>
      <c r="L4" s="55">
        <v>6.886143276216338E-07</v>
      </c>
      <c r="M4" s="55">
        <v>4.67647288595991E-08</v>
      </c>
      <c r="N4" s="56">
        <v>-0.09169079899999999</v>
      </c>
    </row>
    <row r="5" spans="1:14" ht="15" customHeight="1" thickBot="1">
      <c r="A5" t="s">
        <v>18</v>
      </c>
      <c r="B5" s="59">
        <v>37949.368252314816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2678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1.0413992</v>
      </c>
      <c r="E8" s="78">
        <v>0.01081878055161231</v>
      </c>
      <c r="F8" s="78">
        <v>1.7305395999999997</v>
      </c>
      <c r="G8" s="78">
        <v>0.012984744119179948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-0.160636147</v>
      </c>
      <c r="E9" s="80">
        <v>0.006189375089108206</v>
      </c>
      <c r="F9" s="80">
        <v>-1.6651821999999998</v>
      </c>
      <c r="G9" s="80">
        <v>0.009793475862068413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-0.44404844</v>
      </c>
      <c r="E10" s="80">
        <v>0.00395913574147598</v>
      </c>
      <c r="F10" s="80">
        <v>-0.12393178099999999</v>
      </c>
      <c r="G10" s="80">
        <v>0.004176411246218079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3.0288013</v>
      </c>
      <c r="E11" s="78">
        <v>0.007058274262241245</v>
      </c>
      <c r="F11" s="78">
        <v>0.03371708599999999</v>
      </c>
      <c r="G11" s="78">
        <v>0.0059319778824658605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0.1423733</v>
      </c>
      <c r="E12" s="80">
        <v>0.003219891125642843</v>
      </c>
      <c r="F12" s="80">
        <v>0.11805315899999999</v>
      </c>
      <c r="G12" s="80">
        <v>0.006183866613731645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19.116211</v>
      </c>
      <c r="D13" s="83">
        <v>0.0011224850000000008</v>
      </c>
      <c r="E13" s="80">
        <v>0.0023271099771927416</v>
      </c>
      <c r="F13" s="80">
        <v>-0.18133300800000002</v>
      </c>
      <c r="G13" s="80">
        <v>0.003344211994049704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0.0130285924</v>
      </c>
      <c r="E14" s="80">
        <v>0.0023535572008265863</v>
      </c>
      <c r="F14" s="80">
        <v>-0.094621829</v>
      </c>
      <c r="G14" s="80">
        <v>0.00196737517955874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0.0134492788</v>
      </c>
      <c r="E15" s="78">
        <v>0.0017801950286148631</v>
      </c>
      <c r="F15" s="78">
        <v>0.0103921227</v>
      </c>
      <c r="G15" s="78">
        <v>0.002478446504443366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-0.010614389</v>
      </c>
      <c r="E16" s="80">
        <v>0.0006459839357692248</v>
      </c>
      <c r="F16" s="80">
        <v>-0.021481594</v>
      </c>
      <c r="G16" s="80">
        <v>0.0021031441011671154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-0.296999990940094</v>
      </c>
      <c r="D17" s="83">
        <v>-0.006673298350000001</v>
      </c>
      <c r="E17" s="80">
        <v>0.0007274574886130325</v>
      </c>
      <c r="F17" s="80">
        <v>-0.010321686</v>
      </c>
      <c r="G17" s="80">
        <v>0.0008397949906102053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21.36199951171875</v>
      </c>
      <c r="D18" s="83">
        <v>0.035829215000000005</v>
      </c>
      <c r="E18" s="80">
        <v>0.0005631738101508778</v>
      </c>
      <c r="F18" s="80">
        <v>0.034748985999999996</v>
      </c>
      <c r="G18" s="80">
        <v>0.001244807822784113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-0.32899999618530273</v>
      </c>
      <c r="D19" s="86">
        <v>-0.17965817</v>
      </c>
      <c r="E19" s="80">
        <v>0.0006453916373826105</v>
      </c>
      <c r="F19" s="80">
        <v>0.019985911000000002</v>
      </c>
      <c r="G19" s="80">
        <v>0.00041353811058240215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0.38316169999999994</v>
      </c>
      <c r="D20" s="88">
        <v>0.0011031060999999998</v>
      </c>
      <c r="E20" s="89">
        <v>0.000965157854056831</v>
      </c>
      <c r="F20" s="89">
        <v>-0.00097032136</v>
      </c>
      <c r="G20" s="89">
        <v>0.000768014166005142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0.37336920000000007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-0.005253500240324166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-3.7550896</v>
      </c>
      <c r="I25" s="101" t="s">
        <v>49</v>
      </c>
      <c r="J25" s="102"/>
      <c r="K25" s="101"/>
      <c r="L25" s="104">
        <v>3.028988966102389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2.0197226544574876</v>
      </c>
      <c r="I26" s="106" t="s">
        <v>53</v>
      </c>
      <c r="J26" s="107"/>
      <c r="K26" s="106"/>
      <c r="L26" s="109">
        <v>0.01699645005440797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9.895542300000001E-05</v>
      </c>
      <c r="L2" s="55">
        <v>5.4049816138352104E-08</v>
      </c>
      <c r="M2" s="55">
        <v>5.2831899E-05</v>
      </c>
      <c r="N2" s="56">
        <v>1.7227910533210758E-07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-2.8224277E-05</v>
      </c>
      <c r="L3" s="55">
        <v>1.672015263865095E-07</v>
      </c>
      <c r="M3" s="55">
        <v>1.1375959E-05</v>
      </c>
      <c r="N3" s="56">
        <v>1.1567771891767319E-07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-0.0037540652388275008</v>
      </c>
      <c r="L4" s="55">
        <v>-3.268234513110939E-05</v>
      </c>
      <c r="M4" s="55">
        <v>1.2779475714783852E-07</v>
      </c>
      <c r="N4" s="56">
        <v>4.3528172</v>
      </c>
    </row>
    <row r="5" spans="1:14" ht="15" customHeight="1" thickBot="1">
      <c r="A5" t="s">
        <v>18</v>
      </c>
      <c r="B5" s="59">
        <v>37949.372708333336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2678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1.3179785</v>
      </c>
      <c r="E8" s="78">
        <v>0.011261407096825743</v>
      </c>
      <c r="F8" s="78">
        <v>1.7523005999999999</v>
      </c>
      <c r="G8" s="78">
        <v>0.00584224073795667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0.313880076</v>
      </c>
      <c r="E9" s="80">
        <v>0.007673951198262561</v>
      </c>
      <c r="F9" s="80">
        <v>-1.3257311</v>
      </c>
      <c r="G9" s="80">
        <v>0.007764198898816981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-0.4172084099999999</v>
      </c>
      <c r="E10" s="80">
        <v>0.005272512932983061</v>
      </c>
      <c r="F10" s="80">
        <v>0.106065294</v>
      </c>
      <c r="G10" s="80">
        <v>0.00435041205248225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3.4654165</v>
      </c>
      <c r="E11" s="78">
        <v>0.0032376491779493696</v>
      </c>
      <c r="F11" s="78">
        <v>0.0031780967299999997</v>
      </c>
      <c r="G11" s="78">
        <v>0.006645216483584791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0.056314107</v>
      </c>
      <c r="E12" s="80">
        <v>0.00462249145213118</v>
      </c>
      <c r="F12" s="80">
        <v>-0.066989871</v>
      </c>
      <c r="G12" s="80">
        <v>0.003604314117443732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19.104004</v>
      </c>
      <c r="D13" s="83">
        <v>0.131978022</v>
      </c>
      <c r="E13" s="80">
        <v>0.002556381505317119</v>
      </c>
      <c r="F13" s="80">
        <v>-0.204668483</v>
      </c>
      <c r="G13" s="80">
        <v>0.003530710622316197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0.072777561</v>
      </c>
      <c r="E14" s="80">
        <v>0.003400999658962429</v>
      </c>
      <c r="F14" s="80">
        <v>-0.028835715</v>
      </c>
      <c r="G14" s="80">
        <v>0.002512488871877829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0.066895262</v>
      </c>
      <c r="E15" s="78">
        <v>0.0012661466368496812</v>
      </c>
      <c r="F15" s="78">
        <v>-0.026694297</v>
      </c>
      <c r="G15" s="78">
        <v>0.0030900388059449924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-0.040724845999999995</v>
      </c>
      <c r="E16" s="80">
        <v>0.0012723492202041569</v>
      </c>
      <c r="F16" s="80">
        <v>-0.021218933000000002</v>
      </c>
      <c r="G16" s="80">
        <v>0.0017797517274737822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0.3059999942779541</v>
      </c>
      <c r="D17" s="83">
        <v>-0.006680533467199999</v>
      </c>
      <c r="E17" s="80">
        <v>0.0012698047297411206</v>
      </c>
      <c r="F17" s="80">
        <v>-0.022665962</v>
      </c>
      <c r="G17" s="80">
        <v>0.0009135469823035834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0.051612911</v>
      </c>
      <c r="E18" s="80">
        <v>0.0014626262879679833</v>
      </c>
      <c r="F18" s="80">
        <v>0.014506684</v>
      </c>
      <c r="G18" s="80">
        <v>0.0013971783052474092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0.23800000548362732</v>
      </c>
      <c r="D19" s="86">
        <v>-0.1847461</v>
      </c>
      <c r="E19" s="80">
        <v>0.0013986450257312114</v>
      </c>
      <c r="F19" s="80">
        <v>0.018176177</v>
      </c>
      <c r="G19" s="80">
        <v>0.0005751102453408098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0.44599200000000006</v>
      </c>
      <c r="D20" s="88">
        <v>-0.00029753522</v>
      </c>
      <c r="E20" s="89">
        <v>0.0006920976217586631</v>
      </c>
      <c r="F20" s="89">
        <v>0.00108612594</v>
      </c>
      <c r="G20" s="89">
        <v>0.0007642084242402287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0.2431324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0.24939826520965497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-3.7542075</v>
      </c>
      <c r="I25" s="101" t="s">
        <v>49</v>
      </c>
      <c r="J25" s="102"/>
      <c r="K25" s="101"/>
      <c r="L25" s="104">
        <v>3.465417957299101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2.19262963567097</v>
      </c>
      <c r="I26" s="106" t="s">
        <v>53</v>
      </c>
      <c r="J26" s="107"/>
      <c r="K26" s="106"/>
      <c r="L26" s="109">
        <v>0.07202472888093958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8.3373593E-05</v>
      </c>
      <c r="L2" s="55">
        <v>1.3982493589394973E-07</v>
      </c>
      <c r="M2" s="55">
        <v>9.9116153E-05</v>
      </c>
      <c r="N2" s="56">
        <v>2.7743616989715813E-07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-2.8746647000000002E-05</v>
      </c>
      <c r="L3" s="55">
        <v>1.6127641407229631E-07</v>
      </c>
      <c r="M3" s="55">
        <v>1.0078147E-05</v>
      </c>
      <c r="N3" s="56">
        <v>1.6666215157018484E-07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-0.0037519704769686173</v>
      </c>
      <c r="L4" s="55">
        <v>-5.0364860052781943E-05</v>
      </c>
      <c r="M4" s="55">
        <v>4.880778974475048E-08</v>
      </c>
      <c r="N4" s="56">
        <v>6.7113848</v>
      </c>
    </row>
    <row r="5" spans="1:14" ht="15" customHeight="1" thickBot="1">
      <c r="A5" t="s">
        <v>18</v>
      </c>
      <c r="B5" s="59">
        <v>37949.377175925925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2678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1.8959301</v>
      </c>
      <c r="E8" s="78">
        <v>0.008857178424310668</v>
      </c>
      <c r="F8" s="78">
        <v>1.5221489</v>
      </c>
      <c r="G8" s="78">
        <v>0.016301547351100863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0.215986068</v>
      </c>
      <c r="E9" s="80">
        <v>0.009151892395753095</v>
      </c>
      <c r="F9" s="80">
        <v>0.353428897</v>
      </c>
      <c r="G9" s="80">
        <v>0.017680185945117714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-0.6686580899999999</v>
      </c>
      <c r="E10" s="80">
        <v>0.007891453015664752</v>
      </c>
      <c r="F10" s="80">
        <v>0.4148928099999999</v>
      </c>
      <c r="G10" s="80">
        <v>0.003934794422388516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3.5867438999999997</v>
      </c>
      <c r="E11" s="78">
        <v>0.002831985406078076</v>
      </c>
      <c r="F11" s="78">
        <v>0.325924</v>
      </c>
      <c r="G11" s="78">
        <v>0.0048614128620232695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0.27677686999999995</v>
      </c>
      <c r="E12" s="80">
        <v>0.0044911533548329845</v>
      </c>
      <c r="F12" s="80">
        <v>0.18646431</v>
      </c>
      <c r="G12" s="80">
        <v>0.0054470207999791995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19.110108</v>
      </c>
      <c r="D13" s="83">
        <v>-0.013568589</v>
      </c>
      <c r="E13" s="80">
        <v>0.002115885423054371</v>
      </c>
      <c r="F13" s="80">
        <v>0.190570058</v>
      </c>
      <c r="G13" s="80">
        <v>0.003910368516344719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0.018003413000000003</v>
      </c>
      <c r="E14" s="80">
        <v>0.002026808319675532</v>
      </c>
      <c r="F14" s="80">
        <v>0.0179951385</v>
      </c>
      <c r="G14" s="80">
        <v>0.002980852399159346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0.0084811255</v>
      </c>
      <c r="E15" s="78">
        <v>0.0018752925149545633</v>
      </c>
      <c r="F15" s="78">
        <v>-0.023798175999999997</v>
      </c>
      <c r="G15" s="78">
        <v>0.00272576726894907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12.5151</v>
      </c>
      <c r="D16" s="83">
        <v>-0.009694973899999999</v>
      </c>
      <c r="E16" s="80">
        <v>0.0007009589429145915</v>
      </c>
      <c r="F16" s="80">
        <v>0.004944261899999999</v>
      </c>
      <c r="G16" s="80">
        <v>0.0014912955888842592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-0.14000000059604645</v>
      </c>
      <c r="D17" s="83">
        <v>-0.009392902219999999</v>
      </c>
      <c r="E17" s="80">
        <v>0.0010204965992941593</v>
      </c>
      <c r="F17" s="80">
        <v>0.028283992</v>
      </c>
      <c r="G17" s="80">
        <v>0.0013038185757583418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27.974000930786133</v>
      </c>
      <c r="D18" s="83">
        <v>0.043026819</v>
      </c>
      <c r="E18" s="80">
        <v>0.0015235632898517283</v>
      </c>
      <c r="F18" s="80">
        <v>0.04718722099999999</v>
      </c>
      <c r="G18" s="80">
        <v>0.0014442908275393766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-0.19900000095367432</v>
      </c>
      <c r="D19" s="86">
        <v>-0.18289075999999999</v>
      </c>
      <c r="E19" s="80">
        <v>0.0006060351725783663</v>
      </c>
      <c r="F19" s="80">
        <v>0.020255259</v>
      </c>
      <c r="G19" s="80">
        <v>0.0004982972580940407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0.371655</v>
      </c>
      <c r="D20" s="88">
        <v>0.00026351897000000005</v>
      </c>
      <c r="E20" s="89">
        <v>0.0011632182397137278</v>
      </c>
      <c r="F20" s="89">
        <v>-0.00103086096</v>
      </c>
      <c r="G20" s="89">
        <v>0.0006799351312033266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0.4540865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0.3845343485305212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-3.7523085</v>
      </c>
      <c r="I25" s="101" t="s">
        <v>49</v>
      </c>
      <c r="J25" s="102"/>
      <c r="K25" s="101"/>
      <c r="L25" s="104">
        <v>3.601521658683064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2.431355222475157</v>
      </c>
      <c r="I26" s="106" t="s">
        <v>53</v>
      </c>
      <c r="J26" s="107"/>
      <c r="K26" s="106"/>
      <c r="L26" s="109">
        <v>0.02526425678055316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1.8896342999999998E-05</v>
      </c>
      <c r="L2" s="55">
        <v>3.213550740379578E-08</v>
      </c>
      <c r="M2" s="55">
        <v>7.197661700000002E-05</v>
      </c>
      <c r="N2" s="56">
        <v>1.2277785408986614E-07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-3.0579088999999997E-05</v>
      </c>
      <c r="L3" s="55">
        <v>8.77476573128421E-08</v>
      </c>
      <c r="M3" s="55">
        <v>8.847899E-06</v>
      </c>
      <c r="N3" s="56">
        <v>1.1942982300909988E-07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-0.0020824177818000657</v>
      </c>
      <c r="L4" s="55">
        <v>-4.021731269121654E-05</v>
      </c>
      <c r="M4" s="55">
        <v>4.010160941448012E-08</v>
      </c>
      <c r="N4" s="56">
        <v>9.6551984</v>
      </c>
    </row>
    <row r="5" spans="1:14" ht="15" customHeight="1" thickBot="1">
      <c r="A5" t="s">
        <v>18</v>
      </c>
      <c r="B5" s="59">
        <v>37949.38171296296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2678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0.9444862899999998</v>
      </c>
      <c r="E8" s="78">
        <v>0.0244984105367953</v>
      </c>
      <c r="F8" s="114">
        <v>8.8728882</v>
      </c>
      <c r="G8" s="78">
        <v>0.015654027937220514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-0.9097624999999999</v>
      </c>
      <c r="E9" s="80">
        <v>0.011592607082753925</v>
      </c>
      <c r="F9" s="80">
        <v>1.2774993000000001</v>
      </c>
      <c r="G9" s="80">
        <v>0.020989893986387252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-1.3981358899999998</v>
      </c>
      <c r="E10" s="80">
        <v>0.006397950870833016</v>
      </c>
      <c r="F10" s="80">
        <v>-0.167534729</v>
      </c>
      <c r="G10" s="80">
        <v>0.009931049754172154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14.377631</v>
      </c>
      <c r="E11" s="78">
        <v>0.008571760847541774</v>
      </c>
      <c r="F11" s="78">
        <v>0.92579452</v>
      </c>
      <c r="G11" s="78">
        <v>0.008937130757989022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-0.0156754518</v>
      </c>
      <c r="E12" s="80">
        <v>0.002501166519234147</v>
      </c>
      <c r="F12" s="116">
        <v>0.64003204</v>
      </c>
      <c r="G12" s="80">
        <v>0.0077872357714070485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19.155884</v>
      </c>
      <c r="D13" s="83">
        <v>-0.07723681000000002</v>
      </c>
      <c r="E13" s="80">
        <v>0.005677874279978364</v>
      </c>
      <c r="F13" s="80">
        <v>0.34260778</v>
      </c>
      <c r="G13" s="80">
        <v>0.004610833123159208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-0.038411431600000004</v>
      </c>
      <c r="E14" s="80">
        <v>0.005551073594084323</v>
      </c>
      <c r="F14" s="80">
        <v>-0.083981087</v>
      </c>
      <c r="G14" s="80">
        <v>0.007482471269193513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-0.26531079</v>
      </c>
      <c r="E15" s="78">
        <v>0.0040110158049296955</v>
      </c>
      <c r="F15" s="78">
        <v>0.17645386</v>
      </c>
      <c r="G15" s="78">
        <v>0.0025688231082357086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12.515300000000002</v>
      </c>
      <c r="D16" s="83">
        <v>-0.024495138</v>
      </c>
      <c r="E16" s="80">
        <v>0.0023865996454403445</v>
      </c>
      <c r="F16" s="80">
        <v>0.0197507433</v>
      </c>
      <c r="G16" s="80">
        <v>0.0023589085692086367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0.4690000116825104</v>
      </c>
      <c r="D17" s="83">
        <v>-0.010497470499999998</v>
      </c>
      <c r="E17" s="80">
        <v>0.0024563099786164442</v>
      </c>
      <c r="F17" s="80">
        <v>0.039035262</v>
      </c>
      <c r="G17" s="80">
        <v>0.0022427523069380264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-0.0005238765000000001</v>
      </c>
      <c r="E18" s="80">
        <v>0.0007336088390845625</v>
      </c>
      <c r="F18" s="80">
        <v>0.041169423999999996</v>
      </c>
      <c r="G18" s="80">
        <v>0.0009724061567338479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0.36899998784065247</v>
      </c>
      <c r="D19" s="83">
        <v>-0.13877022</v>
      </c>
      <c r="E19" s="80">
        <v>0.0012142831612109379</v>
      </c>
      <c r="F19" s="80">
        <v>-0.019872557</v>
      </c>
      <c r="G19" s="80">
        <v>0.0025431753662333097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0.14283759999999998</v>
      </c>
      <c r="D20" s="88">
        <v>-0.0011408925549999999</v>
      </c>
      <c r="E20" s="89">
        <v>0.0013320659101294647</v>
      </c>
      <c r="F20" s="89">
        <v>0.00177212934</v>
      </c>
      <c r="G20" s="89">
        <v>0.0009214380697170171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0.5903484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0.5532025859516996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-2.0828061</v>
      </c>
      <c r="I25" s="101" t="s">
        <v>49</v>
      </c>
      <c r="J25" s="102"/>
      <c r="K25" s="101"/>
      <c r="L25" s="104">
        <v>14.407406729367468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8.923015149695601</v>
      </c>
      <c r="I26" s="106" t="s">
        <v>53</v>
      </c>
      <c r="J26" s="107"/>
      <c r="K26" s="106"/>
      <c r="L26" s="109">
        <v>0.31863110331435585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68</v>
      </c>
      <c r="C1" s="121" t="s">
        <v>73</v>
      </c>
      <c r="D1" s="121" t="s">
        <v>76</v>
      </c>
      <c r="E1" s="121" t="s">
        <v>79</v>
      </c>
      <c r="F1" s="128" t="s">
        <v>82</v>
      </c>
      <c r="G1" s="162" t="s">
        <v>122</v>
      </c>
    </row>
    <row r="2" spans="1:7" ht="13.5" thickBot="1">
      <c r="A2" s="140" t="s">
        <v>91</v>
      </c>
      <c r="B2" s="132">
        <v>-2.2552725</v>
      </c>
      <c r="C2" s="123">
        <v>-3.7550896</v>
      </c>
      <c r="D2" s="123">
        <v>-3.7542075</v>
      </c>
      <c r="E2" s="123">
        <v>-3.7523085</v>
      </c>
      <c r="F2" s="129">
        <v>-2.0828061</v>
      </c>
      <c r="G2" s="163">
        <v>3.1163060394105795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4.8219315</v>
      </c>
      <c r="C4" s="147">
        <v>1.0413992</v>
      </c>
      <c r="D4" s="147">
        <v>1.3179785</v>
      </c>
      <c r="E4" s="147">
        <v>1.8959301</v>
      </c>
      <c r="F4" s="152">
        <v>0.9444862899999998</v>
      </c>
      <c r="G4" s="159">
        <v>1.8471257270422845</v>
      </c>
    </row>
    <row r="5" spans="1:7" ht="12.75">
      <c r="A5" s="140" t="s">
        <v>94</v>
      </c>
      <c r="B5" s="134">
        <v>0.45837103</v>
      </c>
      <c r="C5" s="118">
        <v>-0.160636147</v>
      </c>
      <c r="D5" s="118">
        <v>0.313880076</v>
      </c>
      <c r="E5" s="118">
        <v>0.215986068</v>
      </c>
      <c r="F5" s="153">
        <v>-0.9097624999999999</v>
      </c>
      <c r="G5" s="160">
        <v>0.03362291548686619</v>
      </c>
    </row>
    <row r="6" spans="1:7" ht="12.75">
      <c r="A6" s="140" t="s">
        <v>96</v>
      </c>
      <c r="B6" s="134">
        <v>-1.03904678</v>
      </c>
      <c r="C6" s="118">
        <v>-0.44404844</v>
      </c>
      <c r="D6" s="118">
        <v>-0.4172084099999999</v>
      </c>
      <c r="E6" s="118">
        <v>-0.6686580899999999</v>
      </c>
      <c r="F6" s="153">
        <v>-1.3981358899999998</v>
      </c>
      <c r="G6" s="160">
        <v>-0.7050219417258807</v>
      </c>
    </row>
    <row r="7" spans="1:7" ht="12.75">
      <c r="A7" s="140" t="s">
        <v>98</v>
      </c>
      <c r="B7" s="133">
        <v>3.3925733</v>
      </c>
      <c r="C7" s="117">
        <v>3.0288013</v>
      </c>
      <c r="D7" s="117">
        <v>3.4654165</v>
      </c>
      <c r="E7" s="117">
        <v>3.5867438999999997</v>
      </c>
      <c r="F7" s="154">
        <v>14.377631</v>
      </c>
      <c r="G7" s="160">
        <v>4.835923365575998</v>
      </c>
    </row>
    <row r="8" spans="1:7" ht="12.75">
      <c r="A8" s="140" t="s">
        <v>100</v>
      </c>
      <c r="B8" s="134">
        <v>0.22250299</v>
      </c>
      <c r="C8" s="118">
        <v>0.1423733</v>
      </c>
      <c r="D8" s="118">
        <v>0.056314107</v>
      </c>
      <c r="E8" s="118">
        <v>0.27677686999999995</v>
      </c>
      <c r="F8" s="153">
        <v>-0.0156754518</v>
      </c>
      <c r="G8" s="160">
        <v>0.14447391767025364</v>
      </c>
    </row>
    <row r="9" spans="1:7" ht="12.75">
      <c r="A9" s="140" t="s">
        <v>102</v>
      </c>
      <c r="B9" s="134">
        <v>0.062176908499999996</v>
      </c>
      <c r="C9" s="118">
        <v>0.0011224850000000008</v>
      </c>
      <c r="D9" s="118">
        <v>0.131978022</v>
      </c>
      <c r="E9" s="118">
        <v>-0.013568589</v>
      </c>
      <c r="F9" s="153">
        <v>-0.07723681000000002</v>
      </c>
      <c r="G9" s="160">
        <v>0.027444847428516515</v>
      </c>
    </row>
    <row r="10" spans="1:7" ht="12.75">
      <c r="A10" s="140" t="s">
        <v>104</v>
      </c>
      <c r="B10" s="134">
        <v>-0.0176151077</v>
      </c>
      <c r="C10" s="118">
        <v>0.0130285924</v>
      </c>
      <c r="D10" s="118">
        <v>0.072777561</v>
      </c>
      <c r="E10" s="118">
        <v>0.018003413000000003</v>
      </c>
      <c r="F10" s="153">
        <v>-0.038411431600000004</v>
      </c>
      <c r="G10" s="160">
        <v>0.017306089104299694</v>
      </c>
    </row>
    <row r="11" spans="1:7" ht="12.75">
      <c r="A11" s="140" t="s">
        <v>106</v>
      </c>
      <c r="B11" s="133">
        <v>-0.24740563999999998</v>
      </c>
      <c r="C11" s="117">
        <v>0.0134492788</v>
      </c>
      <c r="D11" s="117">
        <v>0.066895262</v>
      </c>
      <c r="E11" s="117">
        <v>0.0084811255</v>
      </c>
      <c r="F11" s="155">
        <v>-0.26531079</v>
      </c>
      <c r="G11" s="160">
        <v>-0.04981461916243514</v>
      </c>
    </row>
    <row r="12" spans="1:7" ht="12.75">
      <c r="A12" s="140" t="s">
        <v>108</v>
      </c>
      <c r="B12" s="134">
        <v>-0.013430962699999998</v>
      </c>
      <c r="C12" s="118">
        <v>-0.010614389</v>
      </c>
      <c r="D12" s="118">
        <v>-0.040724845999999995</v>
      </c>
      <c r="E12" s="118">
        <v>-0.009694973899999999</v>
      </c>
      <c r="F12" s="153">
        <v>-0.024495138</v>
      </c>
      <c r="G12" s="160">
        <v>-0.01990009135432531</v>
      </c>
    </row>
    <row r="13" spans="1:7" ht="12.75">
      <c r="A13" s="140" t="s">
        <v>110</v>
      </c>
      <c r="B13" s="134">
        <v>-0.013773030180000001</v>
      </c>
      <c r="C13" s="118">
        <v>-0.006673298350000001</v>
      </c>
      <c r="D13" s="118">
        <v>-0.006680533467199999</v>
      </c>
      <c r="E13" s="118">
        <v>-0.009392902219999999</v>
      </c>
      <c r="F13" s="153">
        <v>-0.010497470499999998</v>
      </c>
      <c r="G13" s="160">
        <v>-0.008866214145329582</v>
      </c>
    </row>
    <row r="14" spans="1:7" ht="12.75">
      <c r="A14" s="140" t="s">
        <v>112</v>
      </c>
      <c r="B14" s="134">
        <v>0.042484078999999994</v>
      </c>
      <c r="C14" s="118">
        <v>0.035829215000000005</v>
      </c>
      <c r="D14" s="118">
        <v>0.051612911</v>
      </c>
      <c r="E14" s="118">
        <v>0.043026819</v>
      </c>
      <c r="F14" s="153">
        <v>-0.0005238765000000001</v>
      </c>
      <c r="G14" s="160">
        <v>0.03746738865034453</v>
      </c>
    </row>
    <row r="15" spans="1:7" ht="12.75">
      <c r="A15" s="140" t="s">
        <v>114</v>
      </c>
      <c r="B15" s="135">
        <v>-0.19750001</v>
      </c>
      <c r="C15" s="119">
        <v>-0.17965817</v>
      </c>
      <c r="D15" s="119">
        <v>-0.1847461</v>
      </c>
      <c r="E15" s="119">
        <v>-0.18289075999999999</v>
      </c>
      <c r="F15" s="153">
        <v>-0.13877022</v>
      </c>
      <c r="G15" s="160">
        <v>-0.17878041885452456</v>
      </c>
    </row>
    <row r="16" spans="1:7" ht="12.75">
      <c r="A16" s="140" t="s">
        <v>116</v>
      </c>
      <c r="B16" s="134">
        <v>-0.0035794293000000004</v>
      </c>
      <c r="C16" s="118">
        <v>0.0011031060999999998</v>
      </c>
      <c r="D16" s="118">
        <v>-0.00029753522</v>
      </c>
      <c r="E16" s="118">
        <v>0.00026351897000000005</v>
      </c>
      <c r="F16" s="153">
        <v>-0.0011408925549999999</v>
      </c>
      <c r="G16" s="160">
        <v>-0.00041249480413021317</v>
      </c>
    </row>
    <row r="17" spans="1:7" ht="12.75">
      <c r="A17" s="140" t="s">
        <v>93</v>
      </c>
      <c r="B17" s="133">
        <v>0.7998956500000001</v>
      </c>
      <c r="C17" s="117">
        <v>1.7305395999999997</v>
      </c>
      <c r="D17" s="117">
        <v>1.7523005999999999</v>
      </c>
      <c r="E17" s="117">
        <v>1.5221489</v>
      </c>
      <c r="F17" s="154">
        <v>8.8728882</v>
      </c>
      <c r="G17" s="160">
        <v>2.5047232619459665</v>
      </c>
    </row>
    <row r="18" spans="1:7" ht="12.75">
      <c r="A18" s="140" t="s">
        <v>95</v>
      </c>
      <c r="B18" s="134">
        <v>0.6391294000000001</v>
      </c>
      <c r="C18" s="118">
        <v>-1.6651821999999998</v>
      </c>
      <c r="D18" s="118">
        <v>-1.3257311</v>
      </c>
      <c r="E18" s="118">
        <v>0.353428897</v>
      </c>
      <c r="F18" s="153">
        <v>1.2774993000000001</v>
      </c>
      <c r="G18" s="160">
        <v>-0.37190557043599737</v>
      </c>
    </row>
    <row r="19" spans="1:7" ht="12.75">
      <c r="A19" s="140" t="s">
        <v>97</v>
      </c>
      <c r="B19" s="134">
        <v>0.06393254000000001</v>
      </c>
      <c r="C19" s="118">
        <v>-0.12393178099999999</v>
      </c>
      <c r="D19" s="118">
        <v>0.106065294</v>
      </c>
      <c r="E19" s="118">
        <v>0.4148928099999999</v>
      </c>
      <c r="F19" s="153">
        <v>-0.167534729</v>
      </c>
      <c r="G19" s="160">
        <v>0.08236480464315522</v>
      </c>
    </row>
    <row r="20" spans="1:7" ht="12.75">
      <c r="A20" s="140" t="s">
        <v>99</v>
      </c>
      <c r="B20" s="133">
        <v>0.66757569</v>
      </c>
      <c r="C20" s="117">
        <v>0.03371708599999999</v>
      </c>
      <c r="D20" s="117">
        <v>0.0031780967299999997</v>
      </c>
      <c r="E20" s="117">
        <v>0.325924</v>
      </c>
      <c r="F20" s="155">
        <v>0.92579452</v>
      </c>
      <c r="G20" s="160">
        <v>0.30739884324340966</v>
      </c>
    </row>
    <row r="21" spans="1:7" ht="12.75">
      <c r="A21" s="140" t="s">
        <v>101</v>
      </c>
      <c r="B21" s="134">
        <v>0.16526723</v>
      </c>
      <c r="C21" s="118">
        <v>0.11805315899999999</v>
      </c>
      <c r="D21" s="118">
        <v>-0.066989871</v>
      </c>
      <c r="E21" s="118">
        <v>0.18646431</v>
      </c>
      <c r="F21" s="156">
        <v>0.64003204</v>
      </c>
      <c r="G21" s="160">
        <v>0.16649460153257897</v>
      </c>
    </row>
    <row r="22" spans="1:7" ht="12.75">
      <c r="A22" s="140" t="s">
        <v>103</v>
      </c>
      <c r="B22" s="134">
        <v>-0.044255866</v>
      </c>
      <c r="C22" s="118">
        <v>-0.18133300800000002</v>
      </c>
      <c r="D22" s="118">
        <v>-0.204668483</v>
      </c>
      <c r="E22" s="118">
        <v>0.190570058</v>
      </c>
      <c r="F22" s="153">
        <v>0.34260778</v>
      </c>
      <c r="G22" s="160">
        <v>-0.007720378169762806</v>
      </c>
    </row>
    <row r="23" spans="1:7" ht="12.75">
      <c r="A23" s="140" t="s">
        <v>105</v>
      </c>
      <c r="B23" s="134">
        <v>-0.025940115330000003</v>
      </c>
      <c r="C23" s="118">
        <v>-0.094621829</v>
      </c>
      <c r="D23" s="118">
        <v>-0.028835715</v>
      </c>
      <c r="E23" s="118">
        <v>0.0179951385</v>
      </c>
      <c r="F23" s="153">
        <v>-0.083981087</v>
      </c>
      <c r="G23" s="160">
        <v>-0.04035105668474506</v>
      </c>
    </row>
    <row r="24" spans="1:7" ht="12.75">
      <c r="A24" s="140" t="s">
        <v>107</v>
      </c>
      <c r="B24" s="133">
        <v>0.11288176999999999</v>
      </c>
      <c r="C24" s="117">
        <v>0.0103921227</v>
      </c>
      <c r="D24" s="117">
        <v>-0.026694297</v>
      </c>
      <c r="E24" s="117">
        <v>-0.023798175999999997</v>
      </c>
      <c r="F24" s="155">
        <v>0.17645386</v>
      </c>
      <c r="G24" s="160">
        <v>0.030231871705943984</v>
      </c>
    </row>
    <row r="25" spans="1:7" ht="12.75">
      <c r="A25" s="140" t="s">
        <v>109</v>
      </c>
      <c r="B25" s="134">
        <v>0.011399449434</v>
      </c>
      <c r="C25" s="118">
        <v>-0.021481594</v>
      </c>
      <c r="D25" s="118">
        <v>-0.021218933000000002</v>
      </c>
      <c r="E25" s="118">
        <v>0.004944261899999999</v>
      </c>
      <c r="F25" s="153">
        <v>0.0197507433</v>
      </c>
      <c r="G25" s="160">
        <v>-0.004803133016590738</v>
      </c>
    </row>
    <row r="26" spans="1:7" ht="12.75">
      <c r="A26" s="140" t="s">
        <v>111</v>
      </c>
      <c r="B26" s="134">
        <v>-0.0039595199</v>
      </c>
      <c r="C26" s="118">
        <v>-0.010321686</v>
      </c>
      <c r="D26" s="118">
        <v>-0.022665962</v>
      </c>
      <c r="E26" s="118">
        <v>0.028283992</v>
      </c>
      <c r="F26" s="153">
        <v>0.039035262</v>
      </c>
      <c r="G26" s="160">
        <v>0.0035033894322281764</v>
      </c>
    </row>
    <row r="27" spans="1:7" ht="12.75">
      <c r="A27" s="140" t="s">
        <v>113</v>
      </c>
      <c r="B27" s="134">
        <v>0.068579243</v>
      </c>
      <c r="C27" s="118">
        <v>0.034748985999999996</v>
      </c>
      <c r="D27" s="118">
        <v>0.014506684</v>
      </c>
      <c r="E27" s="118">
        <v>0.04718722099999999</v>
      </c>
      <c r="F27" s="153">
        <v>0.041169423999999996</v>
      </c>
      <c r="G27" s="160">
        <v>0.03861747896865489</v>
      </c>
    </row>
    <row r="28" spans="1:7" ht="12.75">
      <c r="A28" s="140" t="s">
        <v>115</v>
      </c>
      <c r="B28" s="134">
        <v>0.024287732</v>
      </c>
      <c r="C28" s="118">
        <v>0.019985911000000002</v>
      </c>
      <c r="D28" s="118">
        <v>0.018176177</v>
      </c>
      <c r="E28" s="118">
        <v>0.020255259</v>
      </c>
      <c r="F28" s="153">
        <v>-0.019872557</v>
      </c>
      <c r="G28" s="160">
        <v>0.014915351824720077</v>
      </c>
    </row>
    <row r="29" spans="1:7" ht="13.5" thickBot="1">
      <c r="A29" s="141" t="s">
        <v>117</v>
      </c>
      <c r="B29" s="136">
        <v>-0.00325171011</v>
      </c>
      <c r="C29" s="120">
        <v>-0.00097032136</v>
      </c>
      <c r="D29" s="120">
        <v>0.00108612594</v>
      </c>
      <c r="E29" s="120">
        <v>-0.00103086096</v>
      </c>
      <c r="F29" s="157">
        <v>0.00177212934</v>
      </c>
      <c r="G29" s="161">
        <v>-0.00045364382632447563</v>
      </c>
    </row>
    <row r="30" spans="1:7" ht="13.5" thickTop="1">
      <c r="A30" s="142" t="s">
        <v>118</v>
      </c>
      <c r="B30" s="137">
        <v>-0.2792768247925413</v>
      </c>
      <c r="C30" s="126">
        <v>-0.005253500240324166</v>
      </c>
      <c r="D30" s="126">
        <v>0.24939826520965497</v>
      </c>
      <c r="E30" s="126">
        <v>0.3845343485305212</v>
      </c>
      <c r="F30" s="122">
        <v>0.5532025859516996</v>
      </c>
      <c r="G30" s="162" t="s">
        <v>129</v>
      </c>
    </row>
    <row r="31" spans="1:7" ht="13.5" thickBot="1">
      <c r="A31" s="143" t="s">
        <v>119</v>
      </c>
      <c r="B31" s="132">
        <v>19.332886</v>
      </c>
      <c r="C31" s="123">
        <v>19.116211</v>
      </c>
      <c r="D31" s="123">
        <v>19.104004</v>
      </c>
      <c r="E31" s="123">
        <v>19.110108</v>
      </c>
      <c r="F31" s="124">
        <v>19.155884</v>
      </c>
      <c r="G31" s="164">
        <v>-209.69</v>
      </c>
    </row>
    <row r="32" spans="1:7" ht="15.75" thickBot="1" thickTop="1">
      <c r="A32" s="144" t="s">
        <v>120</v>
      </c>
      <c r="B32" s="138">
        <v>-0.1249999925494194</v>
      </c>
      <c r="C32" s="127">
        <v>-0.31299999356269836</v>
      </c>
      <c r="D32" s="127">
        <v>0.2719999998807907</v>
      </c>
      <c r="E32" s="127">
        <v>-0.16950000077486038</v>
      </c>
      <c r="F32" s="125">
        <v>0.4189999997615814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2" width="15.33203125" style="165" bestFit="1" customWidth="1"/>
    <col min="3" max="3" width="14.8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130</v>
      </c>
      <c r="B1" s="165" t="s">
        <v>131</v>
      </c>
      <c r="C1" s="165" t="s">
        <v>132</v>
      </c>
      <c r="D1" s="165" t="s">
        <v>133</v>
      </c>
      <c r="E1" s="165" t="s">
        <v>28</v>
      </c>
    </row>
    <row r="3" spans="1:7" ht="12.75">
      <c r="A3" s="165" t="s">
        <v>134</v>
      </c>
      <c r="B3" s="165" t="s">
        <v>85</v>
      </c>
      <c r="C3" s="165" t="s">
        <v>86</v>
      </c>
      <c r="D3" s="165" t="s">
        <v>87</v>
      </c>
      <c r="E3" s="165" t="s">
        <v>88</v>
      </c>
      <c r="F3" s="165" t="s">
        <v>89</v>
      </c>
      <c r="G3" s="165" t="s">
        <v>135</v>
      </c>
    </row>
    <row r="4" spans="1:7" ht="12.75">
      <c r="A4" s="165" t="s">
        <v>136</v>
      </c>
      <c r="B4" s="165">
        <f>0.002253*1.0033</f>
        <v>0.0022604349</v>
      </c>
      <c r="C4" s="165">
        <f>0.00375*1.0033</f>
        <v>0.003762375</v>
      </c>
      <c r="D4" s="165">
        <f>0.00375*1.0033</f>
        <v>0.003762375</v>
      </c>
      <c r="E4" s="165">
        <f>0.003748*1.0033</f>
        <v>0.0037603684</v>
      </c>
      <c r="F4" s="165">
        <f>0.00208*1.0033</f>
        <v>0.002086864</v>
      </c>
      <c r="G4" s="165">
        <f>0.011683*1.0033</f>
        <v>0.011721553900000002</v>
      </c>
    </row>
    <row r="5" spans="1:7" ht="12.75">
      <c r="A5" s="165" t="s">
        <v>137</v>
      </c>
      <c r="B5" s="165">
        <v>8.228241</v>
      </c>
      <c r="C5" s="165">
        <v>3.270761</v>
      </c>
      <c r="D5" s="165">
        <v>-0.877201</v>
      </c>
      <c r="E5" s="165">
        <v>-3.789205</v>
      </c>
      <c r="F5" s="165">
        <v>-6.316735</v>
      </c>
      <c r="G5" s="165">
        <v>3.173721</v>
      </c>
    </row>
    <row r="6" spans="1:7" ht="12.75">
      <c r="A6" s="165" t="s">
        <v>138</v>
      </c>
      <c r="B6" s="166">
        <v>33.81445</v>
      </c>
      <c r="C6" s="166">
        <v>-19.25874</v>
      </c>
      <c r="D6" s="166">
        <v>-55.58639</v>
      </c>
      <c r="E6" s="166">
        <v>-12.43529</v>
      </c>
      <c r="F6" s="166">
        <v>120.6945</v>
      </c>
      <c r="G6" s="166">
        <v>-0.00342555</v>
      </c>
    </row>
    <row r="7" spans="1:7" ht="12.75">
      <c r="A7" s="165" t="s">
        <v>139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92</v>
      </c>
      <c r="B8" s="166">
        <v>4.84246</v>
      </c>
      <c r="C8" s="166">
        <v>1.051184</v>
      </c>
      <c r="D8" s="166">
        <v>1.369509</v>
      </c>
      <c r="E8" s="166">
        <v>1.91997</v>
      </c>
      <c r="F8" s="166">
        <v>1.121034</v>
      </c>
      <c r="G8" s="166">
        <v>1.894261</v>
      </c>
    </row>
    <row r="9" spans="1:7" ht="12.75">
      <c r="A9" s="165" t="s">
        <v>94</v>
      </c>
      <c r="B9" s="166">
        <v>0.4151792</v>
      </c>
      <c r="C9" s="166">
        <v>-0.1353315</v>
      </c>
      <c r="D9" s="166">
        <v>0.3085482</v>
      </c>
      <c r="E9" s="166">
        <v>0.2249688</v>
      </c>
      <c r="F9" s="166">
        <v>-0.9696374</v>
      </c>
      <c r="G9" s="166">
        <v>0.02634686</v>
      </c>
    </row>
    <row r="10" spans="1:7" ht="12.75">
      <c r="A10" s="165" t="s">
        <v>96</v>
      </c>
      <c r="B10" s="166">
        <v>-0.9295613</v>
      </c>
      <c r="C10" s="166">
        <v>-0.4712616</v>
      </c>
      <c r="D10" s="166">
        <v>-0.5117209</v>
      </c>
      <c r="E10" s="166">
        <v>-0.6807093</v>
      </c>
      <c r="F10" s="166">
        <v>-0.502523</v>
      </c>
      <c r="G10" s="166">
        <v>-0.6018054</v>
      </c>
    </row>
    <row r="11" spans="1:7" ht="12.75">
      <c r="A11" s="165" t="s">
        <v>98</v>
      </c>
      <c r="B11" s="166">
        <v>3.3738</v>
      </c>
      <c r="C11" s="166">
        <v>3.023291</v>
      </c>
      <c r="D11" s="166">
        <v>3.467251</v>
      </c>
      <c r="E11" s="166">
        <v>3.591447</v>
      </c>
      <c r="F11" s="166">
        <v>14.43898</v>
      </c>
      <c r="G11" s="166">
        <v>4.841545</v>
      </c>
    </row>
    <row r="12" spans="1:7" ht="12.75">
      <c r="A12" s="165" t="s">
        <v>100</v>
      </c>
      <c r="B12" s="166">
        <v>0.1994459</v>
      </c>
      <c r="C12" s="166">
        <v>0.1365982</v>
      </c>
      <c r="D12" s="166">
        <v>0.05961015</v>
      </c>
      <c r="E12" s="166">
        <v>0.2767778</v>
      </c>
      <c r="F12" s="166">
        <v>0.0208394</v>
      </c>
      <c r="G12" s="166">
        <v>0.1454325</v>
      </c>
    </row>
    <row r="13" spans="1:7" ht="12.75">
      <c r="A13" s="165" t="s">
        <v>102</v>
      </c>
      <c r="B13" s="166">
        <v>0.06394555</v>
      </c>
      <c r="C13" s="166">
        <v>0.008365578</v>
      </c>
      <c r="D13" s="166">
        <v>0.129943</v>
      </c>
      <c r="E13" s="166">
        <v>-0.007739442</v>
      </c>
      <c r="F13" s="166">
        <v>-0.06691079</v>
      </c>
      <c r="G13" s="166">
        <v>0.03173609</v>
      </c>
    </row>
    <row r="14" spans="1:7" ht="12.75">
      <c r="A14" s="165" t="s">
        <v>104</v>
      </c>
      <c r="B14" s="166">
        <v>-0.008552108</v>
      </c>
      <c r="C14" s="166">
        <v>0.01574352</v>
      </c>
      <c r="D14" s="166">
        <v>0.07274224</v>
      </c>
      <c r="E14" s="166">
        <v>0.01847938</v>
      </c>
      <c r="F14" s="166">
        <v>-0.05351157</v>
      </c>
      <c r="G14" s="166">
        <v>0.0173585</v>
      </c>
    </row>
    <row r="15" spans="1:7" ht="12.75">
      <c r="A15" s="165" t="s">
        <v>140</v>
      </c>
      <c r="B15" s="166">
        <v>-0.2552091</v>
      </c>
      <c r="C15" s="166">
        <v>0.01403117</v>
      </c>
      <c r="D15" s="166">
        <v>0.07101438</v>
      </c>
      <c r="E15" s="166">
        <v>0.007865908</v>
      </c>
      <c r="F15" s="166">
        <v>-0.2536554</v>
      </c>
      <c r="G15" s="166">
        <v>-0.04839431</v>
      </c>
    </row>
    <row r="16" spans="1:7" ht="12.75">
      <c r="A16" s="165" t="s">
        <v>108</v>
      </c>
      <c r="B16" s="166">
        <v>-0.01653326</v>
      </c>
      <c r="C16" s="166">
        <v>-0.00805439</v>
      </c>
      <c r="D16" s="166">
        <v>-0.03666652</v>
      </c>
      <c r="E16" s="166">
        <v>-0.008127164</v>
      </c>
      <c r="F16" s="166">
        <v>-0.01983375</v>
      </c>
      <c r="G16" s="166">
        <v>-0.01775627</v>
      </c>
    </row>
    <row r="17" spans="1:7" ht="12.75">
      <c r="A17" s="165" t="s">
        <v>110</v>
      </c>
      <c r="B17" s="166">
        <v>0.001727594</v>
      </c>
      <c r="C17" s="166">
        <v>-0.008268589</v>
      </c>
      <c r="D17" s="166">
        <v>-0.0117199</v>
      </c>
      <c r="E17" s="166">
        <v>-0.007957366</v>
      </c>
      <c r="F17" s="166">
        <v>-0.002186622</v>
      </c>
      <c r="G17" s="166">
        <v>-0.006766591</v>
      </c>
    </row>
    <row r="18" spans="1:7" ht="12.75">
      <c r="A18" s="165" t="s">
        <v>112</v>
      </c>
      <c r="B18" s="166">
        <v>0.03277336</v>
      </c>
      <c r="C18" s="166">
        <v>0.03564437</v>
      </c>
      <c r="D18" s="166">
        <v>0.05506157</v>
      </c>
      <c r="E18" s="166">
        <v>0.0465048</v>
      </c>
      <c r="F18" s="166">
        <v>-0.004163235</v>
      </c>
      <c r="G18" s="166">
        <v>0.03720581</v>
      </c>
    </row>
    <row r="19" spans="1:7" ht="12.75">
      <c r="A19" s="165" t="s">
        <v>114</v>
      </c>
      <c r="B19" s="166">
        <v>-0.1990635</v>
      </c>
      <c r="C19" s="166">
        <v>-0.180405</v>
      </c>
      <c r="D19" s="166">
        <v>-0.1845286</v>
      </c>
      <c r="E19" s="166">
        <v>-0.1815863</v>
      </c>
      <c r="F19" s="166">
        <v>-0.1399924</v>
      </c>
      <c r="G19" s="166">
        <v>-0.1789814</v>
      </c>
    </row>
    <row r="20" spans="1:7" ht="12.75">
      <c r="A20" s="165" t="s">
        <v>116</v>
      </c>
      <c r="B20" s="166">
        <v>-0.003151238</v>
      </c>
      <c r="C20" s="166">
        <v>0.001150003</v>
      </c>
      <c r="D20" s="166">
        <v>-0.0002944328</v>
      </c>
      <c r="E20" s="166">
        <v>0.0002042881</v>
      </c>
      <c r="F20" s="166">
        <v>-0.0009782958</v>
      </c>
      <c r="G20" s="166">
        <v>-0.0003311315</v>
      </c>
    </row>
    <row r="21" spans="1:7" ht="12.75">
      <c r="A21" s="165" t="s">
        <v>141</v>
      </c>
      <c r="B21" s="166">
        <v>-139.1989</v>
      </c>
      <c r="C21" s="166">
        <v>35.37613</v>
      </c>
      <c r="D21" s="166">
        <v>112.4037</v>
      </c>
      <c r="E21" s="166">
        <v>-11.9633</v>
      </c>
      <c r="F21" s="166">
        <v>-94.12095</v>
      </c>
      <c r="G21" s="166">
        <v>0.001512354</v>
      </c>
    </row>
    <row r="22" spans="1:7" ht="12.75">
      <c r="A22" s="165" t="s">
        <v>142</v>
      </c>
      <c r="B22" s="166">
        <v>164.5797</v>
      </c>
      <c r="C22" s="166">
        <v>65.41614</v>
      </c>
      <c r="D22" s="166">
        <v>-17.54405</v>
      </c>
      <c r="E22" s="166">
        <v>-75.78554</v>
      </c>
      <c r="F22" s="166">
        <v>-126.3414</v>
      </c>
      <c r="G22" s="166">
        <v>0</v>
      </c>
    </row>
    <row r="23" spans="1:7" ht="12.75">
      <c r="A23" s="165" t="s">
        <v>93</v>
      </c>
      <c r="B23" s="166">
        <v>0.9124447</v>
      </c>
      <c r="C23" s="166">
        <v>1.754222</v>
      </c>
      <c r="D23" s="166">
        <v>1.786523</v>
      </c>
      <c r="E23" s="166">
        <v>1.504013</v>
      </c>
      <c r="F23" s="166">
        <v>8.936739</v>
      </c>
      <c r="G23" s="166">
        <v>2.538962</v>
      </c>
    </row>
    <row r="24" spans="1:7" ht="12.75">
      <c r="A24" s="165" t="s">
        <v>95</v>
      </c>
      <c r="B24" s="166">
        <v>0.7160826</v>
      </c>
      <c r="C24" s="166">
        <v>-1.670498</v>
      </c>
      <c r="D24" s="166">
        <v>-1.349888</v>
      </c>
      <c r="E24" s="166">
        <v>0.3525092</v>
      </c>
      <c r="F24" s="166">
        <v>1.330263</v>
      </c>
      <c r="G24" s="166">
        <v>-0.3610932</v>
      </c>
    </row>
    <row r="25" spans="1:7" ht="12.75">
      <c r="A25" s="165" t="s">
        <v>97</v>
      </c>
      <c r="B25" s="166">
        <v>-0.2034638</v>
      </c>
      <c r="C25" s="166">
        <v>-0.07892719</v>
      </c>
      <c r="D25" s="166">
        <v>0.3023606</v>
      </c>
      <c r="E25" s="166">
        <v>0.403286</v>
      </c>
      <c r="F25" s="166">
        <v>-0.7686199</v>
      </c>
      <c r="G25" s="166">
        <v>0.01878105</v>
      </c>
    </row>
    <row r="26" spans="1:7" ht="12.75">
      <c r="A26" s="165" t="s">
        <v>99</v>
      </c>
      <c r="B26" s="166">
        <v>0.8216519</v>
      </c>
      <c r="C26" s="166">
        <v>0.0938063</v>
      </c>
      <c r="D26" s="166">
        <v>-0.009158512</v>
      </c>
      <c r="E26" s="166">
        <v>0.2401076</v>
      </c>
      <c r="F26" s="166">
        <v>0.4226764</v>
      </c>
      <c r="G26" s="166">
        <v>0.2530231</v>
      </c>
    </row>
    <row r="27" spans="1:7" ht="12.75">
      <c r="A27" s="165" t="s">
        <v>101</v>
      </c>
      <c r="B27" s="166">
        <v>0.1628724</v>
      </c>
      <c r="C27" s="166">
        <v>0.1166379</v>
      </c>
      <c r="D27" s="166">
        <v>-0.05661438</v>
      </c>
      <c r="E27" s="166">
        <v>0.1700622</v>
      </c>
      <c r="F27" s="166">
        <v>0.6649123</v>
      </c>
      <c r="G27" s="166">
        <v>0.1676624</v>
      </c>
    </row>
    <row r="28" spans="1:7" ht="12.75">
      <c r="A28" s="165" t="s">
        <v>103</v>
      </c>
      <c r="B28" s="166">
        <v>-0.04022034</v>
      </c>
      <c r="C28" s="166">
        <v>-0.179206</v>
      </c>
      <c r="D28" s="166">
        <v>-0.1978014</v>
      </c>
      <c r="E28" s="166">
        <v>0.1908457</v>
      </c>
      <c r="F28" s="166">
        <v>0.3412391</v>
      </c>
      <c r="G28" s="166">
        <v>-0.005097089</v>
      </c>
    </row>
    <row r="29" spans="1:7" ht="12.75">
      <c r="A29" s="165" t="s">
        <v>105</v>
      </c>
      <c r="B29" s="166">
        <v>0.007817335</v>
      </c>
      <c r="C29" s="166">
        <v>-0.09390748</v>
      </c>
      <c r="D29" s="166">
        <v>-0.02114354</v>
      </c>
      <c r="E29" s="166">
        <v>0.0176874</v>
      </c>
      <c r="F29" s="166">
        <v>-0.04001592</v>
      </c>
      <c r="G29" s="166">
        <v>-0.02765358</v>
      </c>
    </row>
    <row r="30" spans="1:7" ht="12.75">
      <c r="A30" s="165" t="s">
        <v>107</v>
      </c>
      <c r="B30" s="166">
        <v>0.09364058</v>
      </c>
      <c r="C30" s="166">
        <v>0.01115895</v>
      </c>
      <c r="D30" s="166">
        <v>-0.03060195</v>
      </c>
      <c r="E30" s="166">
        <v>-0.02418112</v>
      </c>
      <c r="F30" s="166">
        <v>0.197088</v>
      </c>
      <c r="G30" s="166">
        <v>0.02935931</v>
      </c>
    </row>
    <row r="31" spans="1:7" ht="12.75">
      <c r="A31" s="165" t="s">
        <v>109</v>
      </c>
      <c r="B31" s="166">
        <v>0.01517887</v>
      </c>
      <c r="C31" s="166">
        <v>-0.01811635</v>
      </c>
      <c r="D31" s="166">
        <v>-0.01699505</v>
      </c>
      <c r="E31" s="166">
        <v>0.008387533</v>
      </c>
      <c r="F31" s="166">
        <v>0.03162555</v>
      </c>
      <c r="G31" s="166">
        <v>-1.499801E-05</v>
      </c>
    </row>
    <row r="32" spans="1:7" ht="12.75">
      <c r="A32" s="165" t="s">
        <v>111</v>
      </c>
      <c r="B32" s="166">
        <v>-0.007943811</v>
      </c>
      <c r="C32" s="166">
        <v>-0.009889034</v>
      </c>
      <c r="D32" s="166">
        <v>-0.01590737</v>
      </c>
      <c r="E32" s="166">
        <v>0.0272387</v>
      </c>
      <c r="F32" s="166">
        <v>0.04600299</v>
      </c>
      <c r="G32" s="166">
        <v>0.005337269</v>
      </c>
    </row>
    <row r="33" spans="1:7" ht="12.75">
      <c r="A33" s="165" t="s">
        <v>113</v>
      </c>
      <c r="B33" s="166">
        <v>0.08393119</v>
      </c>
      <c r="C33" s="166">
        <v>0.03351156</v>
      </c>
      <c r="D33" s="166">
        <v>0.005078904</v>
      </c>
      <c r="E33" s="166">
        <v>0.0457093</v>
      </c>
      <c r="F33" s="166">
        <v>0.04592582</v>
      </c>
      <c r="G33" s="166">
        <v>0.03854363</v>
      </c>
    </row>
    <row r="34" spans="1:7" ht="12.75">
      <c r="A34" s="165" t="s">
        <v>115</v>
      </c>
      <c r="B34" s="166">
        <v>0.001445936</v>
      </c>
      <c r="C34" s="166">
        <v>0.01175306</v>
      </c>
      <c r="D34" s="166">
        <v>0.02045063</v>
      </c>
      <c r="E34" s="166">
        <v>0.02993518</v>
      </c>
      <c r="F34" s="166">
        <v>-0.007505263</v>
      </c>
      <c r="G34" s="166">
        <v>0.01418631</v>
      </c>
    </row>
    <row r="35" spans="1:7" ht="12.75">
      <c r="A35" s="165" t="s">
        <v>117</v>
      </c>
      <c r="B35" s="166">
        <v>-0.003670383</v>
      </c>
      <c r="C35" s="166">
        <v>-0.000915508</v>
      </c>
      <c r="D35" s="166">
        <v>0.001089445</v>
      </c>
      <c r="E35" s="166">
        <v>-0.001044226</v>
      </c>
      <c r="F35" s="166">
        <v>0.001871717</v>
      </c>
      <c r="G35" s="166">
        <v>-0.0004900304</v>
      </c>
    </row>
    <row r="36" spans="1:6" ht="12.75">
      <c r="A36" s="165" t="s">
        <v>143</v>
      </c>
      <c r="B36" s="166">
        <v>19.15588</v>
      </c>
      <c r="C36" s="166">
        <v>19.16504</v>
      </c>
      <c r="D36" s="166">
        <v>19.19251</v>
      </c>
      <c r="E36" s="166">
        <v>19.20776</v>
      </c>
      <c r="F36" s="166">
        <v>19.23218</v>
      </c>
    </row>
    <row r="37" spans="1:6" ht="12.75">
      <c r="A37" s="165" t="s">
        <v>144</v>
      </c>
      <c r="B37" s="166">
        <v>0.428772</v>
      </c>
      <c r="C37" s="166">
        <v>0.4140218</v>
      </c>
      <c r="D37" s="166">
        <v>0.4058838</v>
      </c>
      <c r="E37" s="166">
        <v>0.3962199</v>
      </c>
      <c r="F37" s="166">
        <v>0.3880819</v>
      </c>
    </row>
    <row r="38" spans="1:7" ht="12.75">
      <c r="A38" s="165" t="s">
        <v>145</v>
      </c>
      <c r="B38" s="166">
        <v>-5.357548E-05</v>
      </c>
      <c r="C38" s="166">
        <v>3.234507E-05</v>
      </c>
      <c r="D38" s="166">
        <v>9.483182E-05</v>
      </c>
      <c r="E38" s="166">
        <v>2.098465E-05</v>
      </c>
      <c r="F38" s="166">
        <v>-0.0002071691</v>
      </c>
      <c r="G38" s="166">
        <v>0.0003506385</v>
      </c>
    </row>
    <row r="39" spans="1:7" ht="12.75">
      <c r="A39" s="165" t="s">
        <v>146</v>
      </c>
      <c r="B39" s="166">
        <v>0.0002375199</v>
      </c>
      <c r="C39" s="166">
        <v>-6.035101E-05</v>
      </c>
      <c r="D39" s="166">
        <v>-0.00019092</v>
      </c>
      <c r="E39" s="166">
        <v>2.049665E-05</v>
      </c>
      <c r="F39" s="166">
        <v>0.0001573882</v>
      </c>
      <c r="G39" s="166">
        <v>0.0004336104</v>
      </c>
    </row>
    <row r="40" spans="2:5" ht="12.75">
      <c r="B40" s="165" t="s">
        <v>147</v>
      </c>
      <c r="C40" s="165">
        <v>-0.003749</v>
      </c>
      <c r="D40" s="165" t="s">
        <v>148</v>
      </c>
      <c r="E40" s="165">
        <v>3.116309</v>
      </c>
    </row>
    <row r="42" ht="12.75">
      <c r="A42" s="165" t="s">
        <v>149</v>
      </c>
    </row>
    <row r="50" spans="1:7" ht="12.75">
      <c r="A50" s="165" t="s">
        <v>150</v>
      </c>
      <c r="B50" s="165">
        <f>-0.017/(B7*B7+B22*B22)*(B21*B22+B6*B7)</f>
        <v>-5.357547004788238E-05</v>
      </c>
      <c r="C50" s="165">
        <f>-0.017/(C7*C7+C22*C22)*(C21*C22+C6*C7)</f>
        <v>3.234506498852804E-05</v>
      </c>
      <c r="D50" s="165">
        <f>-0.017/(D7*D7+D22*D22)*(D21*D22+D6*D7)</f>
        <v>9.483181385626793E-05</v>
      </c>
      <c r="E50" s="165">
        <f>-0.017/(E7*E7+E22*E22)*(E21*E22+E6*E7)</f>
        <v>2.0984658081443842E-05</v>
      </c>
      <c r="F50" s="165">
        <f>-0.017/(F7*F7+F22*F22)*(F21*F22+F6*F7)</f>
        <v>-0.00020716911469719287</v>
      </c>
      <c r="G50" s="165">
        <f>(B50*B$4+C50*C$4+D50*D$4+E50*E$4+F50*F$4)/SUM(B$4:F$4)</f>
        <v>2.53289363275541E-07</v>
      </c>
    </row>
    <row r="51" spans="1:7" ht="12.75">
      <c r="A51" s="165" t="s">
        <v>151</v>
      </c>
      <c r="B51" s="165">
        <f>-0.017/(B7*B7+B22*B22)*(B21*B7-B6*B22)</f>
        <v>0.00023751987347878399</v>
      </c>
      <c r="C51" s="165">
        <f>-0.017/(C7*C7+C22*C22)*(C21*C7-C6*C22)</f>
        <v>-6.0351009929959875E-05</v>
      </c>
      <c r="D51" s="165">
        <f>-0.017/(D7*D7+D22*D22)*(D21*D7-D6*D22)</f>
        <v>-0.00019091991659161154</v>
      </c>
      <c r="E51" s="165">
        <f>-0.017/(E7*E7+E22*E22)*(E21*E7-E6*E22)</f>
        <v>2.049664336444176E-05</v>
      </c>
      <c r="F51" s="165">
        <f>-0.017/(F7*F7+F22*F22)*(F21*F7-F6*F22)</f>
        <v>0.0001573882114012396</v>
      </c>
      <c r="G51" s="165">
        <f>(B51*B$4+C51*C$4+D51*D$4+E51*E$4+F51*F$4)/SUM(B$4:F$4)</f>
        <v>-1.889994521331462E-07</v>
      </c>
    </row>
    <row r="58" ht="12.75">
      <c r="A58" s="165" t="s">
        <v>153</v>
      </c>
    </row>
    <row r="60" spans="2:6" ht="12.75">
      <c r="B60" s="165" t="s">
        <v>85</v>
      </c>
      <c r="C60" s="165" t="s">
        <v>86</v>
      </c>
      <c r="D60" s="165" t="s">
        <v>87</v>
      </c>
      <c r="E60" s="165" t="s">
        <v>88</v>
      </c>
      <c r="F60" s="165" t="s">
        <v>89</v>
      </c>
    </row>
    <row r="61" spans="1:6" ht="12.75">
      <c r="A61" s="165" t="s">
        <v>155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158</v>
      </c>
      <c r="B62" s="165">
        <f>B7+(2/0.017)*(B8*B50-B23*B51)</f>
        <v>9999.943981079954</v>
      </c>
      <c r="C62" s="165">
        <f>C7+(2/0.017)*(C8*C50-C23*C51)</f>
        <v>10000.016455256957</v>
      </c>
      <c r="D62" s="165">
        <f>D7+(2/0.017)*(D8*D50-D23*D51)</f>
        <v>10000.055406569965</v>
      </c>
      <c r="E62" s="165">
        <f>E7+(2/0.017)*(E8*E50-E23*E51)</f>
        <v>10000.00111325834</v>
      </c>
      <c r="F62" s="165">
        <f>F7+(2/0.017)*(F8*F50-F23*F51)</f>
        <v>9999.80720223667</v>
      </c>
    </row>
    <row r="63" spans="1:6" ht="12.75">
      <c r="A63" s="165" t="s">
        <v>159</v>
      </c>
      <c r="B63" s="165">
        <f>B8+(3/0.017)*(B9*B50-B24*B51)</f>
        <v>4.808519893644742</v>
      </c>
      <c r="C63" s="165">
        <f>C8+(3/0.017)*(C9*C50-C24*C51)</f>
        <v>1.0326204327855635</v>
      </c>
      <c r="D63" s="165">
        <f>D8+(3/0.017)*(D9*D50-D24*D51)</f>
        <v>1.3291924731353064</v>
      </c>
      <c r="E63" s="165">
        <f>E8+(3/0.017)*(E9*E50-E24*E51)</f>
        <v>1.919528053763278</v>
      </c>
      <c r="F63" s="165">
        <f>F8+(3/0.017)*(F9*F50-F24*F51)</f>
        <v>1.1195359777891838</v>
      </c>
    </row>
    <row r="64" spans="1:6" ht="12.75">
      <c r="A64" s="165" t="s">
        <v>160</v>
      </c>
      <c r="B64" s="165">
        <f>B9+(4/0.017)*(B10*B50-B25*B51)</f>
        <v>0.43826823049866664</v>
      </c>
      <c r="C64" s="165">
        <f>C9+(4/0.017)*(C10*C50-C25*C51)</f>
        <v>-0.140038870048478</v>
      </c>
      <c r="D64" s="165">
        <f>D9+(4/0.017)*(D10*D50-D25*D51)</f>
        <v>0.3107127269170418</v>
      </c>
      <c r="E64" s="165">
        <f>E9+(4/0.017)*(E10*E50-E25*E51)</f>
        <v>0.21966280912253383</v>
      </c>
      <c r="F64" s="165">
        <f>F9+(4/0.017)*(F10*F50-F25*F51)</f>
        <v>-0.9166776455686172</v>
      </c>
    </row>
    <row r="65" spans="1:6" ht="12.75">
      <c r="A65" s="165" t="s">
        <v>161</v>
      </c>
      <c r="B65" s="165">
        <f>B10+(5/0.017)*(B11*B50-B26*B51)</f>
        <v>-1.0401235282879848</v>
      </c>
      <c r="C65" s="165">
        <f>C10+(5/0.017)*(C11*C50-C26*C51)</f>
        <v>-0.44083517387734567</v>
      </c>
      <c r="D65" s="165">
        <f>D10+(5/0.017)*(D11*D50-D26*D51)</f>
        <v>-0.41552761791828957</v>
      </c>
      <c r="E65" s="165">
        <f>E10+(5/0.017)*(E11*E50-E26*E51)</f>
        <v>-0.6599905095687248</v>
      </c>
      <c r="F65" s="165">
        <f>F10+(5/0.017)*(F11*F50-F26*F51)</f>
        <v>-1.4018862312729379</v>
      </c>
    </row>
    <row r="66" spans="1:6" ht="12.75">
      <c r="A66" s="165" t="s">
        <v>162</v>
      </c>
      <c r="B66" s="165">
        <f>B11+(6/0.017)*(B12*B50-B27*B51)</f>
        <v>3.356374997759009</v>
      </c>
      <c r="C66" s="165">
        <f>C11+(6/0.017)*(C12*C50-C27*C51)</f>
        <v>3.0273348209590916</v>
      </c>
      <c r="D66" s="165">
        <f>D11+(6/0.017)*(D12*D50-D27*D51)</f>
        <v>3.4654312797439735</v>
      </c>
      <c r="E66" s="165">
        <f>E11+(6/0.017)*(E12*E50-E27*E51)</f>
        <v>3.592266664670951</v>
      </c>
      <c r="F66" s="165">
        <f>F11+(6/0.017)*(F12*F50-F27*F51)</f>
        <v>14.400521186699587</v>
      </c>
    </row>
    <row r="67" spans="1:6" ht="12.75">
      <c r="A67" s="165" t="s">
        <v>163</v>
      </c>
      <c r="B67" s="165">
        <f>B12+(7/0.017)*(B13*B50-B28*B51)</f>
        <v>0.20196887177561607</v>
      </c>
      <c r="C67" s="165">
        <f>C12+(7/0.017)*(C13*C50-C28*C51)</f>
        <v>0.1322562737970575</v>
      </c>
      <c r="D67" s="165">
        <f>D12+(7/0.017)*(D13*D50-D28*D51)</f>
        <v>0.049134239716914545</v>
      </c>
      <c r="E67" s="165">
        <f>E12+(7/0.017)*(E13*E50-E28*E51)</f>
        <v>0.275100227025733</v>
      </c>
      <c r="F67" s="165">
        <f>F12+(7/0.017)*(F13*F50-F28*F51)</f>
        <v>0.004432568390102785</v>
      </c>
    </row>
    <row r="68" spans="1:6" ht="12.75">
      <c r="A68" s="165" t="s">
        <v>164</v>
      </c>
      <c r="B68" s="165">
        <f>B13+(8/0.017)*(B14*B50-B29*B51)</f>
        <v>0.063287390369816</v>
      </c>
      <c r="C68" s="165">
        <f>C13+(8/0.017)*(C14*C50-C29*C51)</f>
        <v>0.005938196315092086</v>
      </c>
      <c r="D68" s="165">
        <f>D13+(8/0.017)*(D14*D50-D29*D51)</f>
        <v>0.1312896144329019</v>
      </c>
      <c r="E68" s="165">
        <f>E13+(8/0.017)*(E14*E50-E29*E51)</f>
        <v>-0.007727559110111602</v>
      </c>
      <c r="F68" s="165">
        <f>F13+(8/0.017)*(F14*F50-F29*F51)</f>
        <v>-0.05873009416031437</v>
      </c>
    </row>
    <row r="69" spans="1:6" ht="12.75">
      <c r="A69" s="165" t="s">
        <v>165</v>
      </c>
      <c r="B69" s="165">
        <f>B14+(9/0.017)*(B15*B50-B30*B51)</f>
        <v>-0.013088399822926255</v>
      </c>
      <c r="C69" s="165">
        <f>C14+(9/0.017)*(C15*C50-C30*C51)</f>
        <v>0.01634032218058571</v>
      </c>
      <c r="D69" s="165">
        <f>D14+(9/0.017)*(D15*D50-D30*D51)</f>
        <v>0.07321442273609638</v>
      </c>
      <c r="E69" s="165">
        <f>E14+(9/0.017)*(E15*E50-E30*E51)</f>
        <v>0.018829159802591516</v>
      </c>
      <c r="F69" s="165">
        <f>F14+(9/0.017)*(F15*F50-F30*F51)</f>
        <v>-0.04211320931602157</v>
      </c>
    </row>
    <row r="70" spans="1:6" ht="12.75">
      <c r="A70" s="165" t="s">
        <v>166</v>
      </c>
      <c r="B70" s="165">
        <f>B15+(10/0.017)*(B16*B50-B31*B51)</f>
        <v>-0.2568088094741336</v>
      </c>
      <c r="C70" s="165">
        <f>C15+(10/0.017)*(C16*C50-C31*C51)</f>
        <v>0.013234781890154366</v>
      </c>
      <c r="D70" s="165">
        <f>D15+(10/0.017)*(D16*D50-D31*D51)</f>
        <v>0.06706035286596036</v>
      </c>
      <c r="E70" s="165">
        <f>E15+(10/0.017)*(E16*E50-E31*E51)</f>
        <v>0.007664459746870408</v>
      </c>
      <c r="F70" s="165">
        <f>F15+(10/0.017)*(F16*F50-F31*F51)</f>
        <v>-0.25416631077673824</v>
      </c>
    </row>
    <row r="71" spans="1:6" ht="12.75">
      <c r="A71" s="165" t="s">
        <v>167</v>
      </c>
      <c r="B71" s="165">
        <f>B16+(11/0.017)*(B17*B50-B32*B51)</f>
        <v>-0.015372270614492225</v>
      </c>
      <c r="C71" s="165">
        <f>C16+(11/0.017)*(C17*C50-C32*C51)</f>
        <v>-0.008613617859688324</v>
      </c>
      <c r="D71" s="165">
        <f>D16+(11/0.017)*(D17*D50-D32*D51)</f>
        <v>-0.0393508132009921</v>
      </c>
      <c r="E71" s="165">
        <f>E16+(11/0.017)*(E17*E50-E32*E51)</f>
        <v>-0.00859646575104995</v>
      </c>
      <c r="F71" s="165">
        <f>F16+(11/0.017)*(F17*F50-F32*F51)</f>
        <v>-0.024225550322600514</v>
      </c>
    </row>
    <row r="72" spans="1:6" ht="12.75">
      <c r="A72" s="165" t="s">
        <v>168</v>
      </c>
      <c r="B72" s="165">
        <f>B17+(12/0.017)*(B18*B50-B33*B51)</f>
        <v>-0.013583822797721584</v>
      </c>
      <c r="C72" s="165">
        <f>C17+(12/0.017)*(C18*C50-C33*C51)</f>
        <v>-0.006027147149797469</v>
      </c>
      <c r="D72" s="165">
        <f>D17+(12/0.017)*(D18*D50-D33*D51)</f>
        <v>-0.007349604128284234</v>
      </c>
      <c r="E72" s="165">
        <f>E17+(12/0.017)*(E18*E50-E33*E51)</f>
        <v>-0.007929836512982834</v>
      </c>
      <c r="F72" s="165">
        <f>F17+(12/0.017)*(F18*F50-F33*F51)</f>
        <v>-0.00668004949955923</v>
      </c>
    </row>
    <row r="73" spans="1:6" ht="12.75">
      <c r="A73" s="165" t="s">
        <v>169</v>
      </c>
      <c r="B73" s="165">
        <f>B18+(13/0.017)*(B19*B50-B34*B51)</f>
        <v>0.040666258035251576</v>
      </c>
      <c r="C73" s="165">
        <f>C18+(13/0.017)*(C19*C50-C34*C51)</f>
        <v>0.03172456227586213</v>
      </c>
      <c r="D73" s="165">
        <f>D18+(13/0.017)*(D19*D50-D34*D51)</f>
        <v>0.04466558526219685</v>
      </c>
      <c r="E73" s="165">
        <f>E18+(13/0.017)*(E19*E50-E34*E51)</f>
        <v>0.04312166690342923</v>
      </c>
      <c r="F73" s="165">
        <f>F18+(13/0.017)*(F19*F50-F34*F51)</f>
        <v>0.018918143788000916</v>
      </c>
    </row>
    <row r="74" spans="1:6" ht="12.75">
      <c r="A74" s="165" t="s">
        <v>170</v>
      </c>
      <c r="B74" s="165">
        <f>B19+(14/0.017)*(B20*B50-B35*B51)</f>
        <v>-0.19820652050117293</v>
      </c>
      <c r="C74" s="165">
        <f>C19+(14/0.017)*(C20*C50-C35*C51)</f>
        <v>-0.1804198687499281</v>
      </c>
      <c r="D74" s="165">
        <f>D19+(14/0.017)*(D20*D50-D35*D51)</f>
        <v>-0.18438030281596016</v>
      </c>
      <c r="E74" s="165">
        <f>E19+(14/0.017)*(E20*E50-E35*E51)</f>
        <v>-0.18156514349330619</v>
      </c>
      <c r="F74" s="165">
        <f>F19+(14/0.017)*(F20*F50-F35*F51)</f>
        <v>-0.14006809348383165</v>
      </c>
    </row>
    <row r="75" spans="1:6" ht="12.75">
      <c r="A75" s="165" t="s">
        <v>171</v>
      </c>
      <c r="B75" s="166">
        <f>B20</f>
        <v>-0.003151238</v>
      </c>
      <c r="C75" s="166">
        <f>C20</f>
        <v>0.001150003</v>
      </c>
      <c r="D75" s="166">
        <f>D20</f>
        <v>-0.0002944328</v>
      </c>
      <c r="E75" s="166">
        <f>E20</f>
        <v>0.0002042881</v>
      </c>
      <c r="F75" s="166">
        <f>F20</f>
        <v>-0.0009782958</v>
      </c>
    </row>
    <row r="78" ht="12.75">
      <c r="A78" s="165" t="s">
        <v>153</v>
      </c>
    </row>
    <row r="80" spans="2:6" ht="12.75">
      <c r="B80" s="165" t="s">
        <v>85</v>
      </c>
      <c r="C80" s="165" t="s">
        <v>86</v>
      </c>
      <c r="D80" s="165" t="s">
        <v>87</v>
      </c>
      <c r="E80" s="165" t="s">
        <v>88</v>
      </c>
      <c r="F80" s="165" t="s">
        <v>89</v>
      </c>
    </row>
    <row r="81" spans="1:6" ht="12.75">
      <c r="A81" s="165" t="s">
        <v>172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173</v>
      </c>
      <c r="B82" s="165">
        <f>B22+(2/0.017)*(B8*B51+B23*B50)</f>
        <v>164.70926421562717</v>
      </c>
      <c r="C82" s="165">
        <f>C22+(2/0.017)*(C8*C51+C23*C50)</f>
        <v>65.41535181277318</v>
      </c>
      <c r="D82" s="165">
        <f>D22+(2/0.017)*(D8*D51+D23*D50)</f>
        <v>-17.554879097348884</v>
      </c>
      <c r="E82" s="165">
        <f>E22+(2/0.017)*(E8*E51+E23*E50)</f>
        <v>-75.77719716012759</v>
      </c>
      <c r="F82" s="165">
        <f>F22+(2/0.017)*(F8*F51+F23*F50)</f>
        <v>-126.53845632596821</v>
      </c>
    </row>
    <row r="83" spans="1:6" ht="12.75">
      <c r="A83" s="165" t="s">
        <v>174</v>
      </c>
      <c r="B83" s="165">
        <f>B23+(3/0.017)*(B9*B51+B24*B50)</f>
        <v>0.9230768498529847</v>
      </c>
      <c r="C83" s="165">
        <f>C23+(3/0.017)*(C9*C51+C24*C50)</f>
        <v>1.7461281811165523</v>
      </c>
      <c r="D83" s="165">
        <f>D23+(3/0.017)*(D9*D51+D24*D50)</f>
        <v>1.753537060443888</v>
      </c>
      <c r="E83" s="165">
        <f>E23+(3/0.017)*(E9*E51+E24*E50)</f>
        <v>1.5061321276989923</v>
      </c>
      <c r="F83" s="165">
        <f>F23+(3/0.017)*(F9*F51+F24*F50)</f>
        <v>8.861174487508556</v>
      </c>
    </row>
    <row r="84" spans="1:6" ht="12.75">
      <c r="A84" s="165" t="s">
        <v>175</v>
      </c>
      <c r="B84" s="165">
        <f>B24+(4/0.017)*(B10*B51+B25*B50)</f>
        <v>0.6666970438484598</v>
      </c>
      <c r="C84" s="165">
        <f>C24+(4/0.017)*(C10*C51+C25*C50)</f>
        <v>-1.6644066568444007</v>
      </c>
      <c r="D84" s="165">
        <f>D24+(4/0.017)*(D10*D51+D25*D50)</f>
        <v>-1.3201536198393284</v>
      </c>
      <c r="E84" s="165">
        <f>E24+(4/0.017)*(E10*E51+E25*E50)</f>
        <v>0.3512175677793116</v>
      </c>
      <c r="F84" s="165">
        <f>F24+(4/0.017)*(F10*F51+F25*F50)</f>
        <v>1.3491202018973316</v>
      </c>
    </row>
    <row r="85" spans="1:6" ht="12.75">
      <c r="A85" s="165" t="s">
        <v>176</v>
      </c>
      <c r="B85" s="165">
        <f>B25+(5/0.017)*(B11*B51+B26*B50)</f>
        <v>0.01927860070131937</v>
      </c>
      <c r="C85" s="165">
        <f>C25+(5/0.017)*(C11*C51+C26*C50)</f>
        <v>-0.13169910008597793</v>
      </c>
      <c r="D85" s="165">
        <f>D25+(5/0.017)*(D11*D51+D26*D50)</f>
        <v>0.10740889705077467</v>
      </c>
      <c r="E85" s="165">
        <f>E25+(5/0.017)*(E11*E51+E26*E50)</f>
        <v>0.4264187012382501</v>
      </c>
      <c r="F85" s="165">
        <f>F25+(5/0.017)*(F11*F51+F26*F50)</f>
        <v>-0.12598468203915458</v>
      </c>
    </row>
    <row r="86" spans="1:6" ht="12.75">
      <c r="A86" s="165" t="s">
        <v>177</v>
      </c>
      <c r="B86" s="165">
        <f>B26+(6/0.017)*(B12*B51+B27*B50)</f>
        <v>0.8352918057221301</v>
      </c>
      <c r="C86" s="165">
        <f>C26+(6/0.017)*(C12*C51+C27*C50)</f>
        <v>0.09222823686976851</v>
      </c>
      <c r="D86" s="165">
        <f>D26+(6/0.017)*(D12*D51+D27*D50)</f>
        <v>-0.015070138780621696</v>
      </c>
      <c r="E86" s="165">
        <f>E26+(6/0.017)*(E12*E51+E27*E50)</f>
        <v>0.2433693810508375</v>
      </c>
      <c r="F86" s="165">
        <f>F26+(6/0.017)*(F12*F51+F27*F50)</f>
        <v>0.3752166058883767</v>
      </c>
    </row>
    <row r="87" spans="1:6" ht="12.75">
      <c r="A87" s="165" t="s">
        <v>178</v>
      </c>
      <c r="B87" s="165">
        <f>B27+(7/0.017)*(B13*B51+B28*B50)</f>
        <v>0.17001370223327167</v>
      </c>
      <c r="C87" s="165">
        <f>C27+(7/0.017)*(C13*C51+C28*C50)</f>
        <v>0.11404324673053094</v>
      </c>
      <c r="D87" s="165">
        <f>D27+(7/0.017)*(D13*D51+D28*D50)</f>
        <v>-0.0745535568158124</v>
      </c>
      <c r="E87" s="165">
        <f>E27+(7/0.017)*(E13*E51+E28*E50)</f>
        <v>0.17164592907341766</v>
      </c>
      <c r="F87" s="165">
        <f>F27+(7/0.017)*(F13*F51+F28*F50)</f>
        <v>0.6314666410199838</v>
      </c>
    </row>
    <row r="88" spans="1:6" ht="12.75">
      <c r="A88" s="165" t="s">
        <v>179</v>
      </c>
      <c r="B88" s="165">
        <f>B28+(8/0.017)*(B14*B51+B29*B50)</f>
        <v>-0.04137333435636878</v>
      </c>
      <c r="C88" s="165">
        <f>C28+(8/0.017)*(C14*C51+C29*C50)</f>
        <v>-0.1810825086472289</v>
      </c>
      <c r="D88" s="165">
        <f>D28+(8/0.017)*(D14*D51+D29*D50)</f>
        <v>-0.20528046947907272</v>
      </c>
      <c r="E88" s="165">
        <f>E28+(8/0.017)*(E14*E51+E29*E50)</f>
        <v>0.1911986079072027</v>
      </c>
      <c r="F88" s="165">
        <f>F28+(8/0.017)*(F14*F51+F29*F50)</f>
        <v>0.3411769693781748</v>
      </c>
    </row>
    <row r="89" spans="1:6" ht="12.75">
      <c r="A89" s="165" t="s">
        <v>180</v>
      </c>
      <c r="B89" s="165">
        <f>B29+(9/0.017)*(B15*B51+B30*B50)</f>
        <v>-0.02693011447560094</v>
      </c>
      <c r="C89" s="165">
        <f>C29+(9/0.017)*(C15*C51+C30*C50)</f>
        <v>-0.09416469910902395</v>
      </c>
      <c r="D89" s="165">
        <f>D29+(9/0.017)*(D15*D51+D30*D50)</f>
        <v>-0.02985770949364673</v>
      </c>
      <c r="E89" s="165">
        <f>E29+(9/0.017)*(E15*E51+E30*E50)</f>
        <v>0.01750411350482849</v>
      </c>
      <c r="F89" s="165">
        <f>F29+(9/0.017)*(F15*F51+F30*F50)</f>
        <v>-0.08276746386831513</v>
      </c>
    </row>
    <row r="90" spans="1:6" ht="12.75">
      <c r="A90" s="165" t="s">
        <v>181</v>
      </c>
      <c r="B90" s="165">
        <f>B30+(10/0.017)*(B16*B51+B31*B50)</f>
        <v>0.09085223122444851</v>
      </c>
      <c r="C90" s="165">
        <f>C30+(10/0.017)*(C16*C51+C31*C50)</f>
        <v>0.011100194736920501</v>
      </c>
      <c r="D90" s="165">
        <f>D30+(10/0.017)*(D16*D51+D31*D50)</f>
        <v>-0.027432127928219592</v>
      </c>
      <c r="E90" s="165">
        <f>E30+(10/0.017)*(E16*E51+E31*E50)</f>
        <v>-0.02417557298230618</v>
      </c>
      <c r="F90" s="165">
        <f>F30+(10/0.017)*(F16*F51+F31*F50)</f>
        <v>0.1913977437451817</v>
      </c>
    </row>
    <row r="91" spans="1:6" ht="12.75">
      <c r="A91" s="165" t="s">
        <v>182</v>
      </c>
      <c r="B91" s="165">
        <f>B31+(11/0.017)*(B17*B51+B32*B50)</f>
        <v>0.0157197667342701</v>
      </c>
      <c r="C91" s="165">
        <f>C31+(11/0.017)*(C17*C51+C32*C50)</f>
        <v>-0.01800042536800812</v>
      </c>
      <c r="D91" s="165">
        <f>D31+(11/0.017)*(D17*D51+D32*D50)</f>
        <v>-0.016523319801384016</v>
      </c>
      <c r="E91" s="165">
        <f>E31+(11/0.017)*(E17*E51+E32*E50)</f>
        <v>0.008651853626098095</v>
      </c>
      <c r="F91" s="165">
        <f>F31+(11/0.017)*(F17*F51+F32*F50)</f>
        <v>0.025236137081737733</v>
      </c>
    </row>
    <row r="92" spans="1:6" ht="12.75">
      <c r="A92" s="165" t="s">
        <v>183</v>
      </c>
      <c r="B92" s="165">
        <f>B32+(12/0.017)*(B18*B51+B33*B50)</f>
        <v>-0.0056231018013554014</v>
      </c>
      <c r="C92" s="165">
        <f>C32+(12/0.017)*(C18*C51+C33*C50)</f>
        <v>-0.010642379982411911</v>
      </c>
      <c r="D92" s="165">
        <f>D32+(12/0.017)*(D18*D51+D33*D50)</f>
        <v>-0.02298787023982211</v>
      </c>
      <c r="E92" s="165">
        <f>E32+(12/0.017)*(E18*E51+E33*E50)</f>
        <v>0.028588619763748352</v>
      </c>
      <c r="F92" s="165">
        <f>F32+(12/0.017)*(F18*F51+F33*F50)</f>
        <v>0.03882440958957482</v>
      </c>
    </row>
    <row r="93" spans="1:6" ht="12.75">
      <c r="A93" s="165" t="s">
        <v>184</v>
      </c>
      <c r="B93" s="165">
        <f>B33+(13/0.017)*(B19*B51+B34*B50)</f>
        <v>0.047715481031980006</v>
      </c>
      <c r="C93" s="165">
        <f>C33+(13/0.017)*(C19*C51+C34*C50)</f>
        <v>0.04212809568629825</v>
      </c>
      <c r="D93" s="165">
        <f>D33+(13/0.017)*(D19*D51+D34*D50)</f>
        <v>0.03350268155036548</v>
      </c>
      <c r="E93" s="165">
        <f>E33+(13/0.017)*(E19*E51+E34*E50)</f>
        <v>0.04334350638336431</v>
      </c>
      <c r="F93" s="165">
        <f>F33+(13/0.017)*(F19*F51+F34*F50)</f>
        <v>0.030265947540686188</v>
      </c>
    </row>
    <row r="94" spans="1:6" ht="12.75">
      <c r="A94" s="165" t="s">
        <v>185</v>
      </c>
      <c r="B94" s="165">
        <f>B34+(14/0.017)*(B20*B51+B35*B50)</f>
        <v>0.0009914802239922992</v>
      </c>
      <c r="C94" s="165">
        <f>C34+(14/0.017)*(C20*C51+C35*C50)</f>
        <v>0.011671517404987057</v>
      </c>
      <c r="D94" s="165">
        <f>D34+(14/0.017)*(D20*D51+D35*D50)</f>
        <v>0.02058200528440604</v>
      </c>
      <c r="E94" s="165">
        <f>E34+(14/0.017)*(E20*E51+E35*E50)</f>
        <v>0.029920582525096096</v>
      </c>
      <c r="F94" s="165">
        <f>F34+(14/0.017)*(F20*F51+F35*F50)</f>
        <v>-0.00795139703061873</v>
      </c>
    </row>
    <row r="95" spans="1:6" ht="12.75">
      <c r="A95" s="165" t="s">
        <v>186</v>
      </c>
      <c r="B95" s="166">
        <f>B35</f>
        <v>-0.003670383</v>
      </c>
      <c r="C95" s="166">
        <f>C35</f>
        <v>-0.000915508</v>
      </c>
      <c r="D95" s="166">
        <f>D35</f>
        <v>0.001089445</v>
      </c>
      <c r="E95" s="166">
        <f>E35</f>
        <v>-0.001044226</v>
      </c>
      <c r="F95" s="166">
        <f>F35</f>
        <v>0.001871717</v>
      </c>
    </row>
    <row r="98" ht="12.75">
      <c r="A98" s="165" t="s">
        <v>154</v>
      </c>
    </row>
    <row r="100" spans="2:11" ht="12.75">
      <c r="B100" s="165" t="s">
        <v>85</v>
      </c>
      <c r="C100" s="165" t="s">
        <v>86</v>
      </c>
      <c r="D100" s="165" t="s">
        <v>87</v>
      </c>
      <c r="E100" s="165" t="s">
        <v>88</v>
      </c>
      <c r="F100" s="165" t="s">
        <v>89</v>
      </c>
      <c r="G100" s="165" t="s">
        <v>156</v>
      </c>
      <c r="H100" s="165" t="s">
        <v>157</v>
      </c>
      <c r="I100" s="165" t="s">
        <v>152</v>
      </c>
      <c r="K100" s="165" t="s">
        <v>187</v>
      </c>
    </row>
    <row r="101" spans="1:9" ht="12.75">
      <c r="A101" s="165" t="s">
        <v>155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158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159</v>
      </c>
      <c r="B103" s="165">
        <f>B63*10000/B62</f>
        <v>4.808546830604786</v>
      </c>
      <c r="C103" s="165">
        <f>C63*10000/C62</f>
        <v>1.0326187335849035</v>
      </c>
      <c r="D103" s="165">
        <f>D63*10000/D62</f>
        <v>1.329185108576535</v>
      </c>
      <c r="E103" s="165">
        <f>E63*10000/E62</f>
        <v>1.91952784007024</v>
      </c>
      <c r="F103" s="165">
        <f>F63*10000/F62</f>
        <v>1.1195575626085827</v>
      </c>
      <c r="G103" s="165">
        <f>AVERAGE(C103:E103)</f>
        <v>1.427110560743893</v>
      </c>
      <c r="H103" s="165">
        <f>STDEV(C103:E103)</f>
        <v>0.4514908486650539</v>
      </c>
      <c r="I103" s="165">
        <f>(B103*B4+C103*C4+D103*D4+E103*E4+F103*F4)/SUM(B4:F4)</f>
        <v>1.874943231645407</v>
      </c>
      <c r="K103" s="165">
        <f>(LN(H103)+LN(H123))/2-LN(K114*K115^3)</f>
        <v>-5.25655100709746</v>
      </c>
    </row>
    <row r="104" spans="1:11" ht="12.75">
      <c r="A104" s="165" t="s">
        <v>160</v>
      </c>
      <c r="B104" s="165">
        <f>B64*10000/B62</f>
        <v>0.43827068564371635</v>
      </c>
      <c r="C104" s="165">
        <f>C64*10000/C62</f>
        <v>-0.14003863961129814</v>
      </c>
      <c r="D104" s="165">
        <f>D64*10000/D62</f>
        <v>0.31071100537393603</v>
      </c>
      <c r="E104" s="165">
        <f>E64*10000/E62</f>
        <v>0.21966278466839112</v>
      </c>
      <c r="F104" s="165">
        <f>F64*10000/F62</f>
        <v>-0.9166953192493377</v>
      </c>
      <c r="G104" s="165">
        <f>AVERAGE(C104:E104)</f>
        <v>0.130111716810343</v>
      </c>
      <c r="H104" s="165">
        <f>STDEV(C104:E104)</f>
        <v>0.23834503546217659</v>
      </c>
      <c r="I104" s="165">
        <f>(B104*B4+C104*C4+D104*D4+E104*E4+F104*F4)/SUM(B4:F4)</f>
        <v>0.034915286519715864</v>
      </c>
      <c r="K104" s="165">
        <f>(LN(H104)+LN(H124))/2-LN(K114*K115^4)</f>
        <v>-3.9666231763455055</v>
      </c>
    </row>
    <row r="105" spans="1:11" ht="12.75">
      <c r="A105" s="165" t="s">
        <v>161</v>
      </c>
      <c r="B105" s="165">
        <f>B65*10000/B62</f>
        <v>-1.0401293549803023</v>
      </c>
      <c r="C105" s="165">
        <f>C65*10000/C62</f>
        <v>-0.4408344484729331</v>
      </c>
      <c r="D105" s="165">
        <f>D65*10000/D62</f>
        <v>-0.4155253156350423</v>
      </c>
      <c r="E105" s="165">
        <f>E65*10000/E62</f>
        <v>-0.6599904360947392</v>
      </c>
      <c r="F105" s="165">
        <f>F65*10000/F62</f>
        <v>-1.401913259847026</v>
      </c>
      <c r="G105" s="165">
        <f>AVERAGE(C105:E105)</f>
        <v>-0.5054500667342382</v>
      </c>
      <c r="H105" s="165">
        <f>STDEV(C105:E105)</f>
        <v>0.13443281732081475</v>
      </c>
      <c r="I105" s="165">
        <f>(B105*B4+C105*C4+D105*D4+E105*E4+F105*F4)/SUM(B4:F4)</f>
        <v>-0.7024186051691436</v>
      </c>
      <c r="K105" s="165">
        <f>(LN(H105)+LN(H125))/2-LN(K114*K115^5)</f>
        <v>-4.335734377306186</v>
      </c>
    </row>
    <row r="106" spans="1:11" ht="12.75">
      <c r="A106" s="165" t="s">
        <v>162</v>
      </c>
      <c r="B106" s="165">
        <f>B66*10000/B62</f>
        <v>3.3563937999146005</v>
      </c>
      <c r="C106" s="165">
        <f>C66*10000/C62</f>
        <v>3.0273298394100516</v>
      </c>
      <c r="D106" s="165">
        <f>D66*10000/D62</f>
        <v>3.4654120790842917</v>
      </c>
      <c r="E106" s="165">
        <f>E66*10000/E62</f>
        <v>3.5922662647589134</v>
      </c>
      <c r="F106" s="165">
        <f>F66*10000/F62</f>
        <v>14.400798830880062</v>
      </c>
      <c r="G106" s="165">
        <f>AVERAGE(C106:E106)</f>
        <v>3.3616693944177523</v>
      </c>
      <c r="H106" s="165">
        <f>STDEV(C106:E106)</f>
        <v>0.29641221236287757</v>
      </c>
      <c r="I106" s="165">
        <f>(B106*B4+C106*C4+D106*D4+E106*E4+F106*F4)/SUM(B4:F4)</f>
        <v>4.8345557380212</v>
      </c>
      <c r="K106" s="165">
        <f>(LN(H106)+LN(H126))/2-LN(K114*K115^6)</f>
        <v>-3.7333477436595754</v>
      </c>
    </row>
    <row r="107" spans="1:11" ht="12.75">
      <c r="A107" s="165" t="s">
        <v>163</v>
      </c>
      <c r="B107" s="165">
        <f>B67*10000/B62</f>
        <v>0.2019700031897621</v>
      </c>
      <c r="C107" s="165">
        <f>C67*10000/C62</f>
        <v>0.1322560561663187</v>
      </c>
      <c r="D107" s="165">
        <f>D67*10000/D62</f>
        <v>0.04913396748245385</v>
      </c>
      <c r="E107" s="165">
        <f>E67*10000/E62</f>
        <v>0.2751001963999742</v>
      </c>
      <c r="F107" s="165">
        <f>F67*10000/F62</f>
        <v>0.0044326538506775865</v>
      </c>
      <c r="G107" s="165">
        <f>AVERAGE(C107:E107)</f>
        <v>0.1521634066829156</v>
      </c>
      <c r="H107" s="165">
        <f>STDEV(C107:E107)</f>
        <v>0.11429090561477007</v>
      </c>
      <c r="I107" s="165">
        <f>(B107*B4+C107*C4+D107*D4+E107*E4+F107*F4)/SUM(B4:F4)</f>
        <v>0.1396281664839191</v>
      </c>
      <c r="K107" s="165">
        <f>(LN(H107)+LN(H127))/2-LN(K114*K115^7)</f>
        <v>-3.622640989273382</v>
      </c>
    </row>
    <row r="108" spans="1:9" ht="12.75">
      <c r="A108" s="165" t="s">
        <v>164</v>
      </c>
      <c r="B108" s="165">
        <f>B68*10000/B62</f>
        <v>0.06328774490092814</v>
      </c>
      <c r="C108" s="165">
        <f>C68*10000/C62</f>
        <v>0.005938186543653543</v>
      </c>
      <c r="D108" s="165">
        <f>D68*10000/D62</f>
        <v>0.13128888700621155</v>
      </c>
      <c r="E108" s="165">
        <f>E68*10000/E62</f>
        <v>-0.007727558249834735</v>
      </c>
      <c r="F108" s="165">
        <f>F68*10000/F62</f>
        <v>-0.05873122648522476</v>
      </c>
      <c r="G108" s="165">
        <f>AVERAGE(C108:E108)</f>
        <v>0.043166505100010126</v>
      </c>
      <c r="H108" s="165">
        <f>STDEV(C108:E108)</f>
        <v>0.07662149691703368</v>
      </c>
      <c r="I108" s="165">
        <f>(B108*B4+C108*C4+D108*D4+E108*E4+F108*F4)/SUM(B4:F4)</f>
        <v>0.032479621055396764</v>
      </c>
    </row>
    <row r="109" spans="1:9" ht="12.75">
      <c r="A109" s="165" t="s">
        <v>165</v>
      </c>
      <c r="B109" s="165">
        <f>B69*10000/B62</f>
        <v>-0.013088473143139307</v>
      </c>
      <c r="C109" s="165">
        <f>C69*10000/C62</f>
        <v>0.01634029529220993</v>
      </c>
      <c r="D109" s="165">
        <f>D69*10000/D62</f>
        <v>0.07321401708234039</v>
      </c>
      <c r="E109" s="165">
        <f>E69*10000/E62</f>
        <v>0.01882915770641983</v>
      </c>
      <c r="F109" s="165">
        <f>F69*10000/F62</f>
        <v>-0.042114021264932036</v>
      </c>
      <c r="G109" s="165">
        <f>AVERAGE(C109:E109)</f>
        <v>0.036127823360323386</v>
      </c>
      <c r="H109" s="165">
        <f>STDEV(C109:E109)</f>
        <v>0.032141685279702535</v>
      </c>
      <c r="I109" s="165">
        <f>(B109*B4+C109*C4+D109*D4+E109*E4+F109*F4)/SUM(B4:F4)</f>
        <v>0.01856843978343327</v>
      </c>
    </row>
    <row r="110" spans="1:11" ht="12.75">
      <c r="A110" s="165" t="s">
        <v>166</v>
      </c>
      <c r="B110" s="165">
        <f>B70*10000/B62</f>
        <v>-0.25681024809740916</v>
      </c>
      <c r="C110" s="165">
        <f>C70*10000/C62</f>
        <v>0.013234760112016526</v>
      </c>
      <c r="D110" s="165">
        <f>D70*10000/D62</f>
        <v>0.06705998130960573</v>
      </c>
      <c r="E110" s="165">
        <f>E70*10000/E62</f>
        <v>0.007664458893618129</v>
      </c>
      <c r="F110" s="165">
        <f>F70*10000/F62</f>
        <v>-0.2541712111408393</v>
      </c>
      <c r="G110" s="165">
        <f>AVERAGE(C110:E110)</f>
        <v>0.029319733438413462</v>
      </c>
      <c r="H110" s="165">
        <f>STDEV(C110:E110)</f>
        <v>0.03280246630895605</v>
      </c>
      <c r="I110" s="165">
        <f>(B110*B4+C110*C4+D110*D4+E110*E4+F110*F4)/SUM(B4:F4)</f>
        <v>-0.049896536542715114</v>
      </c>
      <c r="K110" s="165">
        <f>EXP(AVERAGE(K103:K107))</f>
        <v>0.01525299413107258</v>
      </c>
    </row>
    <row r="111" spans="1:9" ht="12.75">
      <c r="A111" s="165" t="s">
        <v>167</v>
      </c>
      <c r="B111" s="165">
        <f>B71*10000/B62</f>
        <v>-0.015372356728774477</v>
      </c>
      <c r="C111" s="165">
        <f>C71*10000/C62</f>
        <v>-0.008613603685782126</v>
      </c>
      <c r="D111" s="165">
        <f>D71*10000/D62</f>
        <v>-0.03935059517284164</v>
      </c>
      <c r="E111" s="165">
        <f>E71*10000/E62</f>
        <v>-0.008596464794041338</v>
      </c>
      <c r="F111" s="165">
        <f>F71*10000/F62</f>
        <v>-0.024226017394797326</v>
      </c>
      <c r="G111" s="165">
        <f>AVERAGE(C111:E111)</f>
        <v>-0.018853554550888368</v>
      </c>
      <c r="H111" s="165">
        <f>STDEV(C111:E111)</f>
        <v>0.017750959949504267</v>
      </c>
      <c r="I111" s="165">
        <f>(B111*B4+C111*C4+D111*D4+E111*E4+F111*F4)/SUM(B4:F4)</f>
        <v>-0.019068694670368615</v>
      </c>
    </row>
    <row r="112" spans="1:9" ht="12.75">
      <c r="A112" s="165" t="s">
        <v>168</v>
      </c>
      <c r="B112" s="165">
        <f>B72*10000/B62</f>
        <v>-0.013583898893256185</v>
      </c>
      <c r="C112" s="165">
        <f>C72*10000/C62</f>
        <v>-0.006027137231988282</v>
      </c>
      <c r="D112" s="165">
        <f>D72*10000/D62</f>
        <v>-0.007349563406874322</v>
      </c>
      <c r="E112" s="165">
        <f>E72*10000/E62</f>
        <v>-0.007929835630187268</v>
      </c>
      <c r="F112" s="165">
        <f>F72*10000/F62</f>
        <v>-0.006680178291902562</v>
      </c>
      <c r="G112" s="165">
        <f>AVERAGE(C112:E112)</f>
        <v>-0.007102178756349958</v>
      </c>
      <c r="H112" s="165">
        <f>STDEV(C112:E112)</f>
        <v>0.0009751741755263664</v>
      </c>
      <c r="I112" s="165">
        <f>(B112*B4+C112*C4+D112*D4+E112*E4+F112*F4)/SUM(B4:F4)</f>
        <v>-0.007982988665126768</v>
      </c>
    </row>
    <row r="113" spans="1:9" ht="12.75">
      <c r="A113" s="165" t="s">
        <v>169</v>
      </c>
      <c r="B113" s="165">
        <f>B73*10000/B62</f>
        <v>0.04066648584451348</v>
      </c>
      <c r="C113" s="165">
        <f>C73*10000/C62</f>
        <v>0.031724510072365625</v>
      </c>
      <c r="D113" s="165">
        <f>D73*10000/D62</f>
        <v>0.04466533778688054</v>
      </c>
      <c r="E113" s="165">
        <f>E73*10000/E62</f>
        <v>0.04312166210287423</v>
      </c>
      <c r="F113" s="165">
        <f>F73*10000/F62</f>
        <v>0.018918508532613978</v>
      </c>
      <c r="G113" s="165">
        <f>AVERAGE(C113:E113)</f>
        <v>0.03983716998737346</v>
      </c>
      <c r="H113" s="165">
        <f>STDEV(C113:E113)</f>
        <v>0.0070680387539104215</v>
      </c>
      <c r="I113" s="165">
        <f>(B113*B4+C113*C4+D113*D4+E113*E4+F113*F4)/SUM(B4:F4)</f>
        <v>0.03716411073674808</v>
      </c>
    </row>
    <row r="114" spans="1:11" ht="12.75">
      <c r="A114" s="165" t="s">
        <v>170</v>
      </c>
      <c r="B114" s="165">
        <f>B74*10000/B62</f>
        <v>-0.19820763083891538</v>
      </c>
      <c r="C114" s="165">
        <f>C74*10000/C62</f>
        <v>-0.1804195718648866</v>
      </c>
      <c r="D114" s="165">
        <f>D74*10000/D62</f>
        <v>-0.18437928123360559</v>
      </c>
      <c r="E114" s="165">
        <f>E74*10000/E62</f>
        <v>-0.1815651232804174</v>
      </c>
      <c r="F114" s="165">
        <f>F74*10000/F62</f>
        <v>-0.14007079401741107</v>
      </c>
      <c r="G114" s="165">
        <f>AVERAGE(C114:E114)</f>
        <v>-0.18212132545963655</v>
      </c>
      <c r="H114" s="165">
        <f>STDEV(C114:E114)</f>
        <v>0.0020376077196796686</v>
      </c>
      <c r="I114" s="165">
        <f>(B114*B4+C114*C4+D114*D4+E114*E4+F114*F4)/SUM(B4:F4)</f>
        <v>-0.17883388903219571</v>
      </c>
      <c r="J114" s="165" t="s">
        <v>188</v>
      </c>
      <c r="K114" s="165">
        <v>285</v>
      </c>
    </row>
    <row r="115" spans="1:11" ht="12.75">
      <c r="A115" s="165" t="s">
        <v>171</v>
      </c>
      <c r="B115" s="165">
        <f>B75*10000/B62</f>
        <v>-0.0031512556529938473</v>
      </c>
      <c r="C115" s="165">
        <f>C75*10000/C62</f>
        <v>0.0011500011076436272</v>
      </c>
      <c r="D115" s="165">
        <f>D75*10000/D62</f>
        <v>-0.0002944311686578854</v>
      </c>
      <c r="E115" s="165">
        <f>E75*10000/E62</f>
        <v>0.00020428807725745942</v>
      </c>
      <c r="F115" s="165">
        <f>F75*10000/F62</f>
        <v>-0.0009783146616878604</v>
      </c>
      <c r="G115" s="165">
        <f>AVERAGE(C115:E115)</f>
        <v>0.00035328600541440045</v>
      </c>
      <c r="H115" s="165">
        <f>STDEV(C115:E115)</f>
        <v>0.0007336528042280545</v>
      </c>
      <c r="I115" s="165">
        <f>(B115*B4+C115*C4+D115*D4+E115*E4+F115*F4)/SUM(B4:F4)</f>
        <v>-0.00033121202090677094</v>
      </c>
      <c r="J115" s="165" t="s">
        <v>189</v>
      </c>
      <c r="K115" s="165">
        <v>0.5536</v>
      </c>
    </row>
    <row r="118" ht="12.75">
      <c r="A118" s="165" t="s">
        <v>154</v>
      </c>
    </row>
    <row r="120" spans="2:9" ht="12.75">
      <c r="B120" s="165" t="s">
        <v>85</v>
      </c>
      <c r="C120" s="165" t="s">
        <v>86</v>
      </c>
      <c r="D120" s="165" t="s">
        <v>87</v>
      </c>
      <c r="E120" s="165" t="s">
        <v>88</v>
      </c>
      <c r="F120" s="165" t="s">
        <v>89</v>
      </c>
      <c r="G120" s="165" t="s">
        <v>156</v>
      </c>
      <c r="H120" s="165" t="s">
        <v>157</v>
      </c>
      <c r="I120" s="165" t="s">
        <v>152</v>
      </c>
    </row>
    <row r="121" spans="1:9" ht="12.75">
      <c r="A121" s="165" t="s">
        <v>172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173</v>
      </c>
      <c r="B122" s="165">
        <f>B82*10000/B62</f>
        <v>164.71018690430625</v>
      </c>
      <c r="C122" s="165">
        <f>C82*10000/C62</f>
        <v>65.41524417030801</v>
      </c>
      <c r="D122" s="165">
        <f>D82*10000/D62</f>
        <v>-17.554781832324103</v>
      </c>
      <c r="E122" s="165">
        <f>E82*10000/E62</f>
        <v>-75.77718872416885</v>
      </c>
      <c r="F122" s="165">
        <f>F82*10000/F62</f>
        <v>-126.54089600614019</v>
      </c>
      <c r="G122" s="165">
        <f>AVERAGE(C122:E122)</f>
        <v>-9.305575462061647</v>
      </c>
      <c r="H122" s="165">
        <f>STDEV(C122:E122)</f>
        <v>70.95676733737045</v>
      </c>
      <c r="I122" s="165">
        <f>(B122*B4+C122*C4+D122*D4+E122*E4+F122*F4)/SUM(B4:F4)</f>
        <v>0.2150579444121136</v>
      </c>
    </row>
    <row r="123" spans="1:9" ht="12.75">
      <c r="A123" s="165" t="s">
        <v>174</v>
      </c>
      <c r="B123" s="165">
        <f>B83*10000/B62</f>
        <v>0.923082020858777</v>
      </c>
      <c r="C123" s="165">
        <f>C83*10000/C62</f>
        <v>1.7461253078224903</v>
      </c>
      <c r="D123" s="165">
        <f>D83*10000/D62</f>
        <v>1.753527344750337</v>
      </c>
      <c r="E123" s="165">
        <f>E83*10000/E62</f>
        <v>1.5061319600275958</v>
      </c>
      <c r="F123" s="165">
        <f>F83*10000/F62</f>
        <v>8.861345332264571</v>
      </c>
      <c r="G123" s="165">
        <f>AVERAGE(C123:E123)</f>
        <v>1.6685948708668077</v>
      </c>
      <c r="H123" s="165">
        <f>STDEV(C123:E123)</f>
        <v>0.14074567697244833</v>
      </c>
      <c r="I123" s="165">
        <f>(B123*B4+C123*C4+D123*D4+E123*E4+F123*F4)/SUM(B4:F4)</f>
        <v>2.5210180423231283</v>
      </c>
    </row>
    <row r="124" spans="1:9" ht="12.75">
      <c r="A124" s="165" t="s">
        <v>175</v>
      </c>
      <c r="B124" s="165">
        <f>B84*10000/B62</f>
        <v>0.6667007786342211</v>
      </c>
      <c r="C124" s="165">
        <f>C84*10000/C62</f>
        <v>-1.6644039180249854</v>
      </c>
      <c r="D124" s="165">
        <f>D84*10000/D62</f>
        <v>-1.3201463053614653</v>
      </c>
      <c r="E124" s="165">
        <f>E84*10000/E62</f>
        <v>0.35121752867972733</v>
      </c>
      <c r="F124" s="165">
        <f>F84*10000/F62</f>
        <v>1.3491462131345613</v>
      </c>
      <c r="G124" s="165">
        <f>AVERAGE(C124:E124)</f>
        <v>-0.8777775649022411</v>
      </c>
      <c r="H124" s="165">
        <f>STDEV(C124:E124)</f>
        <v>1.0781697598270923</v>
      </c>
      <c r="I124" s="165">
        <f>(B124*B4+C124*C4+D124*D4+E124*E4+F124*F4)/SUM(B4:F4)</f>
        <v>-0.3573197524308316</v>
      </c>
    </row>
    <row r="125" spans="1:9" ht="12.75">
      <c r="A125" s="165" t="s">
        <v>176</v>
      </c>
      <c r="B125" s="165">
        <f>B85*10000/B62</f>
        <v>0.019278708698563487</v>
      </c>
      <c r="C125" s="165">
        <f>C85*10000/C62</f>
        <v>-0.13169888337208127</v>
      </c>
      <c r="D125" s="165">
        <f>D85*10000/D62</f>
        <v>0.10740830193821505</v>
      </c>
      <c r="E125" s="165">
        <f>E85*10000/E62</f>
        <v>0.4264186537668378</v>
      </c>
      <c r="F125" s="165">
        <f>F85*10000/F62</f>
        <v>-0.1259871110424763</v>
      </c>
      <c r="G125" s="165">
        <f>AVERAGE(C125:E125)</f>
        <v>0.13404269077765718</v>
      </c>
      <c r="H125" s="165">
        <f>STDEV(C125:E125)</f>
        <v>0.2800104271578848</v>
      </c>
      <c r="I125" s="165">
        <f>(B125*B4+C125*C4+D125*D4+E125*E4+F125*F4)/SUM(B4:F4)</f>
        <v>0.08269746317120998</v>
      </c>
    </row>
    <row r="126" spans="1:9" ht="12.75">
      <c r="A126" s="165" t="s">
        <v>177</v>
      </c>
      <c r="B126" s="165">
        <f>B86*10000/B62</f>
        <v>0.8352964849628307</v>
      </c>
      <c r="C126" s="165">
        <f>C86*10000/C62</f>
        <v>0.0922280851060846</v>
      </c>
      <c r="D126" s="165">
        <f>D86*10000/D62</f>
        <v>-0.015070055282614457</v>
      </c>
      <c r="E126" s="165">
        <f>E86*10000/E62</f>
        <v>0.2433693539575412</v>
      </c>
      <c r="F126" s="165">
        <f>F86*10000/F62</f>
        <v>0.37522384012008897</v>
      </c>
      <c r="G126" s="165">
        <f>AVERAGE(C126:E126)</f>
        <v>0.1068424612603371</v>
      </c>
      <c r="H126" s="165">
        <f>STDEV(C126:E126)</f>
        <v>0.1298380416321952</v>
      </c>
      <c r="I126" s="165">
        <f>(B126*B4+C126*C4+D126*D4+E126*E4+F126*F4)/SUM(B4:F4)</f>
        <v>0.2479866195072152</v>
      </c>
    </row>
    <row r="127" spans="1:9" ht="12.75">
      <c r="A127" s="165" t="s">
        <v>178</v>
      </c>
      <c r="B127" s="165">
        <f>B87*10000/B62</f>
        <v>0.17001465463700616</v>
      </c>
      <c r="C127" s="165">
        <f>C87*10000/C62</f>
        <v>0.11404305906974684</v>
      </c>
      <c r="D127" s="165">
        <f>D87*10000/D62</f>
        <v>-0.07455314374241491</v>
      </c>
      <c r="E127" s="165">
        <f>E87*10000/E62</f>
        <v>0.1716459099647936</v>
      </c>
      <c r="F127" s="165">
        <f>F87*10000/F62</f>
        <v>0.6314788157903113</v>
      </c>
      <c r="G127" s="165">
        <f>AVERAGE(C127:E127)</f>
        <v>0.0703786084307085</v>
      </c>
      <c r="H127" s="165">
        <f>STDEV(C127:E127)</f>
        <v>0.1287766737370864</v>
      </c>
      <c r="I127" s="165">
        <f>(B127*B4+C127*C4+D127*D4+E127*E4+F127*F4)/SUM(B4:F4)</f>
        <v>0.15967749225123956</v>
      </c>
    </row>
    <row r="128" spans="1:9" ht="12.75">
      <c r="A128" s="165" t="s">
        <v>179</v>
      </c>
      <c r="B128" s="165">
        <f>B88*10000/B62</f>
        <v>-0.04137356612661807</v>
      </c>
      <c r="C128" s="165">
        <f>C88*10000/C62</f>
        <v>-0.18108221067179822</v>
      </c>
      <c r="D128" s="165">
        <f>D88*10000/D62</f>
        <v>-0.20527933209670512</v>
      </c>
      <c r="E128" s="165">
        <f>E88*10000/E62</f>
        <v>0.19119858662186057</v>
      </c>
      <c r="F128" s="165">
        <f>F88*10000/F62</f>
        <v>0.34118354732065564</v>
      </c>
      <c r="G128" s="165">
        <f>AVERAGE(C128:E128)</f>
        <v>-0.06505431871554758</v>
      </c>
      <c r="H128" s="165">
        <f>STDEV(C128:E128)</f>
        <v>0.222251071519824</v>
      </c>
      <c r="I128" s="165">
        <f>(B128*B4+C128*C4+D128*D4+E128*E4+F128*F4)/SUM(B4:F4)</f>
        <v>-0.007431894536901418</v>
      </c>
    </row>
    <row r="129" spans="1:9" ht="12.75">
      <c r="A129" s="165" t="s">
        <v>180</v>
      </c>
      <c r="B129" s="165">
        <f>B89*10000/B62</f>
        <v>-0.026930265336039004</v>
      </c>
      <c r="C129" s="165">
        <f>C89*10000/C62</f>
        <v>-0.09416454415884691</v>
      </c>
      <c r="D129" s="165">
        <f>D89*10000/D62</f>
        <v>-0.029857544063236315</v>
      </c>
      <c r="E129" s="165">
        <f>E89*10000/E62</f>
        <v>0.017504111556168673</v>
      </c>
      <c r="F129" s="165">
        <f>F89*10000/F62</f>
        <v>-0.08276905963727223</v>
      </c>
      <c r="G129" s="165">
        <f>AVERAGE(C129:E129)</f>
        <v>-0.03550599222197152</v>
      </c>
      <c r="H129" s="165">
        <f>STDEV(C129:E129)</f>
        <v>0.056048201507730024</v>
      </c>
      <c r="I129" s="165">
        <f>(B129*B4+C129*C4+D129*D4+E129*E4+F129*F4)/SUM(B4:F4)</f>
        <v>-0.04058218038430871</v>
      </c>
    </row>
    <row r="130" spans="1:9" ht="12.75">
      <c r="A130" s="165" t="s">
        <v>181</v>
      </c>
      <c r="B130" s="165">
        <f>B90*10000/B62</f>
        <v>0.09085274017168728</v>
      </c>
      <c r="C130" s="165">
        <f>C90*10000/C62</f>
        <v>0.011100176471294892</v>
      </c>
      <c r="D130" s="165">
        <f>D90*10000/D62</f>
        <v>-0.027431975937050188</v>
      </c>
      <c r="E130" s="165">
        <f>E90*10000/E62</f>
        <v>-0.024175570290940654</v>
      </c>
      <c r="F130" s="165">
        <f>F90*10000/F62</f>
        <v>0.19140143392201753</v>
      </c>
      <c r="G130" s="165">
        <f>AVERAGE(C130:E130)</f>
        <v>-0.013502456585565316</v>
      </c>
      <c r="H130" s="165">
        <f>STDEV(C130:E130)</f>
        <v>0.02136862675585136</v>
      </c>
      <c r="I130" s="165">
        <f>(B130*B4+C130*C4+D130*D4+E130*E4+F130*F4)/SUM(B4:F4)</f>
        <v>0.02894242479414543</v>
      </c>
    </row>
    <row r="131" spans="1:9" ht="12.75">
      <c r="A131" s="165" t="s">
        <v>182</v>
      </c>
      <c r="B131" s="165">
        <f>B91*10000/B62</f>
        <v>0.01571985479519899</v>
      </c>
      <c r="C131" s="165">
        <f>C91*10000/C62</f>
        <v>-0.018000395747894384</v>
      </c>
      <c r="D131" s="165">
        <f>D91*10000/D62</f>
        <v>-0.016523228251843797</v>
      </c>
      <c r="E131" s="165">
        <f>E91*10000/E62</f>
        <v>0.008651852662923381</v>
      </c>
      <c r="F131" s="165">
        <f>F91*10000/F62</f>
        <v>0.025236623638196877</v>
      </c>
      <c r="G131" s="165">
        <f>AVERAGE(C131:E131)</f>
        <v>-0.008623923778938268</v>
      </c>
      <c r="H131" s="165">
        <f>STDEV(C131:E131)</f>
        <v>0.014979480788890297</v>
      </c>
      <c r="I131" s="165">
        <f>(B131*B4+C131*C4+D131*D4+E131*E4+F131*F4)/SUM(B4:F4)</f>
        <v>-0.0005858055450451532</v>
      </c>
    </row>
    <row r="132" spans="1:9" ht="12.75">
      <c r="A132" s="165" t="s">
        <v>183</v>
      </c>
      <c r="B132" s="165">
        <f>B92*10000/B62</f>
        <v>-0.005623133301540884</v>
      </c>
      <c r="C132" s="165">
        <f>C92*10000/C62</f>
        <v>-0.010642362470131004</v>
      </c>
      <c r="D132" s="165">
        <f>D92*10000/D62</f>
        <v>-0.02298774287262373</v>
      </c>
      <c r="E132" s="165">
        <f>E92*10000/E62</f>
        <v>0.02858861658109677</v>
      </c>
      <c r="F132" s="165">
        <f>F92*10000/F62</f>
        <v>0.038825158129939655</v>
      </c>
      <c r="G132" s="165">
        <f>AVERAGE(C132:E132)</f>
        <v>-0.0016804962538859887</v>
      </c>
      <c r="H132" s="165">
        <f>STDEV(C132:E132)</f>
        <v>0.02693077232801264</v>
      </c>
      <c r="I132" s="165">
        <f>(B132*B4+C132*C4+D132*D4+E132*E4+F132*F4)/SUM(B4:F4)</f>
        <v>0.0031528560100457805</v>
      </c>
    </row>
    <row r="133" spans="1:9" ht="12.75">
      <c r="A133" s="165" t="s">
        <v>184</v>
      </c>
      <c r="B133" s="165">
        <f>B93*10000/B62</f>
        <v>0.04771574833044907</v>
      </c>
      <c r="C133" s="165">
        <f>C93*10000/C62</f>
        <v>0.042128026363548364</v>
      </c>
      <c r="D133" s="165">
        <f>D93*10000/D62</f>
        <v>0.03350249592452703</v>
      </c>
      <c r="E133" s="165">
        <f>E93*10000/E62</f>
        <v>0.04334350155811285</v>
      </c>
      <c r="F133" s="165">
        <f>F93*10000/F62</f>
        <v>0.030266531072635643</v>
      </c>
      <c r="G133" s="165">
        <f>AVERAGE(C133:E133)</f>
        <v>0.03965800794872942</v>
      </c>
      <c r="H133" s="165">
        <f>STDEV(C133:E133)</f>
        <v>0.005365360304511272</v>
      </c>
      <c r="I133" s="165">
        <f>(B133*B4+C133*C4+D133*D4+E133*E4+F133*F4)/SUM(B4:F4)</f>
        <v>0.03956895372823783</v>
      </c>
    </row>
    <row r="134" spans="1:9" ht="12.75">
      <c r="A134" s="165" t="s">
        <v>185</v>
      </c>
      <c r="B134" s="165">
        <f>B94*10000/B62</f>
        <v>0.0009914857781885527</v>
      </c>
      <c r="C134" s="165">
        <f>C94*10000/C62</f>
        <v>0.011671498199236864</v>
      </c>
      <c r="D134" s="165">
        <f>D94*10000/D62</f>
        <v>0.0205818912472063</v>
      </c>
      <c r="E134" s="165">
        <f>E94*10000/E62</f>
        <v>0.029920579194162664</v>
      </c>
      <c r="F134" s="165">
        <f>F94*10000/F62</f>
        <v>-0.007951550334730684</v>
      </c>
      <c r="G134" s="165">
        <f>AVERAGE(C134:E134)</f>
        <v>0.020724656213535277</v>
      </c>
      <c r="H134" s="165">
        <f>STDEV(C134:E134)</f>
        <v>0.009125378110881138</v>
      </c>
      <c r="I134" s="165">
        <f>(B134*B4+C134*C4+D134*D4+E134*E4+F134*F4)/SUM(B4:F4)</f>
        <v>0.014041918619209457</v>
      </c>
    </row>
    <row r="135" spans="1:9" ht="12.75">
      <c r="A135" s="165" t="s">
        <v>186</v>
      </c>
      <c r="B135" s="165">
        <f>B95*10000/B62</f>
        <v>-0.0036704035612043634</v>
      </c>
      <c r="C135" s="165">
        <f>C95*10000/C62</f>
        <v>-0.0009155064935105403</v>
      </c>
      <c r="D135" s="165">
        <f>D95*10000/D62</f>
        <v>0.001089438963792383</v>
      </c>
      <c r="E135" s="165">
        <f>E95*10000/E62</f>
        <v>-0.0010442258837506826</v>
      </c>
      <c r="F135" s="165">
        <f>F95*10000/F62</f>
        <v>0.0018717530869808675</v>
      </c>
      <c r="G135" s="165">
        <f>AVERAGE(C135:E135)</f>
        <v>-0.00029009780448961334</v>
      </c>
      <c r="H135" s="165">
        <f>STDEV(C135:E135)</f>
        <v>0.0011964461716422513</v>
      </c>
      <c r="I135" s="165">
        <f>(B135*B4+C135*C4+D135*D4+E135*E4+F135*F4)/SUM(B4:F4)</f>
        <v>-0.000490192198909818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2003-11-24T08:36:26Z</cp:lastPrinted>
  <dcterms:created xsi:type="dcterms:W3CDTF">1999-06-17T15:15:05Z</dcterms:created>
  <dcterms:modified xsi:type="dcterms:W3CDTF">2005-10-05T09:54:36Z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810407060</vt:i4>
  </property>
  <property fmtid="{D5CDD505-2E9C-101B-9397-08002B2CF9AE}" pid="3" name="_EmailSubject">
    <vt:lpwstr>WFM result of apertures 23,29,35,132,133,135,136, 128, 120, 142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